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showInkAnnotation="0" autoCompressPictures="0"/>
  <mc:AlternateContent xmlns:mc="http://schemas.openxmlformats.org/markup-compatibility/2006">
    <mc:Choice Requires="x15">
      <x15ac:absPath xmlns:x15ac="http://schemas.microsoft.com/office/spreadsheetml/2010/11/ac" url="D:\Github\PalaeoClimateGradient\data\raw\Eocene\Hollis2019SI\"/>
    </mc:Choice>
  </mc:AlternateContent>
  <xr:revisionPtr revIDLastSave="0" documentId="13_ncr:1_{0152DA40-721C-43D5-A04C-C3A216516B5C}" xr6:coauthVersionLast="47" xr6:coauthVersionMax="47" xr10:uidLastSave="{00000000-0000-0000-0000-000000000000}"/>
  <bookViews>
    <workbookView xWindow="28680" yWindow="-5580" windowWidth="29040" windowHeight="15840" tabRatio="933" activeTab="1" xr2:uid="{00000000-000D-0000-FFFF-FFFF00000000}"/>
  </bookViews>
  <sheets>
    <sheet name="Cover sheet" sheetId="2" r:id="rId1"/>
    <sheet name="d18Osw" sheetId="30" r:id="rId2"/>
    <sheet name="Tumey Gulch" sheetId="20" r:id="rId3"/>
    <sheet name="Lodo Gulch" sheetId="19" r:id="rId4"/>
    <sheet name="DSDP Site 549" sheetId="27" r:id="rId5"/>
    <sheet name="DSDP Site 401" sheetId="15" r:id="rId6"/>
    <sheet name="Wilson Lake" sheetId="10" r:id="rId7"/>
    <sheet name="Bass River" sheetId="9" r:id="rId8"/>
    <sheet name="Millville" sheetId="8" r:id="rId9"/>
    <sheet name="ODP 1209" sheetId="11" r:id="rId10"/>
    <sheet name="DSDP 577" sheetId="28" r:id="rId11"/>
    <sheet name="Alamedilla" sheetId="24" r:id="rId12"/>
    <sheet name="ODP 865" sheetId="12" r:id="rId13"/>
    <sheet name="ODP 865_SIMS" sheetId="29" r:id="rId14"/>
    <sheet name="Sagamu Quarry" sheetId="21" r:id="rId15"/>
    <sheet name="TDP 3" sheetId="17" r:id="rId16"/>
    <sheet name="TDP 14" sheetId="18" r:id="rId17"/>
    <sheet name="DSDP 527" sheetId="13" r:id="rId18"/>
    <sheet name="Mid-Waipara River" sheetId="26" r:id="rId19"/>
    <sheet name="Hampden Beach" sheetId="25" r:id="rId20"/>
    <sheet name="DSDP 277" sheetId="22" r:id="rId21"/>
    <sheet name="ODP 738" sheetId="16" r:id="rId22"/>
    <sheet name="ODP 689" sheetId="7" r:id="rId23"/>
    <sheet name="ODP 690" sheetId="14" r:id="rId24"/>
  </sheets>
  <definedNames>
    <definedName name="_xlnm._FilterDatabase" localSheetId="0" hidden="1">'Cover sheet'!$V$9:$AM$30</definedName>
    <definedName name="_xlnm._FilterDatabase" localSheetId="8" hidden="1">Millville!$F$35:$I$39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2" i="19" l="1"/>
  <c r="AN33" i="2"/>
  <c r="AA33" i="2"/>
  <c r="AG33" i="2"/>
  <c r="AM33" i="2"/>
  <c r="AN32" i="2"/>
  <c r="AM32" i="2"/>
  <c r="AG32" i="2"/>
  <c r="AA32" i="2"/>
  <c r="K102" i="28" l="1"/>
  <c r="L95" i="18" l="1"/>
  <c r="L94" i="18"/>
  <c r="L93" i="18"/>
  <c r="L92" i="18"/>
  <c r="L91" i="18"/>
  <c r="L90" i="18"/>
  <c r="L89" i="18"/>
  <c r="L88" i="18"/>
  <c r="L87" i="18"/>
  <c r="L86" i="18"/>
  <c r="L85" i="18"/>
  <c r="L84" i="18"/>
  <c r="L83" i="18"/>
  <c r="L82" i="18"/>
  <c r="L81" i="18"/>
  <c r="L80" i="18"/>
  <c r="L79" i="18"/>
  <c r="L78" i="18"/>
  <c r="L77" i="18"/>
  <c r="L76" i="18"/>
  <c r="L74" i="18"/>
  <c r="L73" i="18"/>
  <c r="L72" i="18"/>
  <c r="L71" i="18"/>
  <c r="L70" i="18"/>
  <c r="L69" i="18"/>
  <c r="L68" i="18"/>
  <c r="L67" i="18"/>
  <c r="L66" i="18"/>
  <c r="L65" i="18"/>
  <c r="L64" i="18"/>
  <c r="L63" i="18"/>
  <c r="L62"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8" i="18"/>
  <c r="L27" i="18"/>
  <c r="L26" i="18"/>
  <c r="L25" i="18"/>
  <c r="L24" i="18"/>
  <c r="L23" i="18"/>
  <c r="L22" i="18"/>
  <c r="L21" i="18"/>
  <c r="M122" i="18" l="1"/>
  <c r="J122" i="18"/>
  <c r="K122" i="18"/>
  <c r="L122" i="18"/>
  <c r="H122" i="18"/>
  <c r="I122" i="18"/>
  <c r="L20" i="18"/>
  <c r="L19" i="18"/>
  <c r="L18" i="18"/>
  <c r="L17" i="18"/>
  <c r="L16" i="18"/>
  <c r="L15" i="18"/>
  <c r="L14" i="18"/>
  <c r="K121" i="18" l="1"/>
  <c r="J121" i="18"/>
  <c r="M121" i="18"/>
  <c r="I121" i="18"/>
  <c r="L121" i="18"/>
  <c r="H121" i="18"/>
  <c r="K30" i="19" l="1"/>
  <c r="K31" i="19"/>
  <c r="K32" i="19"/>
  <c r="K33" i="19"/>
  <c r="K34" i="19"/>
  <c r="K35" i="19"/>
  <c r="K36" i="19"/>
  <c r="K37" i="19"/>
  <c r="K38" i="19"/>
  <c r="K39" i="19"/>
  <c r="K40" i="19"/>
  <c r="K41" i="19"/>
  <c r="K59" i="19"/>
  <c r="K60" i="19"/>
  <c r="K61" i="19"/>
  <c r="K62" i="19"/>
  <c r="K63" i="19"/>
  <c r="K64" i="19"/>
  <c r="K65" i="19"/>
  <c r="K66" i="19"/>
  <c r="K67" i="19"/>
  <c r="K68" i="19"/>
  <c r="K69" i="19"/>
  <c r="K70" i="19"/>
  <c r="K81" i="19"/>
  <c r="K82" i="19"/>
  <c r="K83" i="19"/>
  <c r="K84" i="19"/>
  <c r="K85" i="19"/>
  <c r="K86" i="19"/>
  <c r="K87" i="19"/>
  <c r="K88" i="19"/>
  <c r="K89" i="19"/>
  <c r="K90" i="19"/>
  <c r="K91" i="19"/>
  <c r="K107" i="19"/>
  <c r="K108" i="19"/>
  <c r="K109" i="19"/>
  <c r="K110" i="19"/>
  <c r="K111" i="19"/>
  <c r="K112" i="19"/>
  <c r="K113" i="19"/>
  <c r="K114" i="19"/>
  <c r="K115" i="19"/>
  <c r="K13" i="19"/>
  <c r="K14" i="19"/>
  <c r="K15" i="19"/>
  <c r="K42" i="19"/>
  <c r="K43" i="19"/>
  <c r="K44" i="19"/>
  <c r="K45" i="19"/>
  <c r="K93" i="19"/>
  <c r="K24" i="20"/>
  <c r="K25" i="20"/>
  <c r="K27" i="20"/>
  <c r="K28" i="20"/>
  <c r="K33" i="20"/>
  <c r="K34" i="20"/>
  <c r="K36" i="27"/>
  <c r="K37" i="27"/>
  <c r="K38" i="27"/>
  <c r="K39" i="27"/>
  <c r="K40" i="27"/>
  <c r="K41" i="27"/>
  <c r="K42" i="27"/>
  <c r="K43" i="27"/>
  <c r="K44" i="27"/>
  <c r="K45" i="27"/>
  <c r="K46" i="27"/>
  <c r="K49" i="27"/>
  <c r="K50" i="27"/>
  <c r="K51" i="27"/>
  <c r="K138" i="15"/>
  <c r="K139" i="15"/>
  <c r="K140" i="15"/>
  <c r="K141" i="15"/>
  <c r="K142" i="15"/>
  <c r="K143" i="15"/>
  <c r="K144" i="15"/>
  <c r="K145" i="15"/>
  <c r="K146" i="15"/>
  <c r="K147" i="15"/>
  <c r="K148" i="15"/>
  <c r="K149" i="15"/>
  <c r="K150" i="15"/>
  <c r="K151" i="15"/>
  <c r="K152" i="15"/>
  <c r="K153" i="15"/>
  <c r="K229" i="15"/>
  <c r="K230" i="15"/>
  <c r="K231" i="15"/>
  <c r="K232" i="15"/>
  <c r="K233" i="15"/>
  <c r="K234" i="15"/>
  <c r="K235" i="15"/>
  <c r="K236" i="15"/>
  <c r="K237" i="15"/>
  <c r="K238" i="15"/>
  <c r="K239" i="15"/>
  <c r="K240" i="15"/>
  <c r="K241" i="15"/>
  <c r="K242" i="15"/>
  <c r="K243" i="15"/>
  <c r="K244" i="15"/>
  <c r="K245" i="15"/>
  <c r="K246" i="15"/>
  <c r="K247" i="15"/>
  <c r="K286" i="15"/>
  <c r="K287" i="15"/>
  <c r="K288" i="15"/>
  <c r="K307" i="15"/>
  <c r="K308" i="15"/>
  <c r="K309" i="15"/>
  <c r="K310" i="15"/>
  <c r="K311" i="15"/>
  <c r="K312" i="15"/>
  <c r="K313" i="15"/>
  <c r="K314" i="15"/>
  <c r="K319" i="15"/>
  <c r="K320" i="15"/>
  <c r="K382" i="15"/>
  <c r="K383" i="15"/>
  <c r="K384" i="15"/>
  <c r="K385" i="15"/>
  <c r="K386" i="15"/>
  <c r="K387" i="15"/>
  <c r="K388" i="15"/>
  <c r="K389" i="15"/>
  <c r="K390" i="15"/>
  <c r="K391" i="15"/>
  <c r="K392" i="15"/>
  <c r="K393" i="15"/>
  <c r="K394" i="15"/>
  <c r="K395" i="15"/>
  <c r="K396" i="15"/>
  <c r="K400" i="15"/>
  <c r="K401" i="15"/>
  <c r="K402" i="15"/>
  <c r="K197" i="15"/>
  <c r="K198" i="15"/>
  <c r="K199" i="15"/>
  <c r="K200" i="15"/>
  <c r="K201" i="15"/>
  <c r="K202" i="15"/>
  <c r="K203" i="15"/>
  <c r="K204" i="15"/>
  <c r="K205" i="15"/>
  <c r="K206" i="15"/>
  <c r="K207" i="15"/>
  <c r="K208" i="15"/>
  <c r="K209" i="15"/>
  <c r="K210" i="15"/>
  <c r="K267" i="15"/>
  <c r="K268" i="15"/>
  <c r="K269" i="15"/>
  <c r="K270" i="15"/>
  <c r="K271" i="15"/>
  <c r="K272" i="15"/>
  <c r="K273" i="15"/>
  <c r="K274" i="15"/>
  <c r="K275" i="15"/>
  <c r="K299" i="15"/>
  <c r="K300" i="15"/>
  <c r="K301" i="15"/>
  <c r="K368" i="15"/>
  <c r="K369" i="15"/>
  <c r="K370" i="15"/>
  <c r="K371" i="15"/>
  <c r="K372" i="15"/>
  <c r="K373" i="15"/>
  <c r="K374" i="15"/>
  <c r="K375" i="15"/>
  <c r="K376" i="15"/>
  <c r="K377" i="15"/>
  <c r="K378" i="15"/>
  <c r="K379" i="15"/>
  <c r="K134" i="15"/>
  <c r="K135" i="15"/>
  <c r="K136" i="15"/>
  <c r="K315" i="15"/>
  <c r="K316" i="15"/>
  <c r="K317" i="15"/>
  <c r="K322" i="15"/>
  <c r="K323" i="15"/>
  <c r="K397" i="15"/>
  <c r="K398" i="15"/>
  <c r="K403" i="15"/>
  <c r="K43" i="10"/>
  <c r="K44" i="10"/>
  <c r="K45" i="10"/>
  <c r="K46" i="10"/>
  <c r="K47" i="10"/>
  <c r="K48" i="10"/>
  <c r="K49" i="10"/>
  <c r="K50" i="10"/>
  <c r="K51" i="10"/>
  <c r="K52" i="10"/>
  <c r="K53" i="10"/>
  <c r="K54" i="10"/>
  <c r="K55" i="10"/>
  <c r="K56" i="10"/>
  <c r="K57" i="10"/>
  <c r="K58" i="10"/>
  <c r="K68" i="10"/>
  <c r="K69" i="10"/>
  <c r="K70" i="10"/>
  <c r="K71" i="10"/>
  <c r="K72" i="10"/>
  <c r="K73" i="10"/>
  <c r="K74" i="10"/>
  <c r="K75" i="10"/>
  <c r="K76" i="10"/>
  <c r="K77" i="10"/>
  <c r="K78" i="10"/>
  <c r="K79" i="10"/>
  <c r="K80" i="10"/>
  <c r="K81" i="10"/>
  <c r="K18" i="9"/>
  <c r="K19" i="9"/>
  <c r="K28" i="9"/>
  <c r="K29" i="9"/>
  <c r="K35" i="9"/>
  <c r="K36" i="9"/>
  <c r="K76" i="9"/>
  <c r="K77" i="9"/>
  <c r="K78" i="9"/>
  <c r="K79" i="9"/>
  <c r="K80" i="9"/>
  <c r="K81" i="9"/>
  <c r="K82" i="9"/>
  <c r="K83" i="9"/>
  <c r="K84" i="9"/>
  <c r="K85" i="9"/>
  <c r="K86" i="9"/>
  <c r="K87" i="9"/>
  <c r="K88" i="9"/>
  <c r="K89" i="9"/>
  <c r="K90" i="9"/>
  <c r="K91" i="9"/>
  <c r="K136" i="9"/>
  <c r="K137" i="9"/>
  <c r="K138" i="9"/>
  <c r="K139" i="9"/>
  <c r="K140" i="9"/>
  <c r="K141" i="9"/>
  <c r="K142" i="9"/>
  <c r="K143" i="9"/>
  <c r="K144" i="9"/>
  <c r="K145" i="9"/>
  <c r="K146" i="9"/>
  <c r="K147" i="9"/>
  <c r="K148" i="9"/>
  <c r="K149" i="9"/>
  <c r="K150" i="9"/>
  <c r="K151" i="9"/>
  <c r="K152" i="9"/>
  <c r="K221" i="9"/>
  <c r="K224" i="9"/>
  <c r="K225" i="9"/>
  <c r="K226" i="9"/>
  <c r="K227" i="9"/>
  <c r="K326" i="9"/>
  <c r="K327" i="9"/>
  <c r="K328" i="9"/>
  <c r="K329" i="9"/>
  <c r="K330" i="9"/>
  <c r="K331" i="9"/>
  <c r="K332" i="9"/>
  <c r="K394" i="9"/>
  <c r="K395" i="9"/>
  <c r="K396" i="9"/>
  <c r="K397" i="9"/>
  <c r="K398" i="9"/>
  <c r="K399" i="9"/>
  <c r="K400" i="9"/>
  <c r="K401" i="9"/>
  <c r="K402" i="9"/>
  <c r="K403" i="9"/>
  <c r="K404" i="9"/>
  <c r="K405" i="9"/>
  <c r="K406" i="9"/>
  <c r="K407" i="9"/>
  <c r="K408" i="9"/>
  <c r="K409" i="9"/>
  <c r="K97" i="9"/>
  <c r="K98" i="9"/>
  <c r="K99" i="9"/>
  <c r="K230" i="9"/>
  <c r="K352" i="9"/>
  <c r="K353" i="9"/>
  <c r="K354" i="9"/>
  <c r="K355" i="9"/>
  <c r="K356" i="9"/>
  <c r="K357" i="9"/>
  <c r="K358" i="9"/>
  <c r="K359" i="9"/>
  <c r="K360" i="9"/>
  <c r="K361" i="9"/>
  <c r="K362" i="9"/>
  <c r="K363" i="9"/>
  <c r="K364" i="9"/>
  <c r="K365" i="9"/>
  <c r="K366" i="9"/>
  <c r="K367" i="9"/>
  <c r="K368" i="9"/>
  <c r="K369" i="9"/>
  <c r="K370" i="9"/>
  <c r="K371" i="9"/>
  <c r="K372" i="9"/>
  <c r="K373" i="9"/>
  <c r="K374" i="9"/>
  <c r="K375" i="9"/>
  <c r="K376" i="9"/>
  <c r="K377" i="9"/>
  <c r="K378" i="9"/>
  <c r="K379" i="9"/>
  <c r="K380" i="9"/>
  <c r="K381" i="9"/>
  <c r="K382" i="9"/>
  <c r="K383" i="9"/>
  <c r="K384" i="9"/>
  <c r="K385" i="9"/>
  <c r="K386" i="9"/>
  <c r="K387" i="9"/>
  <c r="K388" i="9"/>
  <c r="K389" i="9"/>
  <c r="K390" i="9"/>
  <c r="K391" i="9"/>
  <c r="K392" i="9"/>
  <c r="K393" i="9"/>
  <c r="K428" i="9"/>
  <c r="K429" i="9"/>
  <c r="K432" i="9"/>
  <c r="K433" i="9"/>
  <c r="K434" i="9"/>
  <c r="K435" i="9"/>
  <c r="K436" i="9"/>
  <c r="K437" i="9"/>
  <c r="K438" i="9"/>
  <c r="K439" i="9"/>
  <c r="K440" i="9"/>
  <c r="K441" i="9"/>
  <c r="K442" i="9"/>
  <c r="K443" i="9"/>
  <c r="K444" i="9"/>
  <c r="K445" i="9"/>
  <c r="K446" i="9"/>
  <c r="K447" i="9"/>
  <c r="L27" i="8"/>
  <c r="L34" i="8"/>
  <c r="L85" i="8"/>
  <c r="L86" i="8"/>
  <c r="L87" i="8"/>
  <c r="L152" i="8"/>
  <c r="L153" i="8"/>
  <c r="L154" i="8"/>
  <c r="L155" i="8"/>
  <c r="L156" i="8"/>
  <c r="L157" i="8"/>
  <c r="L158" i="8"/>
  <c r="L21" i="8"/>
  <c r="L22" i="8"/>
  <c r="L23" i="8"/>
  <c r="L24" i="8"/>
  <c r="L25" i="8"/>
  <c r="L26" i="8"/>
  <c r="L29" i="8"/>
  <c r="L30" i="8"/>
  <c r="L31" i="8"/>
  <c r="L32" i="8"/>
  <c r="L33" i="8"/>
  <c r="L37" i="8"/>
  <c r="L38" i="8"/>
  <c r="L39" i="8"/>
  <c r="L46" i="8"/>
  <c r="L47" i="8"/>
  <c r="L48" i="8"/>
  <c r="L82" i="8"/>
  <c r="L88" i="8"/>
  <c r="L89" i="8"/>
  <c r="L90" i="8"/>
  <c r="L91" i="8"/>
  <c r="L92" i="8"/>
  <c r="L93" i="8"/>
  <c r="L94" i="8"/>
  <c r="L95" i="8"/>
  <c r="L96" i="8"/>
  <c r="L97" i="8"/>
  <c r="L98" i="8"/>
  <c r="L99" i="8"/>
  <c r="L100" i="8"/>
  <c r="L101" i="8"/>
  <c r="L102" i="8"/>
  <c r="L103" i="8"/>
  <c r="L104" i="8"/>
  <c r="L129" i="8"/>
  <c r="L130" i="8"/>
  <c r="L131" i="8"/>
  <c r="L132" i="8"/>
  <c r="L133" i="8"/>
  <c r="L134" i="8"/>
  <c r="L135" i="8"/>
  <c r="L136" i="8"/>
  <c r="L137" i="8"/>
  <c r="L138" i="8"/>
  <c r="L139" i="8"/>
  <c r="L140" i="8"/>
  <c r="L141" i="8"/>
  <c r="L142" i="8"/>
  <c r="L143" i="8"/>
  <c r="L144" i="8"/>
  <c r="L145" i="8"/>
  <c r="L146" i="8"/>
  <c r="L147" i="8"/>
  <c r="L148" i="8"/>
  <c r="L149" i="8"/>
  <c r="L171" i="8"/>
  <c r="L172" i="8"/>
  <c r="L173" i="8"/>
  <c r="K16" i="11"/>
  <c r="K17" i="11"/>
  <c r="K18" i="11"/>
  <c r="K19" i="11"/>
  <c r="K20" i="11"/>
  <c r="K21" i="11"/>
  <c r="K22" i="11"/>
  <c r="K23" i="11"/>
  <c r="K24" i="11"/>
  <c r="K25" i="11"/>
  <c r="K26" i="11"/>
  <c r="K27" i="11"/>
  <c r="K28" i="11"/>
  <c r="K29" i="11"/>
  <c r="K87" i="11"/>
  <c r="K88" i="11"/>
  <c r="K89" i="11"/>
  <c r="K90" i="11"/>
  <c r="K91" i="11"/>
  <c r="K92" i="11"/>
  <c r="K93" i="11"/>
  <c r="K94" i="11"/>
  <c r="K95" i="11"/>
  <c r="K120" i="11"/>
  <c r="K121" i="11"/>
  <c r="K122" i="11"/>
  <c r="K194" i="11"/>
  <c r="K195" i="11"/>
  <c r="K196" i="11"/>
  <c r="K197" i="11"/>
  <c r="K198" i="11"/>
  <c r="K199" i="11"/>
  <c r="K200" i="11"/>
  <c r="K201" i="11"/>
  <c r="K202" i="11"/>
  <c r="K203" i="11"/>
  <c r="K204" i="11"/>
  <c r="K205" i="11"/>
  <c r="K14" i="28"/>
  <c r="K15" i="28"/>
  <c r="K16" i="28"/>
  <c r="K17" i="28"/>
  <c r="K18" i="28"/>
  <c r="K19" i="28"/>
  <c r="K20" i="28"/>
  <c r="K21" i="28"/>
  <c r="K22" i="28"/>
  <c r="K23" i="28"/>
  <c r="K24" i="28"/>
  <c r="K25" i="28"/>
  <c r="K31" i="28"/>
  <c r="K33" i="28"/>
  <c r="K34" i="28"/>
  <c r="K37" i="28"/>
  <c r="K38" i="28"/>
  <c r="K39" i="28"/>
  <c r="K40" i="28"/>
  <c r="K46" i="28"/>
  <c r="K50" i="28"/>
  <c r="K51" i="28"/>
  <c r="K52" i="28"/>
  <c r="K53" i="28"/>
  <c r="K54" i="28"/>
  <c r="K55" i="28"/>
  <c r="K56" i="28"/>
  <c r="K57" i="28"/>
  <c r="K58" i="28"/>
  <c r="K59" i="28"/>
  <c r="K60" i="28"/>
  <c r="K61" i="28"/>
  <c r="K91" i="28"/>
  <c r="K92" i="28"/>
  <c r="K93" i="28"/>
  <c r="K94" i="28"/>
  <c r="K95" i="28"/>
  <c r="K96" i="28"/>
  <c r="K97" i="28"/>
  <c r="K98" i="28"/>
  <c r="K99" i="28"/>
  <c r="K100" i="28"/>
  <c r="K106" i="28"/>
  <c r="K107" i="28"/>
  <c r="K108" i="28"/>
  <c r="K109" i="28"/>
  <c r="K110" i="28"/>
  <c r="K111" i="28"/>
  <c r="K112" i="28"/>
  <c r="K113" i="28"/>
  <c r="K114" i="28"/>
  <c r="K115" i="28"/>
  <c r="K116" i="28"/>
  <c r="K117" i="28"/>
  <c r="K118" i="28"/>
  <c r="K119" i="28"/>
  <c r="K123" i="28"/>
  <c r="K22" i="24"/>
  <c r="K23" i="24"/>
  <c r="K24" i="24"/>
  <c r="K25" i="24"/>
  <c r="K26" i="24"/>
  <c r="K27" i="24"/>
  <c r="K28" i="24"/>
  <c r="K29" i="24"/>
  <c r="K30" i="24"/>
  <c r="K31" i="24"/>
  <c r="K32" i="24"/>
  <c r="K33" i="24"/>
  <c r="K34" i="24"/>
  <c r="K35" i="24"/>
  <c r="K36" i="24"/>
  <c r="K37" i="24"/>
  <c r="K38" i="24"/>
  <c r="K39" i="24"/>
  <c r="K40" i="24"/>
  <c r="K41" i="24"/>
  <c r="K42" i="24"/>
  <c r="K43" i="24"/>
  <c r="K44" i="24"/>
  <c r="K45" i="24"/>
  <c r="K46" i="24"/>
  <c r="K47" i="24"/>
  <c r="K62" i="24"/>
  <c r="K63" i="24"/>
  <c r="K64" i="24"/>
  <c r="K65" i="24"/>
  <c r="K66" i="24"/>
  <c r="K67" i="24"/>
  <c r="K14" i="12"/>
  <c r="K15" i="12"/>
  <c r="K16" i="12"/>
  <c r="K17" i="12"/>
  <c r="K18" i="12"/>
  <c r="K19" i="12"/>
  <c r="K20" i="12"/>
  <c r="K21" i="12"/>
  <c r="K22" i="12"/>
  <c r="K44" i="12"/>
  <c r="K45" i="12"/>
  <c r="K46" i="12"/>
  <c r="K47" i="12"/>
  <c r="K48" i="12"/>
  <c r="K49" i="12"/>
  <c r="K50" i="12"/>
  <c r="K51" i="12"/>
  <c r="K52" i="12"/>
  <c r="K53" i="12"/>
  <c r="K54" i="12"/>
  <c r="K66" i="12"/>
  <c r="K67" i="12"/>
  <c r="K68" i="12"/>
  <c r="K69" i="12"/>
  <c r="K70" i="12"/>
  <c r="K71" i="12"/>
  <c r="K72" i="12"/>
  <c r="K73" i="12"/>
  <c r="K74" i="12"/>
  <c r="K75" i="12"/>
  <c r="K76" i="12"/>
  <c r="K77" i="12"/>
  <c r="K78" i="12"/>
  <c r="K79" i="12"/>
  <c r="K80" i="12"/>
  <c r="K81" i="12"/>
  <c r="K82" i="12"/>
  <c r="K83" i="12"/>
  <c r="K84" i="12"/>
  <c r="K85" i="12"/>
  <c r="K86" i="12"/>
  <c r="K87" i="12"/>
  <c r="K88" i="12"/>
  <c r="K89"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389" i="12"/>
  <c r="L662" i="12" s="1"/>
  <c r="K390" i="12"/>
  <c r="K391" i="12"/>
  <c r="K392" i="12"/>
  <c r="K393" i="12"/>
  <c r="M662" i="12" s="1"/>
  <c r="K394" i="12"/>
  <c r="K395" i="12"/>
  <c r="K465" i="12"/>
  <c r="K466" i="12"/>
  <c r="K467" i="12"/>
  <c r="K468" i="12"/>
  <c r="K469" i="12"/>
  <c r="K470" i="12"/>
  <c r="K471" i="12"/>
  <c r="K472" i="12"/>
  <c r="K473" i="12"/>
  <c r="K474" i="12"/>
  <c r="K475" i="12"/>
  <c r="K638" i="12"/>
  <c r="K639" i="12"/>
  <c r="K640" i="12"/>
  <c r="K641" i="12"/>
  <c r="K642" i="12"/>
  <c r="K643" i="12"/>
  <c r="K328" i="12"/>
  <c r="K329" i="12"/>
  <c r="K330" i="12"/>
  <c r="K331" i="12"/>
  <c r="K332" i="12"/>
  <c r="K333" i="12"/>
  <c r="K334" i="12"/>
  <c r="K335" i="12"/>
  <c r="K336" i="12"/>
  <c r="K337" i="12"/>
  <c r="K338" i="12"/>
  <c r="K364" i="12"/>
  <c r="K365" i="12"/>
  <c r="K366" i="12"/>
  <c r="K367" i="12"/>
  <c r="K368" i="12"/>
  <c r="K369" i="12"/>
  <c r="K370" i="12"/>
  <c r="K371" i="12"/>
  <c r="K372" i="12"/>
  <c r="K373" i="12"/>
  <c r="K374" i="12"/>
  <c r="K402" i="12"/>
  <c r="K403" i="12"/>
  <c r="K404" i="12"/>
  <c r="K405" i="12"/>
  <c r="K406" i="12"/>
  <c r="K407" i="12"/>
  <c r="K408" i="12"/>
  <c r="K409" i="12"/>
  <c r="K410" i="12"/>
  <c r="K411" i="12"/>
  <c r="K412" i="12"/>
  <c r="K413" i="12"/>
  <c r="K481" i="12"/>
  <c r="K482" i="12"/>
  <c r="K483" i="12"/>
  <c r="K484" i="12"/>
  <c r="K485" i="12"/>
  <c r="K486" i="12"/>
  <c r="K487" i="12"/>
  <c r="K488" i="12"/>
  <c r="K489" i="12"/>
  <c r="K490" i="12"/>
  <c r="K491" i="12"/>
  <c r="K492" i="12"/>
  <c r="K493" i="12"/>
  <c r="K494" i="12"/>
  <c r="K495" i="12"/>
  <c r="K496" i="12"/>
  <c r="K497" i="12"/>
  <c r="K498" i="12"/>
  <c r="K499" i="12"/>
  <c r="K572" i="12"/>
  <c r="K573" i="12"/>
  <c r="K574" i="12"/>
  <c r="K575" i="12"/>
  <c r="K576" i="12"/>
  <c r="K577" i="12"/>
  <c r="K578" i="12"/>
  <c r="K579" i="12"/>
  <c r="K580" i="12"/>
  <c r="K581" i="12"/>
  <c r="K582" i="12"/>
  <c r="K583" i="12"/>
  <c r="K584" i="12"/>
  <c r="K585" i="12"/>
  <c r="K648" i="12"/>
  <c r="K649" i="12"/>
  <c r="K650" i="12"/>
  <c r="K651" i="12"/>
  <c r="K652" i="12"/>
  <c r="K653" i="12"/>
  <c r="K654" i="12"/>
  <c r="K655" i="12"/>
  <c r="K656" i="12"/>
  <c r="K414" i="12"/>
  <c r="J661" i="12" s="1"/>
  <c r="K415" i="12"/>
  <c r="K416" i="12"/>
  <c r="K417" i="12"/>
  <c r="K418" i="12"/>
  <c r="K419" i="12"/>
  <c r="K420" i="12"/>
  <c r="K421" i="12"/>
  <c r="K422" i="12"/>
  <c r="K423" i="12"/>
  <c r="K424" i="12"/>
  <c r="K425" i="12"/>
  <c r="K426" i="12"/>
  <c r="K427" i="12"/>
  <c r="K428" i="12"/>
  <c r="K429" i="12"/>
  <c r="K430" i="12"/>
  <c r="K431" i="12"/>
  <c r="K432" i="12"/>
  <c r="K433" i="12"/>
  <c r="K434" i="12"/>
  <c r="K435" i="12"/>
  <c r="K570" i="12"/>
  <c r="K571" i="12"/>
  <c r="K589" i="12"/>
  <c r="K590" i="12"/>
  <c r="K591" i="12"/>
  <c r="K592" i="12"/>
  <c r="K593" i="12"/>
  <c r="K594" i="12"/>
  <c r="K595" i="12"/>
  <c r="K596" i="12"/>
  <c r="K597" i="12"/>
  <c r="K598" i="12"/>
  <c r="K599" i="12"/>
  <c r="K600" i="12"/>
  <c r="K601" i="12"/>
  <c r="K602" i="12"/>
  <c r="K603" i="12"/>
  <c r="K604" i="12"/>
  <c r="K605" i="12"/>
  <c r="K606" i="12"/>
  <c r="K607" i="12"/>
  <c r="K608" i="12"/>
  <c r="K609" i="12"/>
  <c r="K610" i="12"/>
  <c r="L41" i="29"/>
  <c r="L42" i="29"/>
  <c r="L43" i="29"/>
  <c r="L44" i="29"/>
  <c r="L45" i="29"/>
  <c r="L46" i="29"/>
  <c r="L47" i="29"/>
  <c r="L33" i="29"/>
  <c r="L34" i="29"/>
  <c r="L35" i="29"/>
  <c r="L36" i="29"/>
  <c r="L37" i="29"/>
  <c r="L38" i="29"/>
  <c r="L39" i="29"/>
  <c r="L48" i="29"/>
  <c r="L49" i="29"/>
  <c r="I52" i="29"/>
  <c r="L52" i="29"/>
  <c r="I53" i="29"/>
  <c r="L53" i="29" s="1"/>
  <c r="I54" i="29"/>
  <c r="L54" i="29"/>
  <c r="L17" i="29"/>
  <c r="L18" i="29"/>
  <c r="L19" i="29"/>
  <c r="L20" i="29"/>
  <c r="L21" i="29"/>
  <c r="L22" i="29"/>
  <c r="L23" i="29"/>
  <c r="L24" i="29"/>
  <c r="K14" i="17"/>
  <c r="K15" i="17"/>
  <c r="K35" i="17" s="1"/>
  <c r="K16" i="17"/>
  <c r="K17" i="17"/>
  <c r="K18" i="17"/>
  <c r="K19" i="17"/>
  <c r="K20" i="17"/>
  <c r="K21" i="17"/>
  <c r="K22" i="17"/>
  <c r="K24" i="17"/>
  <c r="K25" i="17"/>
  <c r="K26" i="17"/>
  <c r="K27" i="17"/>
  <c r="K28" i="17"/>
  <c r="K29" i="17"/>
  <c r="K30" i="17"/>
  <c r="K32" i="13"/>
  <c r="K76" i="13" s="1"/>
  <c r="K33" i="13"/>
  <c r="K34" i="13"/>
  <c r="K35" i="13"/>
  <c r="K36" i="13"/>
  <c r="K37" i="13"/>
  <c r="K38" i="13"/>
  <c r="K39" i="13"/>
  <c r="K40" i="13"/>
  <c r="K41" i="13"/>
  <c r="K42" i="13"/>
  <c r="K43" i="13"/>
  <c r="I44" i="13"/>
  <c r="K44" i="13"/>
  <c r="K45" i="13"/>
  <c r="K46" i="13"/>
  <c r="K47" i="13"/>
  <c r="K48" i="13"/>
  <c r="K49" i="13"/>
  <c r="K50" i="13"/>
  <c r="M77" i="13" s="1"/>
  <c r="K51" i="13"/>
  <c r="K52" i="13"/>
  <c r="K53" i="13"/>
  <c r="K54" i="13"/>
  <c r="K55" i="13"/>
  <c r="K56" i="13"/>
  <c r="K57" i="13"/>
  <c r="K58" i="13"/>
  <c r="K59" i="13"/>
  <c r="K60" i="13"/>
  <c r="K61" i="13"/>
  <c r="K62" i="13"/>
  <c r="K63" i="13"/>
  <c r="K64" i="13"/>
  <c r="K65" i="13"/>
  <c r="K66" i="13"/>
  <c r="K67" i="13"/>
  <c r="K68" i="13"/>
  <c r="K69" i="13"/>
  <c r="K70" i="13"/>
  <c r="K20" i="26"/>
  <c r="K21" i="26"/>
  <c r="K22" i="26"/>
  <c r="K23" i="26"/>
  <c r="K24" i="26"/>
  <c r="K25" i="26"/>
  <c r="K14" i="25"/>
  <c r="K15" i="25"/>
  <c r="K16" i="25"/>
  <c r="K17" i="25"/>
  <c r="K18" i="25"/>
  <c r="K33" i="22"/>
  <c r="K34" i="22"/>
  <c r="K35" i="22"/>
  <c r="I55" i="22" s="1"/>
  <c r="K36" i="22"/>
  <c r="K18" i="22"/>
  <c r="K19" i="22"/>
  <c r="K20" i="22"/>
  <c r="K30" i="22"/>
  <c r="K31" i="22"/>
  <c r="K32" i="22"/>
  <c r="K14" i="22"/>
  <c r="K15" i="22"/>
  <c r="K14" i="16"/>
  <c r="K15" i="16"/>
  <c r="K16" i="16"/>
  <c r="K17" i="16"/>
  <c r="K18" i="16"/>
  <c r="K24" i="16"/>
  <c r="K25" i="16"/>
  <c r="K39" i="16"/>
  <c r="K41" i="16"/>
  <c r="K43" i="16"/>
  <c r="K44" i="16"/>
  <c r="K45" i="16"/>
  <c r="K46" i="16"/>
  <c r="K47" i="16"/>
  <c r="K48" i="16"/>
  <c r="K49" i="16"/>
  <c r="K50" i="16"/>
  <c r="K51" i="16"/>
  <c r="K52" i="16"/>
  <c r="K53" i="16"/>
  <c r="K54" i="16"/>
  <c r="K55" i="16"/>
  <c r="K57" i="16"/>
  <c r="K18" i="7"/>
  <c r="K19" i="7"/>
  <c r="K22" i="7"/>
  <c r="K36" i="7"/>
  <c r="K37" i="7"/>
  <c r="K14" i="7"/>
  <c r="K15" i="7"/>
  <c r="K24" i="14"/>
  <c r="K25" i="14"/>
  <c r="K26" i="14"/>
  <c r="K27" i="14"/>
  <c r="K28" i="14"/>
  <c r="K29" i="14"/>
  <c r="K30" i="14"/>
  <c r="K31" i="14"/>
  <c r="K32" i="14"/>
  <c r="K33" i="14"/>
  <c r="K34" i="14"/>
  <c r="K35" i="14"/>
  <c r="K36" i="14"/>
  <c r="K37" i="14"/>
  <c r="K38" i="14"/>
  <c r="K39" i="14"/>
  <c r="K40" i="14"/>
  <c r="K41" i="14"/>
  <c r="K42" i="14"/>
  <c r="K43" i="14"/>
  <c r="K44" i="14"/>
  <c r="K319" i="14"/>
  <c r="K320" i="14"/>
  <c r="K321" i="14"/>
  <c r="K322" i="14"/>
  <c r="K323" i="14"/>
  <c r="K324" i="14"/>
  <c r="K325" i="14"/>
  <c r="K326" i="14"/>
  <c r="K327" i="14"/>
  <c r="K328" i="14"/>
  <c r="K329" i="14"/>
  <c r="K330" i="14"/>
  <c r="K331" i="14"/>
  <c r="K332" i="14"/>
  <c r="K333" i="14"/>
  <c r="K334" i="14"/>
  <c r="K335" i="14"/>
  <c r="K336" i="14"/>
  <c r="K337" i="14"/>
  <c r="K338" i="14"/>
  <c r="K339" i="14"/>
  <c r="K340" i="14"/>
  <c r="K341" i="14"/>
  <c r="K342" i="14"/>
  <c r="K343" i="14"/>
  <c r="K344" i="14"/>
  <c r="K345" i="14"/>
  <c r="K346" i="14"/>
  <c r="K347" i="14"/>
  <c r="K348" i="14"/>
  <c r="K349" i="14"/>
  <c r="K350" i="14"/>
  <c r="K351" i="14"/>
  <c r="K352" i="14"/>
  <c r="K353" i="14"/>
  <c r="K354" i="14"/>
  <c r="K355" i="14"/>
  <c r="K356" i="14"/>
  <c r="K357" i="14"/>
  <c r="K358" i="14"/>
  <c r="K359" i="14"/>
  <c r="K360" i="14"/>
  <c r="K361" i="14"/>
  <c r="K362" i="14"/>
  <c r="K363" i="14"/>
  <c r="K364" i="14"/>
  <c r="K365" i="14"/>
  <c r="K366" i="14"/>
  <c r="K367" i="14"/>
  <c r="K368" i="14"/>
  <c r="K369" i="14"/>
  <c r="K370" i="14"/>
  <c r="K371" i="14"/>
  <c r="K372" i="14"/>
  <c r="K373" i="14"/>
  <c r="K374" i="14"/>
  <c r="K375" i="14"/>
  <c r="K376" i="14"/>
  <c r="K377" i="14"/>
  <c r="K378" i="14"/>
  <c r="K16" i="14"/>
  <c r="K17" i="14"/>
  <c r="K18" i="14"/>
  <c r="K19" i="14"/>
  <c r="K20" i="14"/>
  <c r="K21" i="14"/>
  <c r="K122" i="14"/>
  <c r="K123" i="14"/>
  <c r="K124" i="14"/>
  <c r="K125" i="14"/>
  <c r="K126" i="14"/>
  <c r="K127" i="14"/>
  <c r="K128" i="14"/>
  <c r="K129" i="14"/>
  <c r="K130" i="14"/>
  <c r="K131" i="14"/>
  <c r="K132" i="14"/>
  <c r="K133" i="14"/>
  <c r="K134" i="14"/>
  <c r="K135" i="14"/>
  <c r="K136" i="14"/>
  <c r="K137" i="14"/>
  <c r="K138" i="14"/>
  <c r="K139" i="14"/>
  <c r="K140" i="14"/>
  <c r="K141" i="14"/>
  <c r="K142" i="14"/>
  <c r="K143" i="14"/>
  <c r="K144" i="14"/>
  <c r="K145" i="14"/>
  <c r="K146" i="14"/>
  <c r="K147" i="14"/>
  <c r="K148" i="14"/>
  <c r="K149" i="14"/>
  <c r="K150" i="14"/>
  <c r="K151" i="14"/>
  <c r="K152" i="14"/>
  <c r="K153" i="14"/>
  <c r="K154" i="14"/>
  <c r="K155" i="14"/>
  <c r="K156" i="14"/>
  <c r="K157" i="14"/>
  <c r="K158" i="14"/>
  <c r="K159" i="14"/>
  <c r="K160" i="14"/>
  <c r="K161" i="14"/>
  <c r="K162" i="14"/>
  <c r="K163" i="14"/>
  <c r="K164" i="14"/>
  <c r="K165" i="14"/>
  <c r="K166" i="14"/>
  <c r="K167" i="14"/>
  <c r="K168" i="14"/>
  <c r="K169" i="14"/>
  <c r="K170" i="14"/>
  <c r="K171" i="14"/>
  <c r="K172" i="14"/>
  <c r="K173" i="14"/>
  <c r="K174" i="14"/>
  <c r="K175" i="14"/>
  <c r="K176" i="14"/>
  <c r="K177" i="14"/>
  <c r="K178" i="14"/>
  <c r="K179" i="14"/>
  <c r="K180" i="14"/>
  <c r="K181" i="14"/>
  <c r="K182" i="14"/>
  <c r="K183" i="14"/>
  <c r="K184" i="14"/>
  <c r="K185" i="14"/>
  <c r="K186" i="14"/>
  <c r="K187" i="14"/>
  <c r="K188" i="14"/>
  <c r="K189" i="14"/>
  <c r="K190" i="14"/>
  <c r="K191" i="14"/>
  <c r="K192" i="14"/>
  <c r="K193" i="14"/>
  <c r="K194" i="14"/>
  <c r="K195" i="14"/>
  <c r="K196" i="14"/>
  <c r="K197" i="14"/>
  <c r="K198" i="14"/>
  <c r="K199" i="14"/>
  <c r="K200" i="14"/>
  <c r="K201" i="14"/>
  <c r="K202" i="14"/>
  <c r="K203" i="14"/>
  <c r="K204" i="14"/>
  <c r="K205" i="14"/>
  <c r="K206" i="14"/>
  <c r="K207" i="14"/>
  <c r="K208" i="14"/>
  <c r="K209" i="14"/>
  <c r="K210" i="14"/>
  <c r="K211" i="14"/>
  <c r="K212" i="14"/>
  <c r="K213" i="14"/>
  <c r="K214" i="14"/>
  <c r="K699" i="14"/>
  <c r="K700" i="14"/>
  <c r="K701" i="14"/>
  <c r="K702" i="14"/>
  <c r="K703" i="14"/>
  <c r="K704" i="14"/>
  <c r="K705" i="14"/>
  <c r="K706" i="14"/>
  <c r="K707" i="14"/>
  <c r="K708" i="14"/>
  <c r="K709" i="14"/>
  <c r="K710" i="14"/>
  <c r="K48" i="22"/>
  <c r="K47" i="22"/>
  <c r="K46" i="22"/>
  <c r="K45" i="22"/>
  <c r="K44" i="22"/>
  <c r="K43" i="22"/>
  <c r="K42" i="22"/>
  <c r="K41" i="22"/>
  <c r="K40" i="22"/>
  <c r="K39" i="22"/>
  <c r="K38" i="22"/>
  <c r="K37" i="22"/>
  <c r="K29" i="22"/>
  <c r="K28" i="22"/>
  <c r="K27" i="22"/>
  <c r="K26" i="22"/>
  <c r="K25" i="22"/>
  <c r="K24" i="22"/>
  <c r="K23" i="22"/>
  <c r="K22" i="22"/>
  <c r="K17" i="22"/>
  <c r="K16" i="22"/>
  <c r="L51" i="29"/>
  <c r="L50" i="29"/>
  <c r="L40" i="29"/>
  <c r="L32" i="29"/>
  <c r="L31" i="29"/>
  <c r="L30" i="29"/>
  <c r="L29" i="29"/>
  <c r="L28" i="29"/>
  <c r="L27" i="29"/>
  <c r="L26" i="29"/>
  <c r="L25" i="29"/>
  <c r="L16" i="29"/>
  <c r="L15" i="29"/>
  <c r="J60" i="29" s="1"/>
  <c r="L14" i="29"/>
  <c r="L240" i="8"/>
  <c r="L239" i="8"/>
  <c r="L238" i="8"/>
  <c r="L237" i="8"/>
  <c r="L236" i="8"/>
  <c r="L235" i="8"/>
  <c r="L234" i="8"/>
  <c r="L233" i="8"/>
  <c r="L232" i="8"/>
  <c r="L231" i="8"/>
  <c r="L230" i="8"/>
  <c r="L229" i="8"/>
  <c r="L228" i="8"/>
  <c r="L227" i="8"/>
  <c r="L226" i="8"/>
  <c r="L225" i="8"/>
  <c r="L224" i="8"/>
  <c r="L223" i="8"/>
  <c r="L222" i="8"/>
  <c r="L221" i="8"/>
  <c r="L220" i="8"/>
  <c r="L219" i="8"/>
  <c r="L218" i="8"/>
  <c r="L217" i="8"/>
  <c r="L216" i="8"/>
  <c r="L215" i="8"/>
  <c r="L214" i="8"/>
  <c r="L213" i="8"/>
  <c r="L212" i="8"/>
  <c r="L211" i="8"/>
  <c r="L210" i="8"/>
  <c r="L209" i="8"/>
  <c r="L208" i="8"/>
  <c r="L207" i="8"/>
  <c r="L206" i="8"/>
  <c r="L205" i="8"/>
  <c r="L204" i="8"/>
  <c r="L203" i="8"/>
  <c r="L202" i="8"/>
  <c r="L201" i="8"/>
  <c r="L200" i="8"/>
  <c r="L199" i="8"/>
  <c r="L198" i="8"/>
  <c r="L197" i="8"/>
  <c r="L196" i="8"/>
  <c r="L195" i="8"/>
  <c r="L194" i="8"/>
  <c r="L193" i="8"/>
  <c r="L192" i="8"/>
  <c r="L191" i="8"/>
  <c r="L190" i="8"/>
  <c r="L189" i="8"/>
  <c r="L188" i="8"/>
  <c r="L187" i="8"/>
  <c r="L186" i="8"/>
  <c r="L185" i="8"/>
  <c r="L184" i="8"/>
  <c r="L183" i="8"/>
  <c r="L182" i="8"/>
  <c r="L181" i="8"/>
  <c r="L180" i="8"/>
  <c r="L179" i="8"/>
  <c r="L178" i="8"/>
  <c r="L177" i="8"/>
  <c r="L176" i="8"/>
  <c r="L175" i="8"/>
  <c r="L174" i="8"/>
  <c r="L170" i="8"/>
  <c r="L169" i="8"/>
  <c r="L168" i="8"/>
  <c r="L167" i="8"/>
  <c r="L166" i="8"/>
  <c r="L165" i="8"/>
  <c r="L164" i="8"/>
  <c r="L163" i="8"/>
  <c r="L162" i="8"/>
  <c r="L161" i="8"/>
  <c r="L160" i="8"/>
  <c r="L159" i="8"/>
  <c r="L151" i="8"/>
  <c r="L150" i="8"/>
  <c r="L128" i="8"/>
  <c r="L127" i="8"/>
  <c r="L126" i="8"/>
  <c r="L125" i="8"/>
  <c r="L124" i="8"/>
  <c r="L123" i="8"/>
  <c r="L122" i="8"/>
  <c r="L121" i="8"/>
  <c r="L120" i="8"/>
  <c r="L119" i="8"/>
  <c r="L118" i="8"/>
  <c r="L117" i="8"/>
  <c r="L116" i="8"/>
  <c r="L115" i="8"/>
  <c r="L114" i="8"/>
  <c r="L113" i="8"/>
  <c r="L112" i="8"/>
  <c r="L111" i="8"/>
  <c r="L110" i="8"/>
  <c r="L109" i="8"/>
  <c r="L108" i="8"/>
  <c r="L107" i="8"/>
  <c r="L106" i="8"/>
  <c r="L105" i="8"/>
  <c r="L83" i="8"/>
  <c r="L81" i="8"/>
  <c r="L80" i="8"/>
  <c r="L79" i="8"/>
  <c r="L78" i="8"/>
  <c r="L77" i="8"/>
  <c r="L76" i="8"/>
  <c r="L75" i="8"/>
  <c r="L74" i="8"/>
  <c r="L73" i="8"/>
  <c r="L72" i="8"/>
  <c r="L71" i="8"/>
  <c r="L70" i="8"/>
  <c r="L69" i="8"/>
  <c r="L68" i="8"/>
  <c r="L67" i="8"/>
  <c r="L66" i="8"/>
  <c r="L65" i="8"/>
  <c r="L64" i="8"/>
  <c r="L63" i="8"/>
  <c r="L62" i="8"/>
  <c r="L61" i="8"/>
  <c r="L60" i="8"/>
  <c r="L59" i="8"/>
  <c r="L58" i="8"/>
  <c r="L57" i="8"/>
  <c r="L56" i="8"/>
  <c r="L55" i="8"/>
  <c r="L54" i="8"/>
  <c r="L53" i="8"/>
  <c r="L52" i="8"/>
  <c r="L51" i="8"/>
  <c r="L50" i="8"/>
  <c r="L49" i="8"/>
  <c r="L45" i="8"/>
  <c r="L44" i="8"/>
  <c r="L43" i="8"/>
  <c r="L42" i="8"/>
  <c r="L41" i="8"/>
  <c r="L40" i="8"/>
  <c r="L36" i="8"/>
  <c r="L35" i="8"/>
  <c r="L28" i="8"/>
  <c r="L20" i="8"/>
  <c r="L19" i="8"/>
  <c r="L18" i="8"/>
  <c r="L17" i="8"/>
  <c r="L16" i="8"/>
  <c r="L15" i="8"/>
  <c r="L14" i="8"/>
  <c r="K116" i="19"/>
  <c r="K106" i="19"/>
  <c r="K105" i="19"/>
  <c r="K104" i="19"/>
  <c r="K103" i="19"/>
  <c r="K102" i="19"/>
  <c r="K101" i="19"/>
  <c r="K100" i="19"/>
  <c r="K99" i="19"/>
  <c r="K98" i="19"/>
  <c r="K97" i="19"/>
  <c r="K96" i="19"/>
  <c r="K95" i="19"/>
  <c r="K94" i="19"/>
  <c r="K80" i="19"/>
  <c r="K79" i="19"/>
  <c r="K78" i="19"/>
  <c r="K77" i="19"/>
  <c r="K76" i="19"/>
  <c r="K75" i="19"/>
  <c r="K74" i="19"/>
  <c r="K73" i="19"/>
  <c r="K72" i="19"/>
  <c r="K71" i="19"/>
  <c r="K58" i="19"/>
  <c r="K57" i="19"/>
  <c r="K56" i="19"/>
  <c r="K55" i="19"/>
  <c r="K54" i="19"/>
  <c r="K53" i="19"/>
  <c r="K52" i="19"/>
  <c r="K51" i="19"/>
  <c r="K50" i="19"/>
  <c r="K49" i="19"/>
  <c r="K48" i="19"/>
  <c r="K47" i="19"/>
  <c r="K46" i="19"/>
  <c r="K29" i="19"/>
  <c r="K28" i="19"/>
  <c r="K27" i="19"/>
  <c r="K26" i="19"/>
  <c r="K25" i="19"/>
  <c r="K24" i="19"/>
  <c r="K23" i="19"/>
  <c r="K22" i="19"/>
  <c r="K21" i="19"/>
  <c r="K20" i="19"/>
  <c r="K19" i="19"/>
  <c r="K18" i="19"/>
  <c r="K17" i="19"/>
  <c r="K16" i="19"/>
  <c r="K32" i="20"/>
  <c r="K31" i="20"/>
  <c r="K30" i="20"/>
  <c r="K29" i="20"/>
  <c r="K26" i="20"/>
  <c r="K23" i="20"/>
  <c r="K22" i="20"/>
  <c r="K21" i="20"/>
  <c r="K20" i="20"/>
  <c r="K19" i="20"/>
  <c r="K18" i="20"/>
  <c r="K17" i="20"/>
  <c r="K16" i="20"/>
  <c r="K15" i="20"/>
  <c r="K14" i="20"/>
  <c r="K105" i="24"/>
  <c r="K104" i="24"/>
  <c r="K103" i="24"/>
  <c r="K102" i="24"/>
  <c r="K101" i="24"/>
  <c r="K100" i="24"/>
  <c r="K99" i="24"/>
  <c r="K98" i="24"/>
  <c r="K97" i="24"/>
  <c r="K96" i="24"/>
  <c r="K95" i="24"/>
  <c r="K94" i="24"/>
  <c r="K93" i="24"/>
  <c r="K92" i="24"/>
  <c r="K91" i="24"/>
  <c r="K90" i="24"/>
  <c r="K89" i="24"/>
  <c r="K88" i="24"/>
  <c r="K87" i="24"/>
  <c r="K86" i="24"/>
  <c r="K85" i="24"/>
  <c r="K84" i="24"/>
  <c r="K83" i="24"/>
  <c r="K82" i="24"/>
  <c r="K81" i="24"/>
  <c r="K80" i="24"/>
  <c r="K79" i="24"/>
  <c r="K78" i="24"/>
  <c r="K77" i="24"/>
  <c r="K76" i="24"/>
  <c r="K75" i="24"/>
  <c r="K74" i="24"/>
  <c r="K73" i="24"/>
  <c r="K72" i="24"/>
  <c r="K71" i="24"/>
  <c r="K70" i="24"/>
  <c r="K69" i="24"/>
  <c r="K68" i="24"/>
  <c r="K61" i="24"/>
  <c r="K60" i="24"/>
  <c r="K59" i="24"/>
  <c r="K58" i="24"/>
  <c r="K57" i="24"/>
  <c r="K56" i="24"/>
  <c r="K55" i="24"/>
  <c r="K54" i="24"/>
  <c r="K53" i="24"/>
  <c r="K52" i="24"/>
  <c r="K51" i="24"/>
  <c r="K50" i="24"/>
  <c r="K49" i="24"/>
  <c r="K48" i="24"/>
  <c r="K21" i="24"/>
  <c r="K20" i="24"/>
  <c r="K19" i="24"/>
  <c r="K18" i="24"/>
  <c r="K17" i="24"/>
  <c r="K16" i="24"/>
  <c r="K15" i="24"/>
  <c r="K21" i="25"/>
  <c r="K20" i="25"/>
  <c r="K19" i="25"/>
  <c r="K26" i="26"/>
  <c r="K19" i="26"/>
  <c r="K18" i="26"/>
  <c r="K17" i="26"/>
  <c r="K16" i="26"/>
  <c r="K15" i="26"/>
  <c r="K37" i="21"/>
  <c r="K36" i="21"/>
  <c r="K35" i="21"/>
  <c r="K34" i="21"/>
  <c r="K33" i="21"/>
  <c r="K32" i="21"/>
  <c r="K31" i="21"/>
  <c r="K30" i="21"/>
  <c r="K29" i="21"/>
  <c r="K28" i="21"/>
  <c r="K27" i="21"/>
  <c r="K26" i="21"/>
  <c r="K25" i="21"/>
  <c r="K24" i="21"/>
  <c r="K23" i="21"/>
  <c r="K22" i="21"/>
  <c r="K21" i="21"/>
  <c r="K20" i="21"/>
  <c r="K19" i="21"/>
  <c r="K18" i="21"/>
  <c r="K17" i="21"/>
  <c r="K16" i="21"/>
  <c r="K15" i="21"/>
  <c r="K13" i="20"/>
  <c r="K14" i="24"/>
  <c r="K14" i="26"/>
  <c r="K14" i="21"/>
  <c r="L115" i="18"/>
  <c r="L114" i="18"/>
  <c r="L113" i="18"/>
  <c r="L112" i="18"/>
  <c r="L111" i="18"/>
  <c r="L110" i="18"/>
  <c r="L109" i="18"/>
  <c r="L108" i="18"/>
  <c r="L107" i="18"/>
  <c r="L106" i="18"/>
  <c r="L105" i="18"/>
  <c r="L104" i="18"/>
  <c r="L103" i="18"/>
  <c r="L102" i="18"/>
  <c r="L101" i="18"/>
  <c r="L100" i="18"/>
  <c r="L99" i="18"/>
  <c r="L98" i="18"/>
  <c r="L97" i="18"/>
  <c r="L96" i="18"/>
  <c r="K23" i="17"/>
  <c r="K231" i="11"/>
  <c r="K230" i="11"/>
  <c r="K229" i="11"/>
  <c r="K228" i="11"/>
  <c r="K227" i="11"/>
  <c r="K226" i="11"/>
  <c r="K225" i="11"/>
  <c r="K224" i="11"/>
  <c r="K223" i="11"/>
  <c r="K222" i="11"/>
  <c r="K221" i="11"/>
  <c r="K220" i="11"/>
  <c r="K219" i="11"/>
  <c r="K218" i="11"/>
  <c r="K217" i="11"/>
  <c r="K216" i="11"/>
  <c r="K215" i="11"/>
  <c r="K214" i="11"/>
  <c r="K213" i="11"/>
  <c r="K212" i="11"/>
  <c r="K211" i="11"/>
  <c r="K210" i="11"/>
  <c r="K209" i="11"/>
  <c r="K208" i="11"/>
  <c r="K207" i="11"/>
  <c r="K206" i="11"/>
  <c r="K193" i="11"/>
  <c r="K192" i="11"/>
  <c r="K191" i="11"/>
  <c r="K190" i="11"/>
  <c r="K189" i="11"/>
  <c r="K188" i="11"/>
  <c r="K187" i="11"/>
  <c r="K186" i="11"/>
  <c r="K185" i="11"/>
  <c r="K184" i="11"/>
  <c r="K183" i="11"/>
  <c r="K182" i="11"/>
  <c r="K181" i="11"/>
  <c r="K180" i="11"/>
  <c r="K179" i="11"/>
  <c r="K178" i="11"/>
  <c r="K177" i="11"/>
  <c r="K176" i="11"/>
  <c r="K175" i="11"/>
  <c r="K174" i="11"/>
  <c r="K173" i="11"/>
  <c r="K172" i="11"/>
  <c r="K171" i="11"/>
  <c r="K170" i="11"/>
  <c r="K169" i="11"/>
  <c r="K168" i="11"/>
  <c r="K167" i="11"/>
  <c r="K166" i="11"/>
  <c r="K165" i="11"/>
  <c r="K164" i="11"/>
  <c r="K163" i="11"/>
  <c r="K162" i="11"/>
  <c r="K161" i="11"/>
  <c r="K160" i="11"/>
  <c r="K159" i="11"/>
  <c r="K158" i="11"/>
  <c r="K157" i="11"/>
  <c r="K156" i="11"/>
  <c r="K155" i="11"/>
  <c r="K154" i="11"/>
  <c r="K153" i="11"/>
  <c r="K152" i="11"/>
  <c r="K151" i="11"/>
  <c r="K150" i="11"/>
  <c r="K149" i="11"/>
  <c r="K148" i="11"/>
  <c r="K147" i="11"/>
  <c r="K146" i="11"/>
  <c r="K145" i="11"/>
  <c r="K144" i="11"/>
  <c r="K143" i="11"/>
  <c r="K142" i="11"/>
  <c r="K141" i="11"/>
  <c r="K140" i="11"/>
  <c r="K139" i="11"/>
  <c r="K138" i="11"/>
  <c r="K137" i="11"/>
  <c r="K136" i="11"/>
  <c r="K135" i="11"/>
  <c r="K134" i="11"/>
  <c r="K133" i="11"/>
  <c r="K132" i="11"/>
  <c r="K131" i="11"/>
  <c r="K130" i="11"/>
  <c r="K129" i="11"/>
  <c r="K128" i="11"/>
  <c r="K127" i="11"/>
  <c r="K126" i="11"/>
  <c r="K125" i="11"/>
  <c r="K124" i="11"/>
  <c r="K123" i="11"/>
  <c r="K119" i="11"/>
  <c r="K118" i="11"/>
  <c r="K117" i="11"/>
  <c r="K116" i="11"/>
  <c r="K115" i="11"/>
  <c r="K114" i="11"/>
  <c r="K113" i="11"/>
  <c r="K112" i="11"/>
  <c r="K111" i="11"/>
  <c r="K110" i="11"/>
  <c r="K109" i="11"/>
  <c r="K108" i="11"/>
  <c r="K107" i="11"/>
  <c r="K106" i="11"/>
  <c r="K105" i="11"/>
  <c r="K104" i="11"/>
  <c r="K103" i="11"/>
  <c r="K102" i="11"/>
  <c r="K101" i="11"/>
  <c r="K100" i="11"/>
  <c r="K99" i="11"/>
  <c r="K98" i="11"/>
  <c r="K97" i="11"/>
  <c r="K96" i="11"/>
  <c r="K86" i="11"/>
  <c r="K85" i="11"/>
  <c r="K84" i="11"/>
  <c r="K83" i="11"/>
  <c r="K82" i="11"/>
  <c r="K81" i="11"/>
  <c r="K80" i="11"/>
  <c r="K79" i="11"/>
  <c r="K78" i="11"/>
  <c r="K77" i="11"/>
  <c r="K76" i="11"/>
  <c r="K75" i="11"/>
  <c r="K74" i="11"/>
  <c r="K73" i="11"/>
  <c r="K72" i="11"/>
  <c r="K71" i="11"/>
  <c r="K70" i="11"/>
  <c r="K69" i="11"/>
  <c r="K68" i="11"/>
  <c r="K67" i="11"/>
  <c r="K66" i="11"/>
  <c r="K65" i="11"/>
  <c r="K64" i="11"/>
  <c r="K63" i="11"/>
  <c r="K62" i="11"/>
  <c r="K61" i="11"/>
  <c r="K60" i="11"/>
  <c r="K59" i="11"/>
  <c r="K58" i="11"/>
  <c r="K57" i="11"/>
  <c r="K56" i="11"/>
  <c r="K55" i="11"/>
  <c r="K54" i="11"/>
  <c r="K53" i="11"/>
  <c r="K52" i="11"/>
  <c r="K51" i="11"/>
  <c r="K50" i="11"/>
  <c r="K49" i="11"/>
  <c r="K48" i="11"/>
  <c r="K47" i="11"/>
  <c r="K46" i="11"/>
  <c r="K45" i="11"/>
  <c r="K44" i="11"/>
  <c r="K43" i="11"/>
  <c r="K42" i="11"/>
  <c r="K41" i="11"/>
  <c r="K40" i="11"/>
  <c r="K39" i="11"/>
  <c r="K38" i="11"/>
  <c r="K37" i="11"/>
  <c r="K36" i="11"/>
  <c r="K35" i="11"/>
  <c r="K34" i="11"/>
  <c r="K33" i="11"/>
  <c r="K32" i="11"/>
  <c r="K31" i="11"/>
  <c r="K30" i="11"/>
  <c r="K15" i="11"/>
  <c r="K14" i="11"/>
  <c r="K647" i="12"/>
  <c r="K646" i="12"/>
  <c r="K645" i="12"/>
  <c r="K644" i="12"/>
  <c r="K637" i="12"/>
  <c r="K636" i="12"/>
  <c r="K635" i="12"/>
  <c r="K634" i="12"/>
  <c r="K633" i="12"/>
  <c r="K632" i="12"/>
  <c r="K631" i="12"/>
  <c r="K630" i="12"/>
  <c r="K629" i="12"/>
  <c r="K628" i="12"/>
  <c r="K627" i="12"/>
  <c r="K626" i="12"/>
  <c r="K625" i="12"/>
  <c r="K624" i="12"/>
  <c r="K623" i="12"/>
  <c r="K622" i="12"/>
  <c r="K621" i="12"/>
  <c r="K620" i="12"/>
  <c r="K619" i="12"/>
  <c r="K618" i="12"/>
  <c r="K617" i="12"/>
  <c r="K616" i="12"/>
  <c r="K615" i="12"/>
  <c r="K614" i="12"/>
  <c r="K613" i="12"/>
  <c r="K612" i="12"/>
  <c r="K611" i="12"/>
  <c r="K588" i="12"/>
  <c r="K587" i="12"/>
  <c r="K586" i="12"/>
  <c r="K569" i="12"/>
  <c r="K568" i="12"/>
  <c r="K567" i="12"/>
  <c r="K566" i="12"/>
  <c r="K565" i="12"/>
  <c r="K564" i="12"/>
  <c r="K563" i="12"/>
  <c r="K562" i="12"/>
  <c r="K561" i="12"/>
  <c r="K560" i="12"/>
  <c r="K559" i="12"/>
  <c r="K558" i="12"/>
  <c r="K557" i="12"/>
  <c r="K556" i="12"/>
  <c r="K555" i="12"/>
  <c r="K554" i="12"/>
  <c r="K553" i="12"/>
  <c r="K552" i="12"/>
  <c r="K551" i="12"/>
  <c r="K550" i="12"/>
  <c r="K549" i="12"/>
  <c r="K548" i="12"/>
  <c r="K547" i="12"/>
  <c r="K546" i="12"/>
  <c r="K545" i="12"/>
  <c r="K544" i="12"/>
  <c r="K543" i="12"/>
  <c r="K542" i="12"/>
  <c r="K541" i="12"/>
  <c r="K540" i="12"/>
  <c r="K539" i="12"/>
  <c r="K538" i="12"/>
  <c r="K537" i="12"/>
  <c r="K536" i="12"/>
  <c r="K535" i="12"/>
  <c r="K534" i="12"/>
  <c r="K533" i="12"/>
  <c r="K532" i="12"/>
  <c r="K531" i="12"/>
  <c r="K530" i="12"/>
  <c r="K529" i="12"/>
  <c r="K528" i="12"/>
  <c r="K527" i="12"/>
  <c r="K526" i="12"/>
  <c r="K525" i="12"/>
  <c r="K524" i="12"/>
  <c r="K523" i="12"/>
  <c r="K522" i="12"/>
  <c r="K521" i="12"/>
  <c r="K520" i="12"/>
  <c r="K519" i="12"/>
  <c r="K518" i="12"/>
  <c r="K517" i="12"/>
  <c r="K516" i="12"/>
  <c r="K515" i="12"/>
  <c r="K514" i="12"/>
  <c r="K513" i="12"/>
  <c r="K512" i="12"/>
  <c r="K511" i="12"/>
  <c r="K510" i="12"/>
  <c r="K509" i="12"/>
  <c r="K508" i="12"/>
  <c r="K507" i="12"/>
  <c r="K506" i="12"/>
  <c r="K505" i="12"/>
  <c r="K504" i="12"/>
  <c r="K503" i="12"/>
  <c r="K502" i="12"/>
  <c r="K501" i="12"/>
  <c r="K500" i="12"/>
  <c r="K480" i="12"/>
  <c r="K479" i="12"/>
  <c r="K478" i="12"/>
  <c r="K477" i="12"/>
  <c r="K476" i="12"/>
  <c r="K464" i="12"/>
  <c r="K463" i="12"/>
  <c r="K462" i="12"/>
  <c r="K461" i="12"/>
  <c r="K460" i="12"/>
  <c r="K459" i="12"/>
  <c r="K458" i="12"/>
  <c r="K457" i="12"/>
  <c r="K456" i="12"/>
  <c r="K455" i="12"/>
  <c r="K454" i="12"/>
  <c r="K453" i="12"/>
  <c r="K452" i="12"/>
  <c r="K451" i="12"/>
  <c r="K450" i="12"/>
  <c r="K449" i="12"/>
  <c r="K448" i="12"/>
  <c r="K447" i="12"/>
  <c r="K446" i="12"/>
  <c r="K445" i="12"/>
  <c r="K444" i="12"/>
  <c r="K443" i="12"/>
  <c r="K442" i="12"/>
  <c r="K441" i="12"/>
  <c r="K440" i="12"/>
  <c r="K439" i="12"/>
  <c r="K438" i="12"/>
  <c r="K437" i="12"/>
  <c r="K436" i="12"/>
  <c r="K401" i="12"/>
  <c r="K400" i="12"/>
  <c r="K399" i="12"/>
  <c r="K398" i="12"/>
  <c r="K397" i="12"/>
  <c r="K396" i="12"/>
  <c r="K388" i="12"/>
  <c r="K387" i="12"/>
  <c r="K386" i="12"/>
  <c r="K385" i="12"/>
  <c r="K384" i="12"/>
  <c r="K383" i="12"/>
  <c r="K382" i="12"/>
  <c r="K381" i="12"/>
  <c r="K380" i="12"/>
  <c r="K379" i="12"/>
  <c r="K378" i="12"/>
  <c r="K377" i="12"/>
  <c r="K376" i="12"/>
  <c r="K375" i="12"/>
  <c r="K363" i="12"/>
  <c r="K362" i="12"/>
  <c r="K361" i="12"/>
  <c r="K360" i="12"/>
  <c r="K359" i="12"/>
  <c r="K358" i="12"/>
  <c r="K357" i="12"/>
  <c r="K356" i="12"/>
  <c r="K355" i="12"/>
  <c r="K354" i="12"/>
  <c r="K353" i="12"/>
  <c r="K352" i="12"/>
  <c r="K351" i="12"/>
  <c r="K350" i="12"/>
  <c r="K349" i="12"/>
  <c r="K348" i="12"/>
  <c r="K347" i="12"/>
  <c r="K346" i="12"/>
  <c r="K345" i="12"/>
  <c r="K344" i="12"/>
  <c r="K343" i="12"/>
  <c r="K342" i="12"/>
  <c r="K341" i="12"/>
  <c r="K340" i="12"/>
  <c r="K339" i="12"/>
  <c r="K327" i="12"/>
  <c r="K326" i="12"/>
  <c r="K325" i="12"/>
  <c r="K324" i="12"/>
  <c r="K323" i="12"/>
  <c r="K322" i="12"/>
  <c r="K321" i="12"/>
  <c r="K320" i="12"/>
  <c r="K319" i="12"/>
  <c r="K318" i="12"/>
  <c r="K317" i="12"/>
  <c r="K316" i="12"/>
  <c r="K315" i="12"/>
  <c r="K314" i="12"/>
  <c r="K313" i="12"/>
  <c r="K312" i="12"/>
  <c r="K311" i="12"/>
  <c r="K310" i="12"/>
  <c r="K309" i="12"/>
  <c r="K308" i="12"/>
  <c r="K307" i="12"/>
  <c r="K306" i="12"/>
  <c r="K305" i="12"/>
  <c r="K304" i="12"/>
  <c r="K303" i="12"/>
  <c r="K302" i="12"/>
  <c r="K301" i="12"/>
  <c r="K300" i="12"/>
  <c r="K299" i="12"/>
  <c r="K298" i="12"/>
  <c r="K297" i="12"/>
  <c r="K296" i="12"/>
  <c r="K295" i="12"/>
  <c r="K294" i="12"/>
  <c r="K293" i="12"/>
  <c r="K292" i="12"/>
  <c r="K291" i="12"/>
  <c r="K290" i="12"/>
  <c r="K256" i="12"/>
  <c r="K255" i="12"/>
  <c r="K254" i="12"/>
  <c r="K253" i="12"/>
  <c r="K252" i="12"/>
  <c r="K251" i="12"/>
  <c r="K250" i="12"/>
  <c r="K249" i="12"/>
  <c r="K248" i="12"/>
  <c r="K247" i="12"/>
  <c r="K246" i="12"/>
  <c r="K245" i="12"/>
  <c r="K244" i="12"/>
  <c r="K243" i="12"/>
  <c r="K242" i="12"/>
  <c r="K241" i="12"/>
  <c r="K240" i="12"/>
  <c r="K239" i="12"/>
  <c r="K238" i="12"/>
  <c r="K237" i="12"/>
  <c r="K236" i="12"/>
  <c r="K235" i="12"/>
  <c r="K234" i="12"/>
  <c r="K233" i="12"/>
  <c r="K232" i="12"/>
  <c r="K231" i="12"/>
  <c r="K230" i="12"/>
  <c r="K229" i="12"/>
  <c r="K228" i="12"/>
  <c r="K227" i="12"/>
  <c r="K226" i="12"/>
  <c r="K225" i="12"/>
  <c r="K224" i="12"/>
  <c r="K223" i="12"/>
  <c r="K222" i="12"/>
  <c r="K221" i="12"/>
  <c r="K220" i="12"/>
  <c r="K219" i="12"/>
  <c r="K218" i="12"/>
  <c r="K217" i="12"/>
  <c r="K216" i="12"/>
  <c r="K215" i="12"/>
  <c r="K214" i="12"/>
  <c r="K213" i="12"/>
  <c r="K212" i="12"/>
  <c r="K211" i="12"/>
  <c r="K210" i="12"/>
  <c r="K209" i="12"/>
  <c r="K208" i="12"/>
  <c r="K207" i="12"/>
  <c r="K206" i="12"/>
  <c r="K205" i="12"/>
  <c r="K160" i="12"/>
  <c r="K159" i="12"/>
  <c r="K158" i="12"/>
  <c r="K157" i="12"/>
  <c r="K156" i="12"/>
  <c r="K155" i="12"/>
  <c r="K154" i="12"/>
  <c r="K153" i="12"/>
  <c r="K152" i="12"/>
  <c r="K151" i="12"/>
  <c r="K150" i="12"/>
  <c r="K149" i="12"/>
  <c r="K148" i="12"/>
  <c r="K147" i="12"/>
  <c r="K146" i="12"/>
  <c r="K145" i="12"/>
  <c r="K144" i="12"/>
  <c r="K143" i="12"/>
  <c r="K142" i="12"/>
  <c r="K141" i="12"/>
  <c r="K140" i="12"/>
  <c r="K139" i="12"/>
  <c r="K138" i="12"/>
  <c r="K137" i="12"/>
  <c r="K136" i="12"/>
  <c r="K135" i="12"/>
  <c r="K134" i="12"/>
  <c r="K133" i="12"/>
  <c r="K132" i="12"/>
  <c r="K131" i="12"/>
  <c r="K130" i="12"/>
  <c r="K129" i="12"/>
  <c r="K128"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K92" i="12"/>
  <c r="K91" i="12"/>
  <c r="K90" i="12"/>
  <c r="K65" i="12"/>
  <c r="K64" i="12"/>
  <c r="K63" i="12"/>
  <c r="K62" i="12"/>
  <c r="K61" i="12"/>
  <c r="K60" i="12"/>
  <c r="K59" i="12"/>
  <c r="K58" i="12"/>
  <c r="K57" i="12"/>
  <c r="K56" i="12"/>
  <c r="K55" i="12"/>
  <c r="K43" i="12"/>
  <c r="K42" i="12"/>
  <c r="K41" i="12"/>
  <c r="K40" i="12"/>
  <c r="K39" i="12"/>
  <c r="K38" i="12"/>
  <c r="K37" i="12"/>
  <c r="K36" i="12"/>
  <c r="K35" i="12"/>
  <c r="K34" i="12"/>
  <c r="K33" i="12"/>
  <c r="K32" i="12"/>
  <c r="K31" i="12"/>
  <c r="K30" i="12"/>
  <c r="K29" i="12"/>
  <c r="K28" i="12"/>
  <c r="K27" i="12"/>
  <c r="K26" i="12"/>
  <c r="K25" i="12"/>
  <c r="K24" i="12"/>
  <c r="K23" i="12"/>
  <c r="K68" i="16"/>
  <c r="K67" i="16"/>
  <c r="K66" i="16"/>
  <c r="K65" i="16"/>
  <c r="K64" i="16"/>
  <c r="K63" i="16"/>
  <c r="K62" i="16"/>
  <c r="K61" i="16"/>
  <c r="K60" i="16"/>
  <c r="K59" i="16"/>
  <c r="K58" i="16"/>
  <c r="K56" i="16"/>
  <c r="K42" i="16"/>
  <c r="K40" i="16"/>
  <c r="K38" i="16"/>
  <c r="K37" i="16"/>
  <c r="K36" i="16"/>
  <c r="K35" i="16"/>
  <c r="K34" i="16"/>
  <c r="K33" i="16"/>
  <c r="K32" i="16"/>
  <c r="K31" i="16"/>
  <c r="K30" i="16"/>
  <c r="K29" i="16"/>
  <c r="K28" i="16"/>
  <c r="K27" i="16"/>
  <c r="K26" i="16"/>
  <c r="K23" i="16"/>
  <c r="K22" i="16"/>
  <c r="K21" i="16"/>
  <c r="K20" i="16"/>
  <c r="K19" i="16"/>
  <c r="K748" i="14"/>
  <c r="K747" i="14"/>
  <c r="K746" i="14"/>
  <c r="K745" i="14"/>
  <c r="K744" i="14"/>
  <c r="K743" i="14"/>
  <c r="K742" i="14"/>
  <c r="K741" i="14"/>
  <c r="K740" i="14"/>
  <c r="K739" i="14"/>
  <c r="K738" i="14"/>
  <c r="K737" i="14"/>
  <c r="K736" i="14"/>
  <c r="K735" i="14"/>
  <c r="K734" i="14"/>
  <c r="K733" i="14"/>
  <c r="K732" i="14"/>
  <c r="K731" i="14"/>
  <c r="K730" i="14"/>
  <c r="K729" i="14"/>
  <c r="K728" i="14"/>
  <c r="K727" i="14"/>
  <c r="K726" i="14"/>
  <c r="K725" i="14"/>
  <c r="K724" i="14"/>
  <c r="K723" i="14"/>
  <c r="K722" i="14"/>
  <c r="K721" i="14"/>
  <c r="K720" i="14"/>
  <c r="K719" i="14"/>
  <c r="K718" i="14"/>
  <c r="K717" i="14"/>
  <c r="K716" i="14"/>
  <c r="K715" i="14"/>
  <c r="K714" i="14"/>
  <c r="K713" i="14"/>
  <c r="K712" i="14"/>
  <c r="K711" i="14"/>
  <c r="K698" i="14"/>
  <c r="K697" i="14"/>
  <c r="K696" i="14"/>
  <c r="K695" i="14"/>
  <c r="K694" i="14"/>
  <c r="K693" i="14"/>
  <c r="K692" i="14"/>
  <c r="K691" i="14"/>
  <c r="K690" i="14"/>
  <c r="K689" i="14"/>
  <c r="K688" i="14"/>
  <c r="K687" i="14"/>
  <c r="K686" i="14"/>
  <c r="K685" i="14"/>
  <c r="K684" i="14"/>
  <c r="K683" i="14"/>
  <c r="K682" i="14"/>
  <c r="K681" i="14"/>
  <c r="K680" i="14"/>
  <c r="K679" i="14"/>
  <c r="K678" i="14"/>
  <c r="K677" i="14"/>
  <c r="K676" i="14"/>
  <c r="K675" i="14"/>
  <c r="K674" i="14"/>
  <c r="K673" i="14"/>
  <c r="K672" i="14"/>
  <c r="K671" i="14"/>
  <c r="K670" i="14"/>
  <c r="K669" i="14"/>
  <c r="K668" i="14"/>
  <c r="K667" i="14"/>
  <c r="K666" i="14"/>
  <c r="K665" i="14"/>
  <c r="K664" i="14"/>
  <c r="K663" i="14"/>
  <c r="K662" i="14"/>
  <c r="K661" i="14"/>
  <c r="K660" i="14"/>
  <c r="K659" i="14"/>
  <c r="K658" i="14"/>
  <c r="K657" i="14"/>
  <c r="K656" i="14"/>
  <c r="K655" i="14"/>
  <c r="K654" i="14"/>
  <c r="K653" i="14"/>
  <c r="K652" i="14"/>
  <c r="K651" i="14"/>
  <c r="K650" i="14"/>
  <c r="K649" i="14"/>
  <c r="K648" i="14"/>
  <c r="K647" i="14"/>
  <c r="K646" i="14"/>
  <c r="K645" i="14"/>
  <c r="K644" i="14"/>
  <c r="K643" i="14"/>
  <c r="K642" i="14"/>
  <c r="K641" i="14"/>
  <c r="K640" i="14"/>
  <c r="K639" i="14"/>
  <c r="K638" i="14"/>
  <c r="K637" i="14"/>
  <c r="K636" i="14"/>
  <c r="K635" i="14"/>
  <c r="K634" i="14"/>
  <c r="K633" i="14"/>
  <c r="K632" i="14"/>
  <c r="K631" i="14"/>
  <c r="K630" i="14"/>
  <c r="K629" i="14"/>
  <c r="K628" i="14"/>
  <c r="K627" i="14"/>
  <c r="K626" i="14"/>
  <c r="K625" i="14"/>
  <c r="K624" i="14"/>
  <c r="K623" i="14"/>
  <c r="K622" i="14"/>
  <c r="K621" i="14"/>
  <c r="K620" i="14"/>
  <c r="K619" i="14"/>
  <c r="K618" i="14"/>
  <c r="K617" i="14"/>
  <c r="K616" i="14"/>
  <c r="K615" i="14"/>
  <c r="K614" i="14"/>
  <c r="K613" i="14"/>
  <c r="K612" i="14"/>
  <c r="K611" i="14"/>
  <c r="K610" i="14"/>
  <c r="K609" i="14"/>
  <c r="K608" i="14"/>
  <c r="K607" i="14"/>
  <c r="K606" i="14"/>
  <c r="K605" i="14"/>
  <c r="K604" i="14"/>
  <c r="K603" i="14"/>
  <c r="K602" i="14"/>
  <c r="K601" i="14"/>
  <c r="K600" i="14"/>
  <c r="K599" i="14"/>
  <c r="K598" i="14"/>
  <c r="K597" i="14"/>
  <c r="K596" i="14"/>
  <c r="K595" i="14"/>
  <c r="K594" i="14"/>
  <c r="K593" i="14"/>
  <c r="K592" i="14"/>
  <c r="K591" i="14"/>
  <c r="K590" i="14"/>
  <c r="K589" i="14"/>
  <c r="K588" i="14"/>
  <c r="K587" i="14"/>
  <c r="K586" i="14"/>
  <c r="K585" i="14"/>
  <c r="K584" i="14"/>
  <c r="K583" i="14"/>
  <c r="K582" i="14"/>
  <c r="K581" i="14"/>
  <c r="K580" i="14"/>
  <c r="K579" i="14"/>
  <c r="K578" i="14"/>
  <c r="K577" i="14"/>
  <c r="K576" i="14"/>
  <c r="K575" i="14"/>
  <c r="K574" i="14"/>
  <c r="K573" i="14"/>
  <c r="K572" i="14"/>
  <c r="K571" i="14"/>
  <c r="K570" i="14"/>
  <c r="K569" i="14"/>
  <c r="K568" i="14"/>
  <c r="K567" i="14"/>
  <c r="K566" i="14"/>
  <c r="K565" i="14"/>
  <c r="K564" i="14"/>
  <c r="K563" i="14"/>
  <c r="K562" i="14"/>
  <c r="K561" i="14"/>
  <c r="K560" i="14"/>
  <c r="K559" i="14"/>
  <c r="K558" i="14"/>
  <c r="K557" i="14"/>
  <c r="K556" i="14"/>
  <c r="K555" i="14"/>
  <c r="K554" i="14"/>
  <c r="K553" i="14"/>
  <c r="K552" i="14"/>
  <c r="K551" i="14"/>
  <c r="K550" i="14"/>
  <c r="K549" i="14"/>
  <c r="K548" i="14"/>
  <c r="K547" i="14"/>
  <c r="K546" i="14"/>
  <c r="K545" i="14"/>
  <c r="K544" i="14"/>
  <c r="K543" i="14"/>
  <c r="K542" i="14"/>
  <c r="K541" i="14"/>
  <c r="K540" i="14"/>
  <c r="K539" i="14"/>
  <c r="K538" i="14"/>
  <c r="K537" i="14"/>
  <c r="K536" i="14"/>
  <c r="K535" i="14"/>
  <c r="K534" i="14"/>
  <c r="K533" i="14"/>
  <c r="K532" i="14"/>
  <c r="K531" i="14"/>
  <c r="K530" i="14"/>
  <c r="K529" i="14"/>
  <c r="K528" i="14"/>
  <c r="K527" i="14"/>
  <c r="K526" i="14"/>
  <c r="K525" i="14"/>
  <c r="K524" i="14"/>
  <c r="K523" i="14"/>
  <c r="K522" i="14"/>
  <c r="K521" i="14"/>
  <c r="K520" i="14"/>
  <c r="K519" i="14"/>
  <c r="K518" i="14"/>
  <c r="K517" i="14"/>
  <c r="K516" i="14"/>
  <c r="K515" i="14"/>
  <c r="K514" i="14"/>
  <c r="K513" i="14"/>
  <c r="K512" i="14"/>
  <c r="K511" i="14"/>
  <c r="K510" i="14"/>
  <c r="K509" i="14"/>
  <c r="K508" i="14"/>
  <c r="K507" i="14"/>
  <c r="K506" i="14"/>
  <c r="K505" i="14"/>
  <c r="K504" i="14"/>
  <c r="K503" i="14"/>
  <c r="K502" i="14"/>
  <c r="K501" i="14"/>
  <c r="K500" i="14"/>
  <c r="K499" i="14"/>
  <c r="K498" i="14"/>
  <c r="K497" i="14"/>
  <c r="K496" i="14"/>
  <c r="K495" i="14"/>
  <c r="K494" i="14"/>
  <c r="K493" i="14"/>
  <c r="K492" i="14"/>
  <c r="K491" i="14"/>
  <c r="K490" i="14"/>
  <c r="K489" i="14"/>
  <c r="K488" i="14"/>
  <c r="K487" i="14"/>
  <c r="K486" i="14"/>
  <c r="K485" i="14"/>
  <c r="K484" i="14"/>
  <c r="K483" i="14"/>
  <c r="K482" i="14"/>
  <c r="K481" i="14"/>
  <c r="K480" i="14"/>
  <c r="K479" i="14"/>
  <c r="K478" i="14"/>
  <c r="K477" i="14"/>
  <c r="K476" i="14"/>
  <c r="K475" i="14"/>
  <c r="K474" i="14"/>
  <c r="K473" i="14"/>
  <c r="K472" i="14"/>
  <c r="K471" i="14"/>
  <c r="K470" i="14"/>
  <c r="K469" i="14"/>
  <c r="K468" i="14"/>
  <c r="K467" i="14"/>
  <c r="K466" i="14"/>
  <c r="K465" i="14"/>
  <c r="K464" i="14"/>
  <c r="K463" i="14"/>
  <c r="K462" i="14"/>
  <c r="K461" i="14"/>
  <c r="K460" i="14"/>
  <c r="K459" i="14"/>
  <c r="K458" i="14"/>
  <c r="K457" i="14"/>
  <c r="K456" i="14"/>
  <c r="K455" i="14"/>
  <c r="K454" i="14"/>
  <c r="K453" i="14"/>
  <c r="K452" i="14"/>
  <c r="K451" i="14"/>
  <c r="K450" i="14"/>
  <c r="K449" i="14"/>
  <c r="K448" i="14"/>
  <c r="K447" i="14"/>
  <c r="K446" i="14"/>
  <c r="K445" i="14"/>
  <c r="K444" i="14"/>
  <c r="K443" i="14"/>
  <c r="K442" i="14"/>
  <c r="K441" i="14"/>
  <c r="K440" i="14"/>
  <c r="K439" i="14"/>
  <c r="K438" i="14"/>
  <c r="K437" i="14"/>
  <c r="K436" i="14"/>
  <c r="K435" i="14"/>
  <c r="K434" i="14"/>
  <c r="K433" i="14"/>
  <c r="K432" i="14"/>
  <c r="K431" i="14"/>
  <c r="K430" i="14"/>
  <c r="K429" i="14"/>
  <c r="K428" i="14"/>
  <c r="K427" i="14"/>
  <c r="K426" i="14"/>
  <c r="K425" i="14"/>
  <c r="K424" i="14"/>
  <c r="K423" i="14"/>
  <c r="K422" i="14"/>
  <c r="K421" i="14"/>
  <c r="K420" i="14"/>
  <c r="K419" i="14"/>
  <c r="K418" i="14"/>
  <c r="K417" i="14"/>
  <c r="K416" i="14"/>
  <c r="K415" i="14"/>
  <c r="K414" i="14"/>
  <c r="K413" i="14"/>
  <c r="K412" i="14"/>
  <c r="K411" i="14"/>
  <c r="K410" i="14"/>
  <c r="K409" i="14"/>
  <c r="K408" i="14"/>
  <c r="K407" i="14"/>
  <c r="K406" i="14"/>
  <c r="K405" i="14"/>
  <c r="K404" i="14"/>
  <c r="K403" i="14"/>
  <c r="K402" i="14"/>
  <c r="K401" i="14"/>
  <c r="K400" i="14"/>
  <c r="K399" i="14"/>
  <c r="K398" i="14"/>
  <c r="K397" i="14"/>
  <c r="K396" i="14"/>
  <c r="K395" i="14"/>
  <c r="K394" i="14"/>
  <c r="K393" i="14"/>
  <c r="K392" i="14"/>
  <c r="K391" i="14"/>
  <c r="K390" i="14"/>
  <c r="K389" i="14"/>
  <c r="K388" i="14"/>
  <c r="K387" i="14"/>
  <c r="K386" i="14"/>
  <c r="K385" i="14"/>
  <c r="K384" i="14"/>
  <c r="K383" i="14"/>
  <c r="K382" i="14"/>
  <c r="K381" i="14"/>
  <c r="K380" i="14"/>
  <c r="K379" i="14"/>
  <c r="K318" i="14"/>
  <c r="K317" i="14"/>
  <c r="K316" i="14"/>
  <c r="K315" i="14"/>
  <c r="K314" i="14"/>
  <c r="K313" i="14"/>
  <c r="K312" i="14"/>
  <c r="K311" i="14"/>
  <c r="K310" i="14"/>
  <c r="K309" i="14"/>
  <c r="K308" i="14"/>
  <c r="K307" i="14"/>
  <c r="K306" i="14"/>
  <c r="K305" i="14"/>
  <c r="K304" i="14"/>
  <c r="K303" i="14"/>
  <c r="K302" i="14"/>
  <c r="K301" i="14"/>
  <c r="K300" i="14"/>
  <c r="K299" i="14"/>
  <c r="K298" i="14"/>
  <c r="K297" i="14"/>
  <c r="K296" i="14"/>
  <c r="K295" i="14"/>
  <c r="K294" i="14"/>
  <c r="K293" i="14"/>
  <c r="K292" i="14"/>
  <c r="K291" i="14"/>
  <c r="K290" i="14"/>
  <c r="K289" i="14"/>
  <c r="K288" i="14"/>
  <c r="K287" i="14"/>
  <c r="K286" i="14"/>
  <c r="K285" i="14"/>
  <c r="K284" i="14"/>
  <c r="K283" i="14"/>
  <c r="K282" i="14"/>
  <c r="K281" i="14"/>
  <c r="K280" i="14"/>
  <c r="K279" i="14"/>
  <c r="K278" i="14"/>
  <c r="K277" i="14"/>
  <c r="K276" i="14"/>
  <c r="K275" i="14"/>
  <c r="K274" i="14"/>
  <c r="K273" i="14"/>
  <c r="K272" i="14"/>
  <c r="K271" i="14"/>
  <c r="K270" i="14"/>
  <c r="K269" i="14"/>
  <c r="K268" i="14"/>
  <c r="K267" i="14"/>
  <c r="K266" i="14"/>
  <c r="K265" i="14"/>
  <c r="K264" i="14"/>
  <c r="K263" i="14"/>
  <c r="K262" i="14"/>
  <c r="K261" i="14"/>
  <c r="K260" i="14"/>
  <c r="K259" i="14"/>
  <c r="K258" i="14"/>
  <c r="K257" i="14"/>
  <c r="K256" i="14"/>
  <c r="K255" i="14"/>
  <c r="K254" i="14"/>
  <c r="K253" i="14"/>
  <c r="K252" i="14"/>
  <c r="K251" i="14"/>
  <c r="K250" i="14"/>
  <c r="K249" i="14"/>
  <c r="K248" i="14"/>
  <c r="K247" i="14"/>
  <c r="K246" i="14"/>
  <c r="K245" i="14"/>
  <c r="K244" i="14"/>
  <c r="K243" i="14"/>
  <c r="K242" i="14"/>
  <c r="K241" i="14"/>
  <c r="K240" i="14"/>
  <c r="K239" i="14"/>
  <c r="K238" i="14"/>
  <c r="K237" i="14"/>
  <c r="K236" i="14"/>
  <c r="K235" i="14"/>
  <c r="K234" i="14"/>
  <c r="K233" i="14"/>
  <c r="K232" i="14"/>
  <c r="K231" i="14"/>
  <c r="K230" i="14"/>
  <c r="K229" i="14"/>
  <c r="K228" i="14"/>
  <c r="K227" i="14"/>
  <c r="K226" i="14"/>
  <c r="K225" i="14"/>
  <c r="K224" i="14"/>
  <c r="K223" i="14"/>
  <c r="K222" i="14"/>
  <c r="K221" i="14"/>
  <c r="K220" i="14"/>
  <c r="K219" i="14"/>
  <c r="K218" i="14"/>
  <c r="K217" i="14"/>
  <c r="K216" i="14"/>
  <c r="K215" i="14"/>
  <c r="K121" i="14"/>
  <c r="K120" i="14"/>
  <c r="K119" i="14"/>
  <c r="K118" i="14"/>
  <c r="K117" i="14"/>
  <c r="K116" i="14"/>
  <c r="K115" i="14"/>
  <c r="K114" i="14"/>
  <c r="K113" i="14"/>
  <c r="K112" i="14"/>
  <c r="K111" i="14"/>
  <c r="K110" i="14"/>
  <c r="K109" i="14"/>
  <c r="K108" i="14"/>
  <c r="K107" i="14"/>
  <c r="K106" i="14"/>
  <c r="K105" i="14"/>
  <c r="K104" i="14"/>
  <c r="K103" i="14"/>
  <c r="K102" i="14"/>
  <c r="K101" i="14"/>
  <c r="K100" i="14"/>
  <c r="K99" i="14"/>
  <c r="K98" i="14"/>
  <c r="K97" i="14"/>
  <c r="K96" i="14"/>
  <c r="K95" i="14"/>
  <c r="K94" i="14"/>
  <c r="K93" i="14"/>
  <c r="K92" i="14"/>
  <c r="K91" i="14"/>
  <c r="K90" i="14"/>
  <c r="K89" i="14"/>
  <c r="K88" i="14"/>
  <c r="K87" i="14"/>
  <c r="K86" i="14"/>
  <c r="K85" i="14"/>
  <c r="K84" i="14"/>
  <c r="K83" i="14"/>
  <c r="K82" i="14"/>
  <c r="K81" i="14"/>
  <c r="K80" i="14"/>
  <c r="K79" i="14"/>
  <c r="K78" i="14"/>
  <c r="K77" i="14"/>
  <c r="K76" i="14"/>
  <c r="K75" i="14"/>
  <c r="K74" i="14"/>
  <c r="K73" i="14"/>
  <c r="K72" i="14"/>
  <c r="K71" i="14"/>
  <c r="K70" i="14"/>
  <c r="K69" i="14"/>
  <c r="K68" i="14"/>
  <c r="K67" i="14"/>
  <c r="K66" i="14"/>
  <c r="K65" i="14"/>
  <c r="K64" i="14"/>
  <c r="K63" i="14"/>
  <c r="K62" i="14"/>
  <c r="K61" i="14"/>
  <c r="K60" i="14"/>
  <c r="K59" i="14"/>
  <c r="K58" i="14"/>
  <c r="K57" i="14"/>
  <c r="K56" i="14"/>
  <c r="K55" i="14"/>
  <c r="K54" i="14"/>
  <c r="K53" i="14"/>
  <c r="K52" i="14"/>
  <c r="K51" i="14"/>
  <c r="K50" i="14"/>
  <c r="K49" i="14"/>
  <c r="K48" i="14"/>
  <c r="K47" i="14"/>
  <c r="K46" i="14"/>
  <c r="K45" i="14"/>
  <c r="K23" i="14"/>
  <c r="K22" i="14"/>
  <c r="K15" i="14"/>
  <c r="K14" i="14"/>
  <c r="K16" i="7"/>
  <c r="K17" i="7"/>
  <c r="K20" i="7"/>
  <c r="K21" i="7"/>
  <c r="K23" i="7"/>
  <c r="K24" i="7"/>
  <c r="K25" i="7"/>
  <c r="K26" i="7"/>
  <c r="K27" i="7"/>
  <c r="K28" i="7"/>
  <c r="K29" i="7"/>
  <c r="K30" i="7"/>
  <c r="K31" i="7"/>
  <c r="K32" i="7"/>
  <c r="K33" i="7"/>
  <c r="K34" i="7"/>
  <c r="K35" i="7"/>
  <c r="K26" i="28"/>
  <c r="K27" i="28"/>
  <c r="K28" i="28"/>
  <c r="K29" i="28"/>
  <c r="K30" i="28"/>
  <c r="K32" i="28"/>
  <c r="K35" i="28"/>
  <c r="K36" i="28"/>
  <c r="K41" i="28"/>
  <c r="K42" i="28"/>
  <c r="K43" i="28"/>
  <c r="K44" i="28"/>
  <c r="K45" i="28"/>
  <c r="K47" i="28"/>
  <c r="K48" i="28"/>
  <c r="K49"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101" i="28"/>
  <c r="K103" i="28"/>
  <c r="K104" i="28"/>
  <c r="K105" i="28"/>
  <c r="K120" i="28"/>
  <c r="K121" i="28"/>
  <c r="K122" i="28"/>
  <c r="L84" i="8"/>
  <c r="K64" i="27"/>
  <c r="K63" i="27"/>
  <c r="K62" i="27"/>
  <c r="K61" i="27"/>
  <c r="K60" i="27"/>
  <c r="K59" i="27"/>
  <c r="K58" i="27"/>
  <c r="K57" i="27"/>
  <c r="K56" i="27"/>
  <c r="K55" i="27"/>
  <c r="K54" i="27"/>
  <c r="K53" i="27"/>
  <c r="K52" i="27"/>
  <c r="K48" i="27"/>
  <c r="K47" i="27"/>
  <c r="K35" i="27"/>
  <c r="K34" i="27"/>
  <c r="K33" i="27"/>
  <c r="K32" i="27"/>
  <c r="K31" i="27"/>
  <c r="K30" i="27"/>
  <c r="K29" i="27"/>
  <c r="K28" i="27"/>
  <c r="K27" i="27"/>
  <c r="K26" i="27"/>
  <c r="K25" i="27"/>
  <c r="K24" i="27"/>
  <c r="K23" i="27"/>
  <c r="K22" i="27"/>
  <c r="K21" i="27"/>
  <c r="K20" i="27"/>
  <c r="K19" i="27"/>
  <c r="K18" i="27"/>
  <c r="K17" i="27"/>
  <c r="K16" i="27"/>
  <c r="K15" i="27"/>
  <c r="K14" i="27"/>
  <c r="K31" i="13"/>
  <c r="K30" i="13"/>
  <c r="K29" i="13"/>
  <c r="K28" i="13"/>
  <c r="K27" i="13"/>
  <c r="K26" i="13"/>
  <c r="K25" i="13"/>
  <c r="K24" i="13"/>
  <c r="K23" i="13"/>
  <c r="K22" i="13"/>
  <c r="K21" i="13"/>
  <c r="K20" i="13"/>
  <c r="K19" i="13"/>
  <c r="K18" i="13"/>
  <c r="K17" i="13"/>
  <c r="K16" i="13"/>
  <c r="K15" i="13"/>
  <c r="K14" i="13"/>
  <c r="K399" i="15"/>
  <c r="K381" i="15"/>
  <c r="K380" i="15"/>
  <c r="K367" i="15"/>
  <c r="K366" i="15"/>
  <c r="K365" i="15"/>
  <c r="K364" i="15"/>
  <c r="K363" i="15"/>
  <c r="K362" i="15"/>
  <c r="K361" i="15"/>
  <c r="K360" i="15"/>
  <c r="K359" i="15"/>
  <c r="K358" i="15"/>
  <c r="K357" i="15"/>
  <c r="K356" i="15"/>
  <c r="K355" i="15"/>
  <c r="K354" i="15"/>
  <c r="K353" i="15"/>
  <c r="K352" i="15"/>
  <c r="K351" i="15"/>
  <c r="K350" i="15"/>
  <c r="K349" i="15"/>
  <c r="K348" i="15"/>
  <c r="K347" i="15"/>
  <c r="K346" i="15"/>
  <c r="K345" i="15"/>
  <c r="K344" i="15"/>
  <c r="K343" i="15"/>
  <c r="K342" i="15"/>
  <c r="K341" i="15"/>
  <c r="K340" i="15"/>
  <c r="K339" i="15"/>
  <c r="K338" i="15"/>
  <c r="K337" i="15"/>
  <c r="K336" i="15"/>
  <c r="K335" i="15"/>
  <c r="K334" i="15"/>
  <c r="K333" i="15"/>
  <c r="K332" i="15"/>
  <c r="K331" i="15"/>
  <c r="K330" i="15"/>
  <c r="K329" i="15"/>
  <c r="K328" i="15"/>
  <c r="K327" i="15"/>
  <c r="K326" i="15"/>
  <c r="K325" i="15"/>
  <c r="K324" i="15"/>
  <c r="K321" i="15"/>
  <c r="K318" i="15"/>
  <c r="K306" i="15"/>
  <c r="K305" i="15"/>
  <c r="K304" i="15"/>
  <c r="K303" i="15"/>
  <c r="K302" i="15"/>
  <c r="K298" i="15"/>
  <c r="K297" i="15"/>
  <c r="K296" i="15"/>
  <c r="K295" i="15"/>
  <c r="K294" i="15"/>
  <c r="K293" i="15"/>
  <c r="K292" i="15"/>
  <c r="K291" i="15"/>
  <c r="K290" i="15"/>
  <c r="K289" i="15"/>
  <c r="K285" i="15"/>
  <c r="K284" i="15"/>
  <c r="K283" i="15"/>
  <c r="K282" i="15"/>
  <c r="K281" i="15"/>
  <c r="K280" i="15"/>
  <c r="K279" i="15"/>
  <c r="K278" i="15"/>
  <c r="K277" i="15"/>
  <c r="K276" i="15"/>
  <c r="K266" i="15"/>
  <c r="K265" i="15"/>
  <c r="K264" i="15"/>
  <c r="K263" i="15"/>
  <c r="K262" i="15"/>
  <c r="K261" i="15"/>
  <c r="K260" i="15"/>
  <c r="K259" i="15"/>
  <c r="K258" i="15"/>
  <c r="K257" i="15"/>
  <c r="K256" i="15"/>
  <c r="K255" i="15"/>
  <c r="K254" i="15"/>
  <c r="K253" i="15"/>
  <c r="K252" i="15"/>
  <c r="K251" i="15"/>
  <c r="K250" i="15"/>
  <c r="K249" i="15"/>
  <c r="K248" i="15"/>
  <c r="K228" i="15"/>
  <c r="K227" i="15"/>
  <c r="K226" i="15"/>
  <c r="K225" i="15"/>
  <c r="K224" i="15"/>
  <c r="K223" i="15"/>
  <c r="K222" i="15"/>
  <c r="K221" i="15"/>
  <c r="K220" i="15"/>
  <c r="K219" i="15"/>
  <c r="K218" i="15"/>
  <c r="K217" i="15"/>
  <c r="K216" i="15"/>
  <c r="K215" i="15"/>
  <c r="K214" i="15"/>
  <c r="K213" i="15"/>
  <c r="K212" i="15"/>
  <c r="K211" i="15"/>
  <c r="K196" i="15"/>
  <c r="K195" i="15"/>
  <c r="K194" i="15"/>
  <c r="K193" i="15"/>
  <c r="K192" i="15"/>
  <c r="K191" i="15"/>
  <c r="K190" i="15"/>
  <c r="K189" i="15"/>
  <c r="K188" i="15"/>
  <c r="K187" i="15"/>
  <c r="K186" i="15"/>
  <c r="K185" i="15"/>
  <c r="K184" i="15"/>
  <c r="K183" i="15"/>
  <c r="K182" i="15"/>
  <c r="K181" i="15"/>
  <c r="K180" i="15"/>
  <c r="K179" i="15"/>
  <c r="K178" i="15"/>
  <c r="K177" i="15"/>
  <c r="K176" i="15"/>
  <c r="K175" i="15"/>
  <c r="K174" i="15"/>
  <c r="K173" i="15"/>
  <c r="K172" i="15"/>
  <c r="K171" i="15"/>
  <c r="K170" i="15"/>
  <c r="K169" i="15"/>
  <c r="K168" i="15"/>
  <c r="K167" i="15"/>
  <c r="K166" i="15"/>
  <c r="K165" i="15"/>
  <c r="K164" i="15"/>
  <c r="K163" i="15"/>
  <c r="K162" i="15"/>
  <c r="K161" i="15"/>
  <c r="K160" i="15"/>
  <c r="K159" i="15"/>
  <c r="K158" i="15"/>
  <c r="K157" i="15"/>
  <c r="K156" i="15"/>
  <c r="K155" i="15"/>
  <c r="K154" i="15"/>
  <c r="K137" i="15"/>
  <c r="K133" i="15"/>
  <c r="K132" i="15"/>
  <c r="K131" i="15"/>
  <c r="K130" i="15"/>
  <c r="K129" i="15"/>
  <c r="K128" i="15"/>
  <c r="K127" i="15"/>
  <c r="K126" i="15"/>
  <c r="K125" i="15"/>
  <c r="K118" i="15"/>
  <c r="K119" i="15"/>
  <c r="K120" i="15"/>
  <c r="K121" i="15"/>
  <c r="K122" i="15"/>
  <c r="K123" i="15"/>
  <c r="K124" i="15"/>
  <c r="K117" i="15"/>
  <c r="K19" i="15"/>
  <c r="K20" i="15"/>
  <c r="K21" i="15"/>
  <c r="K22" i="15"/>
  <c r="K23" i="15"/>
  <c r="K24" i="15"/>
  <c r="K25" i="15"/>
  <c r="K26" i="15"/>
  <c r="K27" i="15"/>
  <c r="K28" i="15"/>
  <c r="K29" i="15"/>
  <c r="K30" i="15"/>
  <c r="K31" i="15"/>
  <c r="K32" i="15"/>
  <c r="K33" i="15"/>
  <c r="K34" i="15"/>
  <c r="K35" i="15"/>
  <c r="K36" i="15"/>
  <c r="K37" i="15"/>
  <c r="K38" i="15"/>
  <c r="K39" i="15"/>
  <c r="K40" i="15"/>
  <c r="K41" i="15"/>
  <c r="K42" i="15"/>
  <c r="K43" i="15"/>
  <c r="K44" i="15"/>
  <c r="K45" i="15"/>
  <c r="K46" i="15"/>
  <c r="K47" i="15"/>
  <c r="K48" i="15"/>
  <c r="K49" i="15"/>
  <c r="K50" i="15"/>
  <c r="K51" i="15"/>
  <c r="K52" i="15"/>
  <c r="K53" i="15"/>
  <c r="K54" i="15"/>
  <c r="K55" i="15"/>
  <c r="K56" i="15"/>
  <c r="K57" i="15"/>
  <c r="K58" i="15"/>
  <c r="K59" i="15"/>
  <c r="K60" i="15"/>
  <c r="K61" i="15"/>
  <c r="K62" i="15"/>
  <c r="K63" i="15"/>
  <c r="K64" i="15"/>
  <c r="K65" i="15"/>
  <c r="K66" i="15"/>
  <c r="K67" i="15"/>
  <c r="K68" i="15"/>
  <c r="K69" i="15"/>
  <c r="K70" i="15"/>
  <c r="K71" i="15"/>
  <c r="K72" i="15"/>
  <c r="K73" i="15"/>
  <c r="K74" i="15"/>
  <c r="K75" i="15"/>
  <c r="K76" i="15"/>
  <c r="K77" i="15"/>
  <c r="K78" i="15"/>
  <c r="K79" i="15"/>
  <c r="K80" i="15"/>
  <c r="K81" i="15"/>
  <c r="K82" i="15"/>
  <c r="K83" i="15"/>
  <c r="K84" i="15"/>
  <c r="K85" i="15"/>
  <c r="K86" i="15"/>
  <c r="K87" i="15"/>
  <c r="K88" i="15"/>
  <c r="K89" i="15"/>
  <c r="K90" i="15"/>
  <c r="K91" i="15"/>
  <c r="K92" i="15"/>
  <c r="K93" i="15"/>
  <c r="K94" i="15"/>
  <c r="K95" i="15"/>
  <c r="K96" i="15"/>
  <c r="K97" i="15"/>
  <c r="K98" i="15"/>
  <c r="K99" i="15"/>
  <c r="K100" i="15"/>
  <c r="K101" i="15"/>
  <c r="K102" i="15"/>
  <c r="K103" i="15"/>
  <c r="K104" i="15"/>
  <c r="K105" i="15"/>
  <c r="K106" i="15"/>
  <c r="K107" i="15"/>
  <c r="K108" i="15"/>
  <c r="K109" i="15"/>
  <c r="K110" i="15"/>
  <c r="K111" i="15"/>
  <c r="K112" i="15"/>
  <c r="K113" i="15"/>
  <c r="K114" i="15"/>
  <c r="K115" i="15"/>
  <c r="K116" i="15"/>
  <c r="K15" i="15"/>
  <c r="K16" i="15"/>
  <c r="K17" i="15"/>
  <c r="K18" i="15"/>
  <c r="K14" i="15"/>
  <c r="K21" i="22"/>
  <c r="K107" i="10"/>
  <c r="K106" i="10"/>
  <c r="K105" i="10"/>
  <c r="K104" i="10"/>
  <c r="K103" i="10"/>
  <c r="K102" i="10"/>
  <c r="K101" i="10"/>
  <c r="K100" i="10"/>
  <c r="K99" i="10"/>
  <c r="K98" i="10"/>
  <c r="K97" i="10"/>
  <c r="K96" i="10"/>
  <c r="K95" i="10"/>
  <c r="K94" i="10"/>
  <c r="K93" i="10"/>
  <c r="K92" i="10"/>
  <c r="K91" i="10"/>
  <c r="K90" i="10"/>
  <c r="K89" i="10"/>
  <c r="K88" i="10"/>
  <c r="K87" i="10"/>
  <c r="K86" i="10"/>
  <c r="K85" i="10"/>
  <c r="K84" i="10"/>
  <c r="K83" i="10"/>
  <c r="K82" i="10"/>
  <c r="K67" i="10"/>
  <c r="K66" i="10"/>
  <c r="K65" i="10"/>
  <c r="K64" i="10"/>
  <c r="K63" i="10"/>
  <c r="K62" i="10"/>
  <c r="K61" i="10"/>
  <c r="K60" i="10"/>
  <c r="K113" i="10" s="1"/>
  <c r="K59" i="10"/>
  <c r="K42" i="10"/>
  <c r="K41" i="10"/>
  <c r="K40" i="10"/>
  <c r="K39" i="10"/>
  <c r="K38" i="10"/>
  <c r="K37" i="10"/>
  <c r="K36" i="10"/>
  <c r="K35" i="10"/>
  <c r="K34" i="10"/>
  <c r="K33" i="10"/>
  <c r="K32" i="10"/>
  <c r="K31" i="10"/>
  <c r="K30" i="10"/>
  <c r="K29" i="10"/>
  <c r="K28" i="10"/>
  <c r="K27" i="10"/>
  <c r="K26" i="10"/>
  <c r="K25" i="10"/>
  <c r="K24" i="10"/>
  <c r="K23" i="10"/>
  <c r="K111" i="10" s="1"/>
  <c r="K22" i="10"/>
  <c r="K21" i="10"/>
  <c r="K20" i="10"/>
  <c r="K19" i="10"/>
  <c r="K14" i="10"/>
  <c r="K15" i="10"/>
  <c r="K16" i="10"/>
  <c r="K17" i="10"/>
  <c r="K18" i="10"/>
  <c r="K13" i="10"/>
  <c r="K431" i="9"/>
  <c r="K430" i="9"/>
  <c r="K427" i="9"/>
  <c r="K426" i="9"/>
  <c r="K425" i="9"/>
  <c r="K424" i="9"/>
  <c r="K423" i="9"/>
  <c r="K422" i="9"/>
  <c r="K421" i="9"/>
  <c r="K420" i="9"/>
  <c r="K419" i="9"/>
  <c r="K418" i="9"/>
  <c r="K417" i="9"/>
  <c r="K416" i="9"/>
  <c r="K415" i="9"/>
  <c r="K414" i="9"/>
  <c r="K413" i="9"/>
  <c r="K412" i="9"/>
  <c r="K411" i="9"/>
  <c r="K410" i="9"/>
  <c r="K351" i="9"/>
  <c r="K350" i="9"/>
  <c r="K349" i="9"/>
  <c r="K348" i="9"/>
  <c r="K347" i="9"/>
  <c r="K346" i="9"/>
  <c r="K345" i="9"/>
  <c r="K344" i="9"/>
  <c r="K343" i="9"/>
  <c r="K342" i="9"/>
  <c r="K341" i="9"/>
  <c r="K340" i="9"/>
  <c r="K339" i="9"/>
  <c r="K338" i="9"/>
  <c r="K337" i="9"/>
  <c r="K336" i="9"/>
  <c r="K335" i="9"/>
  <c r="K334" i="9"/>
  <c r="K333" i="9"/>
  <c r="K325" i="9"/>
  <c r="K324" i="9"/>
  <c r="K323" i="9"/>
  <c r="K322" i="9"/>
  <c r="K321" i="9"/>
  <c r="K320" i="9"/>
  <c r="K319" i="9"/>
  <c r="K318" i="9"/>
  <c r="K317" i="9"/>
  <c r="K316" i="9"/>
  <c r="K315" i="9"/>
  <c r="K314" i="9"/>
  <c r="K313" i="9"/>
  <c r="K312" i="9"/>
  <c r="K311" i="9"/>
  <c r="K310" i="9"/>
  <c r="K309" i="9"/>
  <c r="K308" i="9"/>
  <c r="K307" i="9"/>
  <c r="K306" i="9"/>
  <c r="K305" i="9"/>
  <c r="K304" i="9"/>
  <c r="K303" i="9"/>
  <c r="K302" i="9"/>
  <c r="K301" i="9"/>
  <c r="K300" i="9"/>
  <c r="K299" i="9"/>
  <c r="K298" i="9"/>
  <c r="K297" i="9"/>
  <c r="K296" i="9"/>
  <c r="K295" i="9"/>
  <c r="K294" i="9"/>
  <c r="K293" i="9"/>
  <c r="K292" i="9"/>
  <c r="K291" i="9"/>
  <c r="K290" i="9"/>
  <c r="K289" i="9"/>
  <c r="K288" i="9"/>
  <c r="K287" i="9"/>
  <c r="K286" i="9"/>
  <c r="K285" i="9"/>
  <c r="K284" i="9"/>
  <c r="K283" i="9"/>
  <c r="K282" i="9"/>
  <c r="K281" i="9"/>
  <c r="K280" i="9"/>
  <c r="K279" i="9"/>
  <c r="K278" i="9"/>
  <c r="K277" i="9"/>
  <c r="K276" i="9"/>
  <c r="K275" i="9"/>
  <c r="K274" i="9"/>
  <c r="K273" i="9"/>
  <c r="K272" i="9"/>
  <c r="K271" i="9"/>
  <c r="K270" i="9"/>
  <c r="K269" i="9"/>
  <c r="K268" i="9"/>
  <c r="K267" i="9"/>
  <c r="K266" i="9"/>
  <c r="K265" i="9"/>
  <c r="K264" i="9"/>
  <c r="K263" i="9"/>
  <c r="K262" i="9"/>
  <c r="K261" i="9"/>
  <c r="K260" i="9"/>
  <c r="K259" i="9"/>
  <c r="K258" i="9"/>
  <c r="K257" i="9"/>
  <c r="K256" i="9"/>
  <c r="K255" i="9"/>
  <c r="K254" i="9"/>
  <c r="K253" i="9"/>
  <c r="K252" i="9"/>
  <c r="K251" i="9"/>
  <c r="K250" i="9"/>
  <c r="K249" i="9"/>
  <c r="K248" i="9"/>
  <c r="K247" i="9"/>
  <c r="K246" i="9"/>
  <c r="K245" i="9"/>
  <c r="K244" i="9"/>
  <c r="K243" i="9"/>
  <c r="K242" i="9"/>
  <c r="K241" i="9"/>
  <c r="K240" i="9"/>
  <c r="K239" i="9"/>
  <c r="K238" i="9"/>
  <c r="K237" i="9"/>
  <c r="K236" i="9"/>
  <c r="K235" i="9"/>
  <c r="K234" i="9"/>
  <c r="K233" i="9"/>
  <c r="K232" i="9"/>
  <c r="K231" i="9"/>
  <c r="K229" i="9"/>
  <c r="K228" i="9"/>
  <c r="K223" i="9"/>
  <c r="K222" i="9"/>
  <c r="K220" i="9"/>
  <c r="K219" i="9"/>
  <c r="K218" i="9"/>
  <c r="K217" i="9"/>
  <c r="K216" i="9"/>
  <c r="K215" i="9"/>
  <c r="K214" i="9"/>
  <c r="K213" i="9"/>
  <c r="K212" i="9"/>
  <c r="K211" i="9"/>
  <c r="K210" i="9"/>
  <c r="K209" i="9"/>
  <c r="K208" i="9"/>
  <c r="K207" i="9"/>
  <c r="K206" i="9"/>
  <c r="K205" i="9"/>
  <c r="K204" i="9"/>
  <c r="K203" i="9"/>
  <c r="K202" i="9"/>
  <c r="K201" i="9"/>
  <c r="K200" i="9"/>
  <c r="K199" i="9"/>
  <c r="K198" i="9"/>
  <c r="K197" i="9"/>
  <c r="K196" i="9"/>
  <c r="K195" i="9"/>
  <c r="K194" i="9"/>
  <c r="K193" i="9"/>
  <c r="K192" i="9"/>
  <c r="K191" i="9"/>
  <c r="K190" i="9"/>
  <c r="K189" i="9"/>
  <c r="K188" i="9"/>
  <c r="K187" i="9"/>
  <c r="K186" i="9"/>
  <c r="K185" i="9"/>
  <c r="K184" i="9"/>
  <c r="K183" i="9"/>
  <c r="K182" i="9"/>
  <c r="K181" i="9"/>
  <c r="K180" i="9"/>
  <c r="K179" i="9"/>
  <c r="K178" i="9"/>
  <c r="K177" i="9"/>
  <c r="K176" i="9"/>
  <c r="K175" i="9"/>
  <c r="K174" i="9"/>
  <c r="K173" i="9"/>
  <c r="K172" i="9"/>
  <c r="K171" i="9"/>
  <c r="K170" i="9"/>
  <c r="K169" i="9"/>
  <c r="K168" i="9"/>
  <c r="K167" i="9"/>
  <c r="K166" i="9"/>
  <c r="K165" i="9"/>
  <c r="K164" i="9"/>
  <c r="K163" i="9"/>
  <c r="K162" i="9"/>
  <c r="K161" i="9"/>
  <c r="K160" i="9"/>
  <c r="K159" i="9"/>
  <c r="K158" i="9"/>
  <c r="K157" i="9"/>
  <c r="K156" i="9"/>
  <c r="K155" i="9"/>
  <c r="K154" i="9"/>
  <c r="K153" i="9"/>
  <c r="K135" i="9"/>
  <c r="K134" i="9"/>
  <c r="K133" i="9"/>
  <c r="K132" i="9"/>
  <c r="K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6" i="9"/>
  <c r="K95" i="9"/>
  <c r="K94" i="9"/>
  <c r="K93" i="9"/>
  <c r="K92"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4" i="9"/>
  <c r="K33" i="9"/>
  <c r="K32" i="9"/>
  <c r="K31" i="9"/>
  <c r="K30" i="9"/>
  <c r="K27" i="9"/>
  <c r="K26" i="9"/>
  <c r="K25" i="9"/>
  <c r="K24" i="9"/>
  <c r="K23" i="9"/>
  <c r="K22" i="9"/>
  <c r="K21" i="9"/>
  <c r="K20" i="9"/>
  <c r="K17" i="9"/>
  <c r="K16" i="9"/>
  <c r="K15" i="9"/>
  <c r="K14" i="9"/>
  <c r="F63" i="27"/>
  <c r="F60" i="27"/>
  <c r="F64" i="27"/>
  <c r="F50" i="27"/>
  <c r="F49" i="27"/>
  <c r="F48" i="27"/>
  <c r="F47" i="27"/>
  <c r="F46" i="27"/>
  <c r="F45" i="27"/>
  <c r="F44" i="27"/>
  <c r="F43" i="27"/>
  <c r="F42" i="27"/>
  <c r="F41" i="27"/>
  <c r="F40" i="27"/>
  <c r="F39" i="27"/>
  <c r="F38" i="27"/>
  <c r="F39" i="28"/>
  <c r="F40" i="28"/>
  <c r="F41" i="28"/>
  <c r="F42" i="28"/>
  <c r="F43" i="28"/>
  <c r="F44" i="28"/>
  <c r="F45" i="28"/>
  <c r="F46" i="28"/>
  <c r="F47" i="28"/>
  <c r="F48" i="28"/>
  <c r="F49" i="28"/>
  <c r="F50" i="28"/>
  <c r="F51" i="28"/>
  <c r="F52" i="28"/>
  <c r="F53" i="28"/>
  <c r="F54" i="28"/>
  <c r="F55" i="28"/>
  <c r="F56" i="28"/>
  <c r="F57" i="28"/>
  <c r="F58" i="28"/>
  <c r="F59" i="28"/>
  <c r="F60" i="28"/>
  <c r="F61" i="28"/>
  <c r="F38" i="28"/>
  <c r="F37" i="28"/>
  <c r="H54" i="22"/>
  <c r="H71" i="27"/>
  <c r="M71" i="27"/>
  <c r="L39" i="20"/>
  <c r="K70" i="27" l="1"/>
  <c r="L71" i="27"/>
  <c r="M238" i="11"/>
  <c r="L238" i="11"/>
  <c r="K238" i="11"/>
  <c r="J238" i="11"/>
  <c r="I238" i="11"/>
  <c r="H238" i="11"/>
  <c r="I661" i="12"/>
  <c r="M120" i="19"/>
  <c r="I120" i="19"/>
  <c r="J120" i="19"/>
  <c r="H120" i="19"/>
  <c r="L120" i="19"/>
  <c r="K120" i="19"/>
  <c r="J70" i="27"/>
  <c r="H35" i="17"/>
  <c r="M53" i="22"/>
  <c r="L53" i="22"/>
  <c r="K53" i="22"/>
  <c r="J53" i="22"/>
  <c r="I53" i="22"/>
  <c r="H53" i="22"/>
  <c r="M121" i="19"/>
  <c r="K121" i="19"/>
  <c r="L121" i="19"/>
  <c r="J121" i="19"/>
  <c r="I121" i="19"/>
  <c r="H121" i="19"/>
  <c r="M44" i="21"/>
  <c r="K44" i="21"/>
  <c r="H44" i="21"/>
  <c r="L44" i="21"/>
  <c r="J44" i="21"/>
  <c r="I44" i="21"/>
  <c r="M246" i="8"/>
  <c r="K246" i="8"/>
  <c r="I246" i="8"/>
  <c r="L246" i="8"/>
  <c r="J246" i="8"/>
  <c r="H246" i="8"/>
  <c r="K71" i="27"/>
  <c r="H61" i="29"/>
  <c r="L32" i="26"/>
  <c r="M663" i="12"/>
  <c r="H663" i="12"/>
  <c r="J39" i="20"/>
  <c r="M59" i="29"/>
  <c r="K662" i="12"/>
  <c r="I112" i="24"/>
  <c r="I39" i="20"/>
  <c r="K661" i="12"/>
  <c r="H237" i="11"/>
  <c r="I237" i="11"/>
  <c r="J237" i="11"/>
  <c r="M237" i="11"/>
  <c r="L237" i="11"/>
  <c r="K237" i="11"/>
  <c r="H111" i="24"/>
  <c r="J247" i="8"/>
  <c r="M454" i="9"/>
  <c r="L76" i="13"/>
  <c r="I26" i="25"/>
  <c r="L44" i="7"/>
  <c r="K73" i="16"/>
  <c r="H44" i="7"/>
  <c r="H753" i="14"/>
  <c r="M39" i="20"/>
  <c r="M70" i="27"/>
  <c r="H70" i="27"/>
  <c r="M414" i="15"/>
  <c r="I414" i="15"/>
  <c r="L414" i="15"/>
  <c r="K414" i="15"/>
  <c r="J414" i="15"/>
  <c r="H414" i="15"/>
  <c r="K415" i="15"/>
  <c r="M415" i="15"/>
  <c r="L415" i="15"/>
  <c r="J415" i="15"/>
  <c r="I415" i="15"/>
  <c r="H415" i="15"/>
  <c r="L112" i="10"/>
  <c r="I112" i="10"/>
  <c r="J112" i="10"/>
  <c r="L453" i="9"/>
  <c r="H454" i="9"/>
  <c r="K453" i="9"/>
  <c r="I453" i="9"/>
  <c r="L454" i="9"/>
  <c r="I247" i="8"/>
  <c r="K247" i="8"/>
  <c r="L247" i="8"/>
  <c r="I111" i="24"/>
  <c r="J111" i="24"/>
  <c r="L112" i="24"/>
  <c r="K111" i="24"/>
  <c r="K112" i="24"/>
  <c r="M661" i="12"/>
  <c r="J662" i="12"/>
  <c r="L663" i="12"/>
  <c r="H662" i="12"/>
  <c r="I663" i="12"/>
  <c r="J663" i="12"/>
  <c r="K663" i="12"/>
  <c r="H661" i="12"/>
  <c r="I662" i="12"/>
  <c r="L661" i="12"/>
  <c r="L60" i="29"/>
  <c r="K61" i="29"/>
  <c r="M61" i="29"/>
  <c r="L59" i="29"/>
  <c r="K60" i="29"/>
  <c r="L61" i="29"/>
  <c r="I59" i="29"/>
  <c r="I35" i="17"/>
  <c r="L35" i="17"/>
  <c r="H77" i="13"/>
  <c r="I77" i="13"/>
  <c r="I76" i="13"/>
  <c r="M76" i="13"/>
  <c r="J77" i="13"/>
  <c r="K32" i="26"/>
  <c r="H32" i="26"/>
  <c r="M32" i="26"/>
  <c r="H26" i="25"/>
  <c r="L26" i="25"/>
  <c r="K55" i="22"/>
  <c r="H55" i="22"/>
  <c r="M54" i="22"/>
  <c r="L55" i="22"/>
  <c r="J44" i="7"/>
  <c r="H43" i="7"/>
  <c r="M43" i="7"/>
  <c r="I755" i="14"/>
  <c r="I754" i="14"/>
  <c r="K755" i="14"/>
  <c r="M754" i="14"/>
  <c r="L753" i="14"/>
  <c r="K754" i="14"/>
  <c r="M753" i="14"/>
  <c r="H755" i="14"/>
  <c r="I753" i="14"/>
  <c r="K753" i="14"/>
  <c r="J755" i="14"/>
  <c r="M755" i="14"/>
  <c r="H754" i="14"/>
  <c r="J754" i="14"/>
  <c r="L755" i="14"/>
  <c r="L754" i="14"/>
  <c r="J753" i="14"/>
  <c r="I43" i="7"/>
  <c r="M44" i="7"/>
  <c r="K43" i="7"/>
  <c r="J43" i="7"/>
  <c r="I44" i="7"/>
  <c r="K44" i="7"/>
  <c r="L43" i="7"/>
  <c r="H73" i="16"/>
  <c r="L73" i="16"/>
  <c r="I73" i="16"/>
  <c r="J73" i="16"/>
  <c r="M73" i="16"/>
  <c r="J26" i="25"/>
  <c r="M26" i="25"/>
  <c r="K26" i="25"/>
  <c r="M55" i="22"/>
  <c r="L54" i="22"/>
  <c r="J54" i="22"/>
  <c r="K54" i="22"/>
  <c r="J55" i="22"/>
  <c r="I54" i="22"/>
  <c r="J32" i="26"/>
  <c r="I32" i="26"/>
  <c r="J76" i="13"/>
  <c r="K77" i="13"/>
  <c r="L77" i="13"/>
  <c r="H76" i="13"/>
  <c r="J35" i="17"/>
  <c r="M35" i="17"/>
  <c r="I60" i="29"/>
  <c r="I61" i="29"/>
  <c r="M60" i="29"/>
  <c r="H59" i="29"/>
  <c r="J59" i="29"/>
  <c r="K59" i="29"/>
  <c r="J61" i="29"/>
  <c r="H60" i="29"/>
  <c r="L111" i="24"/>
  <c r="M111" i="24"/>
  <c r="H112" i="24"/>
  <c r="M112" i="24"/>
  <c r="J112" i="24"/>
  <c r="M128" i="28"/>
  <c r="K130" i="28"/>
  <c r="I128" i="28"/>
  <c r="J128" i="28"/>
  <c r="L130" i="28"/>
  <c r="H128" i="28"/>
  <c r="M130" i="28"/>
  <c r="L128" i="28"/>
  <c r="H130" i="28"/>
  <c r="J130" i="28"/>
  <c r="K128" i="28"/>
  <c r="I130" i="28"/>
  <c r="M247" i="8"/>
  <c r="H247" i="8"/>
  <c r="M453" i="9"/>
  <c r="J453" i="9"/>
  <c r="J454" i="9"/>
  <c r="K454" i="9"/>
  <c r="H453" i="9"/>
  <c r="I454" i="9"/>
  <c r="I70" i="27"/>
  <c r="L70" i="27"/>
  <c r="J71" i="27"/>
  <c r="I71" i="27"/>
  <c r="M408" i="15"/>
  <c r="H410" i="15"/>
  <c r="H112" i="10"/>
  <c r="M112" i="10"/>
  <c r="K112" i="10"/>
  <c r="H409" i="15"/>
  <c r="L409" i="15"/>
  <c r="K410" i="15"/>
  <c r="J409" i="15"/>
  <c r="L410" i="15"/>
  <c r="H408" i="15"/>
  <c r="I410" i="15"/>
  <c r="L408" i="15"/>
  <c r="J410" i="15"/>
  <c r="M409" i="15"/>
  <c r="J408" i="15"/>
  <c r="I409" i="15"/>
  <c r="K408" i="15"/>
  <c r="K409" i="15"/>
  <c r="I408" i="15"/>
  <c r="H39" i="20"/>
  <c r="K39" i="20"/>
  <c r="H664" i="12" l="1"/>
  <c r="M410"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 Hollis</author>
  </authors>
  <commentList>
    <comment ref="P22" authorId="0" shapeId="0" xr:uid="{00000000-0006-0000-0500-000001000000}">
      <text>
        <r>
          <rPr>
            <b/>
            <sz val="9"/>
            <color indexed="81"/>
            <rFont val="Tahoma"/>
            <charset val="1"/>
          </rPr>
          <t>Chris Hollis:</t>
        </r>
        <r>
          <rPr>
            <sz val="9"/>
            <color indexed="81"/>
            <rFont val="Tahoma"/>
            <charset val="1"/>
          </rPr>
          <t xml:space="preserve">
Check preservation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 Hollis</author>
  </authors>
  <commentList>
    <comment ref="K26" authorId="0" shapeId="0" xr:uid="{00000000-0006-0000-1100-000001000000}">
      <text>
        <r>
          <rPr>
            <b/>
            <sz val="9"/>
            <color indexed="81"/>
            <rFont val="Tahoma"/>
            <charset val="1"/>
          </rPr>
          <t>Chris Hollis:</t>
        </r>
        <r>
          <rPr>
            <sz val="9"/>
            <color indexed="81"/>
            <rFont val="Tahoma"/>
            <charset val="1"/>
          </rPr>
          <t xml:space="preserve">
Diagenetic alteration?</t>
        </r>
      </text>
    </comment>
  </commentList>
</comments>
</file>

<file path=xl/sharedStrings.xml><?xml version="1.0" encoding="utf-8"?>
<sst xmlns="http://schemas.openxmlformats.org/spreadsheetml/2006/main" count="32541" uniqueCount="811">
  <si>
    <t>Reference:</t>
    <phoneticPr fontId="13" type="noConversion"/>
  </si>
  <si>
    <t>Site:</t>
    <phoneticPr fontId="13" type="noConversion"/>
  </si>
  <si>
    <t>Age model notes:</t>
    <phoneticPr fontId="13" type="noConversion"/>
  </si>
  <si>
    <t>Timescale:</t>
    <phoneticPr fontId="13" type="noConversion"/>
  </si>
  <si>
    <t>Depth scale:</t>
    <phoneticPr fontId="13" type="noConversion"/>
  </si>
  <si>
    <t>Site</t>
    <phoneticPr fontId="13" type="noConversion"/>
  </si>
  <si>
    <t>Hole</t>
    <phoneticPr fontId="13" type="noConversion"/>
  </si>
  <si>
    <t>Core</t>
    <phoneticPr fontId="13" type="noConversion"/>
  </si>
  <si>
    <t>Section</t>
    <phoneticPr fontId="13" type="noConversion"/>
  </si>
  <si>
    <t>Interval (cm)</t>
    <phoneticPr fontId="13" type="noConversion"/>
  </si>
  <si>
    <t>Age (GTS2012)</t>
  </si>
  <si>
    <t>Species</t>
    <phoneticPr fontId="13" type="noConversion"/>
  </si>
  <si>
    <t>No. specimens</t>
    <phoneticPr fontId="13" type="noConversion"/>
  </si>
  <si>
    <t>Preservation</t>
    <phoneticPr fontId="13" type="noConversion"/>
  </si>
  <si>
    <t>Pres. Assessment</t>
    <phoneticPr fontId="13" type="noConversion"/>
  </si>
  <si>
    <t>Source</t>
  </si>
  <si>
    <t>Multi-specimen</t>
    <phoneticPr fontId="13" type="noConversion"/>
  </si>
  <si>
    <t xml:space="preserve">Age </t>
  </si>
  <si>
    <t>Site</t>
  </si>
  <si>
    <t>pre-PETM</t>
  </si>
  <si>
    <t>PETM</t>
  </si>
  <si>
    <t>EECO</t>
  </si>
  <si>
    <t>Latitude</t>
  </si>
  <si>
    <t>Longitude</t>
  </si>
  <si>
    <t>Setting</t>
  </si>
  <si>
    <t>Comments</t>
  </si>
  <si>
    <t>Wilson Lake (USA)</t>
  </si>
  <si>
    <t>Yes</t>
  </si>
  <si>
    <t>No</t>
  </si>
  <si>
    <t>Bass River (USA)</t>
  </si>
  <si>
    <t>Further notes/comments on data or process:</t>
  </si>
  <si>
    <t>Timeslice</t>
  </si>
  <si>
    <t>Pre-PETM</t>
  </si>
  <si>
    <t>Acarinina soldadoensis</t>
  </si>
  <si>
    <t>Depth habitat</t>
  </si>
  <si>
    <t>Mixed-layer</t>
  </si>
  <si>
    <t>Size fraction (um)</t>
  </si>
  <si>
    <t>250-300</t>
  </si>
  <si>
    <t>Comment</t>
  </si>
  <si>
    <t>Other size fractions available</t>
  </si>
  <si>
    <t>Si &amp; Aubry, 2018</t>
  </si>
  <si>
    <t xml:space="preserve">Based on d13C  stratigraphy from bulk sediment and planktic foraminifera </t>
  </si>
  <si>
    <t>mbsf</t>
  </si>
  <si>
    <t xml:space="preserve">Depth </t>
  </si>
  <si>
    <t>Thermocline</t>
  </si>
  <si>
    <t>ODP Site 689</t>
  </si>
  <si>
    <t>Morozovella acuta-velascoensis</t>
  </si>
  <si>
    <t>Subbotina rosaensis</t>
  </si>
  <si>
    <r>
      <t xml:space="preserve">Acarinina </t>
    </r>
    <r>
      <rPr>
        <sz val="11"/>
        <rFont val="Calibri"/>
        <family val="2"/>
        <scheme val="minor"/>
      </rPr>
      <t>spp</t>
    </r>
  </si>
  <si>
    <t>ice-free d18Osw (per mil, VPDB)</t>
  </si>
  <si>
    <t>Paleolatitude:</t>
  </si>
  <si>
    <t xml:space="preserve"> </t>
  </si>
  <si>
    <t>Paleolatitude correction (per mil, VPDB) from Zachos et al. (1994)</t>
  </si>
  <si>
    <t>Millville</t>
  </si>
  <si>
    <t>Morozovella aequa-subbotinae</t>
  </si>
  <si>
    <t>Subbotina roesaensis</t>
  </si>
  <si>
    <t>64°31.009'S</t>
  </si>
  <si>
    <t>03°05.996’E</t>
  </si>
  <si>
    <t>Glassy</t>
  </si>
  <si>
    <t>PETM recovery</t>
  </si>
  <si>
    <t>Bass River</t>
  </si>
  <si>
    <t>Reference:</t>
  </si>
  <si>
    <t>Site:</t>
  </si>
  <si>
    <t>Age model notes:</t>
  </si>
  <si>
    <t>Timescale:</t>
  </si>
  <si>
    <t>Depth scale:</t>
  </si>
  <si>
    <t>Hole</t>
  </si>
  <si>
    <t>Core</t>
  </si>
  <si>
    <t>Section</t>
  </si>
  <si>
    <t>Interval (cm)</t>
  </si>
  <si>
    <t>Species</t>
  </si>
  <si>
    <t>No. specimens</t>
  </si>
  <si>
    <t>Preservation</t>
  </si>
  <si>
    <t>Pres. Assessment</t>
  </si>
  <si>
    <t>Multi-specimen</t>
  </si>
  <si>
    <t>Wilson Lake</t>
  </si>
  <si>
    <t>m</t>
  </si>
  <si>
    <t>Zachos et al. (2006)</t>
  </si>
  <si>
    <t>Zachos et al., 2006</t>
  </si>
  <si>
    <t>Morozovella velascoensis</t>
  </si>
  <si>
    <t>Morozovella velascoensis-acuta</t>
  </si>
  <si>
    <t>John et al., 2008</t>
  </si>
  <si>
    <t>180-250</t>
  </si>
  <si>
    <t>mbgl</t>
  </si>
  <si>
    <t>ODP Site 1209</t>
  </si>
  <si>
    <t>Single specimen</t>
  </si>
  <si>
    <t>Zachos et al., 2003</t>
  </si>
  <si>
    <t>mcd</t>
  </si>
  <si>
    <t>300-425</t>
  </si>
  <si>
    <t>B</t>
  </si>
  <si>
    <t>22H</t>
  </si>
  <si>
    <t>Recrystallized</t>
  </si>
  <si>
    <t>Colosimo et al., 2006</t>
  </si>
  <si>
    <t>ODP Site 865</t>
  </si>
  <si>
    <t>Kelly et al., 1998</t>
  </si>
  <si>
    <t>300-355</t>
  </si>
  <si>
    <t>Acarinina sibaiyaensis</t>
  </si>
  <si>
    <t>12H</t>
  </si>
  <si>
    <t>C</t>
  </si>
  <si>
    <t>Morozovella allisonensis</t>
  </si>
  <si>
    <t>Morozovella allisonensis/velascoensis</t>
  </si>
  <si>
    <t>70-72</t>
  </si>
  <si>
    <t>16-18</t>
  </si>
  <si>
    <t>18-19</t>
  </si>
  <si>
    <t>80-82</t>
  </si>
  <si>
    <t>90-92</t>
  </si>
  <si>
    <t>0-2</t>
  </si>
  <si>
    <t>120-122</t>
  </si>
  <si>
    <t>110-112</t>
  </si>
  <si>
    <t>60-62</t>
  </si>
  <si>
    <t>50-52</t>
  </si>
  <si>
    <t>40-42</t>
  </si>
  <si>
    <t>30-32</t>
  </si>
  <si>
    <t>20-22</t>
  </si>
  <si>
    <t xml:space="preserve"> 10-12</t>
  </si>
  <si>
    <t>140-142</t>
  </si>
  <si>
    <t>130-132</t>
  </si>
  <si>
    <t>DSDP Site 527</t>
  </si>
  <si>
    <t>Mixed layer</t>
  </si>
  <si>
    <t>27-28</t>
  </si>
  <si>
    <t>49-50</t>
  </si>
  <si>
    <t>73-74</t>
  </si>
  <si>
    <t>96-97</t>
  </si>
  <si>
    <t>110-111</t>
  </si>
  <si>
    <t>131-132</t>
  </si>
  <si>
    <t>141-142</t>
  </si>
  <si>
    <t>90-150</t>
  </si>
  <si>
    <t>150-250</t>
  </si>
  <si>
    <t>21-23</t>
  </si>
  <si>
    <t>25-27</t>
  </si>
  <si>
    <t>34-39</t>
  </si>
  <si>
    <t>43-56</t>
  </si>
  <si>
    <t>56-58</t>
  </si>
  <si>
    <t>58-60</t>
  </si>
  <si>
    <t>64-66</t>
  </si>
  <si>
    <t>66-68</t>
  </si>
  <si>
    <t>68-70</t>
  </si>
  <si>
    <t>73-75</t>
  </si>
  <si>
    <t>95-97</t>
  </si>
  <si>
    <t>106-108</t>
  </si>
  <si>
    <t>116-118</t>
  </si>
  <si>
    <t>41-42</t>
  </si>
  <si>
    <t>130-131</t>
  </si>
  <si>
    <t>A</t>
  </si>
  <si>
    <t>10-11</t>
  </si>
  <si>
    <t>4-5</t>
  </si>
  <si>
    <t>9-10</t>
  </si>
  <si>
    <t>12-14</t>
  </si>
  <si>
    <t>Thomas et al., 1999</t>
  </si>
  <si>
    <t>Thomas et al., 2002</t>
  </si>
  <si>
    <t>Acarinina praepentacamerata</t>
  </si>
  <si>
    <t>ODP Site 690</t>
  </si>
  <si>
    <t>Millville (USA)</t>
  </si>
  <si>
    <t>94-99</t>
  </si>
  <si>
    <t>137-141</t>
  </si>
  <si>
    <t>15-18</t>
  </si>
  <si>
    <t>26-30</t>
  </si>
  <si>
    <t>45-47</t>
  </si>
  <si>
    <t>55-58</t>
  </si>
  <si>
    <t>64-68</t>
  </si>
  <si>
    <t>72-76</t>
  </si>
  <si>
    <t>86-90</t>
  </si>
  <si>
    <t>109-112</t>
  </si>
  <si>
    <t>127-130</t>
  </si>
  <si>
    <t>148-150</t>
  </si>
  <si>
    <t>5-9</t>
  </si>
  <si>
    <t>15-19</t>
  </si>
  <si>
    <t>26-28</t>
  </si>
  <si>
    <t>45-49</t>
  </si>
  <si>
    <t>52-55</t>
  </si>
  <si>
    <t>65-68</t>
  </si>
  <si>
    <t>74-77</t>
  </si>
  <si>
    <t>85-89</t>
  </si>
  <si>
    <t>93-99</t>
  </si>
  <si>
    <t>44-47</t>
  </si>
  <si>
    <t>56-59</t>
  </si>
  <si>
    <t>73-77</t>
  </si>
  <si>
    <t>86-89</t>
  </si>
  <si>
    <t>94-96</t>
  </si>
  <si>
    <t>Subbotina varianta</t>
  </si>
  <si>
    <t>Subbotina patagonica</t>
  </si>
  <si>
    <t>86-88</t>
  </si>
  <si>
    <t>135-139</t>
  </si>
  <si>
    <t>147-150</t>
  </si>
  <si>
    <t>58-62</t>
  </si>
  <si>
    <t>115-119</t>
  </si>
  <si>
    <t>125-129</t>
  </si>
  <si>
    <t>145-149</t>
  </si>
  <si>
    <t>94-97</t>
  </si>
  <si>
    <t>136-140</t>
  </si>
  <si>
    <t>shelf</t>
  </si>
  <si>
    <t>Wall texture only - looks overgrown. No X sections - Dunkley Jones et al. (2013)</t>
  </si>
  <si>
    <t>&gt;250</t>
  </si>
  <si>
    <t>DSDP Site 401</t>
  </si>
  <si>
    <t>250-400</t>
  </si>
  <si>
    <t>Morozovella subbotinae</t>
  </si>
  <si>
    <t>Late Paleocene</t>
  </si>
  <si>
    <t>GTS2012</t>
  </si>
  <si>
    <t>Subbotina velascoensis</t>
  </si>
  <si>
    <t>250-350</t>
  </si>
  <si>
    <t>Subbotina cf. roesnaesensis</t>
  </si>
  <si>
    <t>Morozovella aragonensis</t>
  </si>
  <si>
    <t>Morozovella marginodentata</t>
  </si>
  <si>
    <t>Morozovella bandyi</t>
  </si>
  <si>
    <t>Acarinina bullbrooki</t>
  </si>
  <si>
    <t>Gutjhar et al., 2017</t>
  </si>
  <si>
    <t>4-6</t>
  </si>
  <si>
    <t>91-93</t>
  </si>
  <si>
    <t>110-113</t>
  </si>
  <si>
    <t>138-140</t>
  </si>
  <si>
    <t>8-10</t>
  </si>
  <si>
    <t>31-33</t>
  </si>
  <si>
    <t>72-74</t>
  </si>
  <si>
    <t>129-131</t>
  </si>
  <si>
    <t>11-13</t>
  </si>
  <si>
    <t>26-27</t>
  </si>
  <si>
    <t>37-39</t>
  </si>
  <si>
    <t>47-49</t>
  </si>
  <si>
    <t>74-76</t>
  </si>
  <si>
    <t>79-81</t>
  </si>
  <si>
    <t>84-86</t>
  </si>
  <si>
    <t>96-98</t>
  </si>
  <si>
    <t>98-100</t>
  </si>
  <si>
    <t>101-104</t>
  </si>
  <si>
    <t>103-105</t>
  </si>
  <si>
    <t>112-114</t>
  </si>
  <si>
    <t>122-123</t>
  </si>
  <si>
    <t>133-134</t>
  </si>
  <si>
    <t>143-145</t>
  </si>
  <si>
    <t>22-23</t>
  </si>
  <si>
    <t>32-33</t>
  </si>
  <si>
    <t>39-40</t>
  </si>
  <si>
    <t>70-71</t>
  </si>
  <si>
    <t>90-91</t>
  </si>
  <si>
    <t>Subbotina eoceanica</t>
  </si>
  <si>
    <t>A. soldadoensis/angulosa</t>
  </si>
  <si>
    <t>A. soldadoensis/angulosa/esnehensis/coalingensis</t>
  </si>
  <si>
    <t>A. coalingensis/esnehensis</t>
  </si>
  <si>
    <t>A. primitiva/soldadoensis</t>
  </si>
  <si>
    <t>Morozovella aequa</t>
  </si>
  <si>
    <t>&gt; 250</t>
  </si>
  <si>
    <t>225-275</t>
  </si>
  <si>
    <t>200-225</t>
  </si>
  <si>
    <t>200-300</t>
  </si>
  <si>
    <t>210-250</t>
  </si>
  <si>
    <t>150-175</t>
  </si>
  <si>
    <t>150-210</t>
  </si>
  <si>
    <t>175-200</t>
  </si>
  <si>
    <t>5x150, 1x225</t>
  </si>
  <si>
    <t>150-200</t>
  </si>
  <si>
    <t>6x175, 1x225</t>
  </si>
  <si>
    <t>200-250</t>
  </si>
  <si>
    <t>3x150, 1x200</t>
  </si>
  <si>
    <t>210-150</t>
  </si>
  <si>
    <t>Makarova et al., 2017</t>
  </si>
  <si>
    <t>Subbotina triangularis</t>
  </si>
  <si>
    <t>Subbotina roesnaesensis</t>
  </si>
  <si>
    <t>Morozovella aequa/subbotinae</t>
  </si>
  <si>
    <t>Morozovella acuta</t>
  </si>
  <si>
    <t>Morozovella acuta/velascoensis</t>
  </si>
  <si>
    <t>Acarinina esnehensis</t>
  </si>
  <si>
    <t>Acarinina soldadoensis (esnehensis?)</t>
  </si>
  <si>
    <t>Acarinina coalingensis</t>
  </si>
  <si>
    <t>Acarinina coalingensis, soldadoensis</t>
  </si>
  <si>
    <t>mbs</t>
  </si>
  <si>
    <t>Wright and Schaller (2013); Makarova et al. (2017)</t>
  </si>
  <si>
    <t>onset</t>
  </si>
  <si>
    <t>PETM onset</t>
  </si>
  <si>
    <t>Stott et al., 1990</t>
  </si>
  <si>
    <t>EECO?</t>
  </si>
  <si>
    <t>Subbotina eoceana</t>
  </si>
  <si>
    <t>Acarinina apressocamerata</t>
  </si>
  <si>
    <t>Acarinina pesudotopilensis</t>
  </si>
  <si>
    <t>Acainina soldadoensis</t>
  </si>
  <si>
    <t>212-250</t>
  </si>
  <si>
    <t>212-300</t>
  </si>
  <si>
    <t>More data from  outside this interval available from Stott et al 1990</t>
  </si>
  <si>
    <t>Kennett&amp;Stott, 1991</t>
  </si>
  <si>
    <t>ODP Site 738</t>
  </si>
  <si>
    <t>5R</t>
  </si>
  <si>
    <t>73-78</t>
  </si>
  <si>
    <t>7R</t>
  </si>
  <si>
    <t>88-93</t>
  </si>
  <si>
    <t>23-28</t>
  </si>
  <si>
    <t>CC</t>
  </si>
  <si>
    <t>8R</t>
  </si>
  <si>
    <t>90-95</t>
  </si>
  <si>
    <t>9R</t>
  </si>
  <si>
    <t>25-30</t>
  </si>
  <si>
    <t>10R</t>
  </si>
  <si>
    <t>95-100</t>
  </si>
  <si>
    <t>Acarinina primitiva</t>
  </si>
  <si>
    <t>6R</t>
  </si>
  <si>
    <t>84-89</t>
  </si>
  <si>
    <t>Barrera&amp;Huber, 1991</t>
  </si>
  <si>
    <t>Barerra&amp;Huber, 1991 (reX noted by authors but no x-sections)</t>
  </si>
  <si>
    <t>98-102</t>
  </si>
  <si>
    <t>Acarinina triplex</t>
  </si>
  <si>
    <t>Acarinina acarinata</t>
  </si>
  <si>
    <t>Acarinina collactea</t>
  </si>
  <si>
    <t>Acarinina pentacamerata</t>
  </si>
  <si>
    <t>Acarinina pseudotopilensis</t>
  </si>
  <si>
    <t>Subbotina hornibrooki</t>
  </si>
  <si>
    <t>Subbotina pseudoeocaena</t>
  </si>
  <si>
    <t>Subbotina linaperta</t>
  </si>
  <si>
    <t>Acarinina wilcoxensis</t>
  </si>
  <si>
    <t>Acarinina cf. pseudotopilensis</t>
  </si>
  <si>
    <t>Globanomalina australiformis</t>
  </si>
  <si>
    <t>Globanomalina cf. pseudomenardii</t>
  </si>
  <si>
    <t>370-470</t>
  </si>
  <si>
    <t>395-495</t>
  </si>
  <si>
    <t>380-440</t>
  </si>
  <si>
    <t>360-410</t>
  </si>
  <si>
    <t>220-280</t>
  </si>
  <si>
    <t>385-445</t>
  </si>
  <si>
    <t>395-475</t>
  </si>
  <si>
    <t>380-460</t>
  </si>
  <si>
    <t>380-450</t>
  </si>
  <si>
    <t>240-290</t>
  </si>
  <si>
    <t>505-605</t>
  </si>
  <si>
    <t>375-435</t>
  </si>
  <si>
    <t>365-465</t>
  </si>
  <si>
    <t>255-305</t>
  </si>
  <si>
    <t>Lu&amp;Keller, 1993</t>
  </si>
  <si>
    <t>Morozovella gracilis</t>
  </si>
  <si>
    <t>TDP 3</t>
  </si>
  <si>
    <t>53.2±0.4</t>
  </si>
  <si>
    <t>Anagnostou et al., 2016</t>
  </si>
  <si>
    <t>0-24</t>
  </si>
  <si>
    <t>Biostratigraphy</t>
  </si>
  <si>
    <t>Acarinina coalingensis</t>
    <phoneticPr fontId="2" type="noConversion"/>
  </si>
  <si>
    <t xml:space="preserve">Acarinina quetra </t>
    <phoneticPr fontId="2" type="noConversion"/>
  </si>
  <si>
    <t xml:space="preserve">Morozovella gracilis </t>
    <phoneticPr fontId="2" type="noConversion"/>
  </si>
  <si>
    <t xml:space="preserve">Morozovella formosa </t>
    <phoneticPr fontId="2" type="noConversion"/>
  </si>
  <si>
    <t xml:space="preserve">Acarinina triplex </t>
    <phoneticPr fontId="2" type="noConversion"/>
  </si>
  <si>
    <t xml:space="preserve">Morozovella lensiformis </t>
    <phoneticPr fontId="2" type="noConversion"/>
  </si>
  <si>
    <t xml:space="preserve">Morozovella subbotinae </t>
    <phoneticPr fontId="2" type="noConversion"/>
  </si>
  <si>
    <t>14-24</t>
  </si>
  <si>
    <t>425-500</t>
  </si>
  <si>
    <t>Pearson et al., 2007</t>
  </si>
  <si>
    <t>TDP 14</t>
  </si>
  <si>
    <t>Pearson et al., 2007; Anagnostou et al., 2016</t>
  </si>
  <si>
    <t>Aze et al., 2014</t>
  </si>
  <si>
    <t>17-19</t>
  </si>
  <si>
    <t>65-70</t>
  </si>
  <si>
    <t>18-20</t>
  </si>
  <si>
    <t>52-54</t>
  </si>
  <si>
    <t>85-90</t>
  </si>
  <si>
    <t>32-34</t>
  </si>
  <si>
    <t>77-79</t>
  </si>
  <si>
    <t>34-36</t>
  </si>
  <si>
    <t>44-46</t>
  </si>
  <si>
    <t>83-85</t>
  </si>
  <si>
    <t>30-33</t>
  </si>
  <si>
    <t>35-40</t>
  </si>
  <si>
    <t xml:space="preserve">Subbotina triangularis </t>
  </si>
  <si>
    <t>Aze et al., 2014; Handley et al., 2008</t>
  </si>
  <si>
    <t>2-4</t>
  </si>
  <si>
    <t>6-8</t>
  </si>
  <si>
    <t>5-10</t>
  </si>
  <si>
    <t>10-12</t>
  </si>
  <si>
    <t>Above core PETM</t>
  </si>
  <si>
    <t>PETM body</t>
  </si>
  <si>
    <t>Mixed PETM</t>
  </si>
  <si>
    <t>(Given as &gt;300 m in Nicholas et al., 2006)</t>
  </si>
  <si>
    <t>Lodo Gulch</t>
  </si>
  <si>
    <t>Morozovella aequa/gracilis</t>
  </si>
  <si>
    <t>Composite height from base of section (m)</t>
  </si>
  <si>
    <t>In John et al., 2008 - forams are well preserved between 6.1-19.9 m but no SEMs/LMs</t>
  </si>
  <si>
    <t>Lodo Gulch (USA)</t>
  </si>
  <si>
    <t>NP10</t>
  </si>
  <si>
    <t>NP11</t>
  </si>
  <si>
    <t>PETM recovery?</t>
  </si>
  <si>
    <t>Tumey Gulch</t>
  </si>
  <si>
    <t>Tumey Gulch (USA)</t>
  </si>
  <si>
    <t>Handley et al., 2008</t>
  </si>
  <si>
    <t>None given</t>
  </si>
  <si>
    <t>Bornemann et al., 2016</t>
  </si>
  <si>
    <t>Calculated from age model in Bornemann et al., 2016 GPC. NB. Gutjhar et al., 2017 data put onto same age model as Bornemann et al., 2016 - different from published. Please note He-based age estimates also available for PETM interval in B'14.</t>
  </si>
  <si>
    <t>Bornemann et al., 2014</t>
  </si>
  <si>
    <t>Post-PETM</t>
  </si>
  <si>
    <t>119-121</t>
  </si>
  <si>
    <t>92-94</t>
  </si>
  <si>
    <t>145-147</t>
  </si>
  <si>
    <t>122-124</t>
  </si>
  <si>
    <t>69-71</t>
  </si>
  <si>
    <t>147-149</t>
  </si>
  <si>
    <t>Pardo et al., 1997</t>
  </si>
  <si>
    <t>Bornemann et al., 2014; 2016; Gutjhar et al., 2017; Pardo et al., 1997</t>
  </si>
  <si>
    <t>Pardo et al., 1997; Bornemann et al., 2014; 2016;  Gutjhar et al., 2017</t>
  </si>
  <si>
    <t>Kelly et al., 2005</t>
  </si>
  <si>
    <t>Acarinina subsphaerica</t>
  </si>
  <si>
    <t>Acarinina mckanni</t>
  </si>
  <si>
    <t>Stott et al., 1990; Kennett&amp;Stott, 1991; Thomas et al., 2002; Kelly et al., 2005</t>
  </si>
  <si>
    <t>Morozovella convexa</t>
  </si>
  <si>
    <t>Other data from outside this interval also available</t>
  </si>
  <si>
    <t>Stott et al., 1990; Si &amp; Aubry, 2018</t>
  </si>
  <si>
    <t>Si and Aubry, 2018; Stott et al., 1990</t>
  </si>
  <si>
    <t>Barrera &amp; Huber, 1991; Lu &amp; Keller, 1993</t>
  </si>
  <si>
    <t>11H</t>
  </si>
  <si>
    <t>Bralower et al., 1995a</t>
  </si>
  <si>
    <t>Bralower et al., 1995b</t>
  </si>
  <si>
    <t>Si&amp;Aubry, 2018; Makarova et al., 2017. NB. Adjusted depth scale available and shown on figures in Makarova et al., 2017</t>
  </si>
  <si>
    <t>post-PETM</t>
  </si>
  <si>
    <t>Babila et al., 2016</t>
  </si>
  <si>
    <t>250-355</t>
  </si>
  <si>
    <t>Babila et al., 2018 - SI</t>
  </si>
  <si>
    <t>Frieling et al., 2017</t>
  </si>
  <si>
    <t>Sagamu Quarry</t>
  </si>
  <si>
    <t>SEMs in Frieling et al., 2017</t>
  </si>
  <si>
    <t>P4/P5 bdry is between 9.05 and 10.7 m</t>
  </si>
  <si>
    <t>Gebhardt et al., 2011</t>
  </si>
  <si>
    <t>Makarova et al., 2017; Si &amp; Aubry , 2018</t>
  </si>
  <si>
    <t>Zachos et al., 2006; Si &amp; Aubry , 2018</t>
  </si>
  <si>
    <t>John et al., 2008; Babila et al., 2016; Si &amp; Aubry, 2018</t>
  </si>
  <si>
    <t>Bralower et al., 1995a,b; Kelly et al., 1998</t>
  </si>
  <si>
    <t>DSDP Site 277</t>
  </si>
  <si>
    <t>SEMs in Hollis et al., 2015</t>
  </si>
  <si>
    <t>Hollis et al., 2015</t>
  </si>
  <si>
    <t>121-124</t>
  </si>
  <si>
    <t>80-83</t>
  </si>
  <si>
    <t>78-81</t>
  </si>
  <si>
    <t>71-74</t>
  </si>
  <si>
    <t>77-80</t>
  </si>
  <si>
    <t>7-10</t>
  </si>
  <si>
    <t>142-145</t>
  </si>
  <si>
    <t>130-133</t>
  </si>
  <si>
    <t>0-3</t>
  </si>
  <si>
    <t>10-13</t>
  </si>
  <si>
    <t>83-84</t>
  </si>
  <si>
    <t>100-102</t>
  </si>
  <si>
    <t>111-114</t>
  </si>
  <si>
    <t>138-141</t>
  </si>
  <si>
    <t>140-143</t>
  </si>
  <si>
    <t>Kennett and Shackleton, 1975; Hollis et al,. 2015</t>
  </si>
  <si>
    <t>Kozdon et al., 2011,2013</t>
  </si>
  <si>
    <t>Lu et al., 1996</t>
  </si>
  <si>
    <t>Alamedilla</t>
  </si>
  <si>
    <t>Alamedilla (Spain)</t>
  </si>
  <si>
    <t>Sagamu Quarry (Nigeria)</t>
  </si>
  <si>
    <t>Hampden Beach</t>
  </si>
  <si>
    <t>Raine et al. 2015</t>
  </si>
  <si>
    <t>Acarinina mcgowrani</t>
  </si>
  <si>
    <t>Morozovella crater</t>
  </si>
  <si>
    <t>Subbotina eocaena</t>
  </si>
  <si>
    <t>150-212</t>
  </si>
  <si>
    <t>Hollis et al., 2012</t>
  </si>
  <si>
    <t>Sample:</t>
  </si>
  <si>
    <t xml:space="preserve"> J42/f439 (HB13C)</t>
  </si>
  <si>
    <t>Yes?</t>
  </si>
  <si>
    <t>Mid-Waipara River</t>
  </si>
  <si>
    <t>Composite scale (m)</t>
  </si>
  <si>
    <t>M34/f859</t>
  </si>
  <si>
    <t>M34/f852</t>
  </si>
  <si>
    <t>M34/f849</t>
  </si>
  <si>
    <t>M34/f846</t>
  </si>
  <si>
    <t>M34/f843</t>
  </si>
  <si>
    <t>M34/f840</t>
  </si>
  <si>
    <t>M34/f837</t>
  </si>
  <si>
    <t>M34/f834</t>
  </si>
  <si>
    <t>M34/f831</t>
  </si>
  <si>
    <t>M34/f828</t>
  </si>
  <si>
    <t>M34/f825</t>
  </si>
  <si>
    <t>M34/f823</t>
  </si>
  <si>
    <t>M34/f822</t>
  </si>
  <si>
    <t>Single-specimen</t>
  </si>
  <si>
    <t>Hollis et al., 2009</t>
  </si>
  <si>
    <t>Hampden Beach (NZ)</t>
  </si>
  <si>
    <t>Mid-Waipara River (NZ)</t>
  </si>
  <si>
    <t>22-24</t>
  </si>
  <si>
    <t>71.5-73.5</t>
  </si>
  <si>
    <t>102.5-104.5</t>
  </si>
  <si>
    <t>42-44</t>
  </si>
  <si>
    <t>137-139</t>
  </si>
  <si>
    <t>13-15</t>
  </si>
  <si>
    <t>23-25</t>
  </si>
  <si>
    <t>48-49</t>
  </si>
  <si>
    <t>78-80</t>
  </si>
  <si>
    <t>117-119</t>
  </si>
  <si>
    <t>23.5-25.5</t>
  </si>
  <si>
    <t>97-99</t>
  </si>
  <si>
    <t>54-56</t>
  </si>
  <si>
    <t>67-69</t>
  </si>
  <si>
    <t>9-11</t>
  </si>
  <si>
    <t>144-146</t>
  </si>
  <si>
    <t>136-138</t>
  </si>
  <si>
    <t>139-141</t>
  </si>
  <si>
    <t>Stott et al., 1996</t>
  </si>
  <si>
    <t>DSDP Site 549</t>
  </si>
  <si>
    <t>Recrystallization</t>
  </si>
  <si>
    <t>No SEM close-ups but author assignment - Snyder &amp; Waters, 1985</t>
  </si>
  <si>
    <t>Masson et al., 1985</t>
  </si>
  <si>
    <t>SEM surface wall only in Dunkley Jones et al. (2013); Zachos pers. comm.</t>
  </si>
  <si>
    <t>No SEMs - John et al., 2008; Zachos pers. comm</t>
  </si>
  <si>
    <t>DSDP Site 577</t>
  </si>
  <si>
    <t>Morozovella caucasica</t>
  </si>
  <si>
    <t>Morozovella crassatus</t>
  </si>
  <si>
    <t>Updated taxonomic name to Pearson et al. (2006)</t>
  </si>
  <si>
    <t>Praemurica? lozonoi</t>
  </si>
  <si>
    <t>Igorina anapetes</t>
  </si>
  <si>
    <t>Acarinina aspensis</t>
  </si>
  <si>
    <t>Subbotina hagni</t>
  </si>
  <si>
    <t>Subbotina turgida</t>
  </si>
  <si>
    <t>Subbotina pseudoeoceana</t>
  </si>
  <si>
    <t>Subbbotina eoceana</t>
  </si>
  <si>
    <t>Igorina broedermanni</t>
  </si>
  <si>
    <t>Morozvella edgari</t>
  </si>
  <si>
    <t>Morozovella quetra</t>
  </si>
  <si>
    <t>Morozovella apanthesma</t>
  </si>
  <si>
    <t>Morzovella gracilis</t>
  </si>
  <si>
    <t>Morzovella formosa</t>
  </si>
  <si>
    <t>Acarinina esnaensis</t>
  </si>
  <si>
    <t>Acarinina primtiva</t>
  </si>
  <si>
    <t>Acarinina nitida</t>
  </si>
  <si>
    <t>Igorina lodoensis</t>
  </si>
  <si>
    <t>Igorina convexa</t>
  </si>
  <si>
    <t>Turborotalia frontosa</t>
  </si>
  <si>
    <t>Turborotalia possagoensis</t>
  </si>
  <si>
    <t>Turborotalia praecentralis</t>
  </si>
  <si>
    <t>Morozovella occlusa</t>
  </si>
  <si>
    <t>Acarinina strabocella</t>
  </si>
  <si>
    <t>Igorina pusilla</t>
  </si>
  <si>
    <t>Size fraction* (um)</t>
  </si>
  <si>
    <t>Acarinina pseudosubsphaerica</t>
  </si>
  <si>
    <t>Lu &amp; Keller, 1996</t>
  </si>
  <si>
    <t>Catapsydrax echinatus</t>
  </si>
  <si>
    <t>Globanomalina chapmani</t>
  </si>
  <si>
    <t>Globanomalina wilcoxensis</t>
  </si>
  <si>
    <t>Sub-thermocline</t>
  </si>
  <si>
    <t>Parasubbotina griffinae</t>
  </si>
  <si>
    <t>Guembelitriodes nuttalli</t>
  </si>
  <si>
    <t>Igorina tadjikistaenensis</t>
  </si>
  <si>
    <t>Chiloguembelina crinita</t>
  </si>
  <si>
    <t>Globorotaloides eovariabilis</t>
  </si>
  <si>
    <t>Planorotalites pseudoscitula</t>
  </si>
  <si>
    <t>Intermediate</t>
  </si>
  <si>
    <t>Chiloguembelina midwayensis</t>
  </si>
  <si>
    <t>NB. Ages calculated using mcd scale and revised datums in Dickens et al. (2013) - see comments for values</t>
  </si>
  <si>
    <t>81.11 mcd</t>
  </si>
  <si>
    <t>Subbotina senni</t>
  </si>
  <si>
    <t>Not updated as unclear of concept applied in study</t>
  </si>
  <si>
    <t>Pseudohastigerina wilcoxensis</t>
  </si>
  <si>
    <t>Globanomalina membranocea</t>
  </si>
  <si>
    <t>Updated genus to Pearson et al. (2006);unclear concept to update species name</t>
  </si>
  <si>
    <t>Acarinina nicoli</t>
  </si>
  <si>
    <t>Updated genus but unknown species name; Pearson et al. (2006)</t>
  </si>
  <si>
    <t>Unknown species name</t>
  </si>
  <si>
    <t>Chiloguembelina circulabiata</t>
  </si>
  <si>
    <t>No SEMs based on lithology and SSP comments</t>
  </si>
  <si>
    <t>Derived from Townsend, 1985;  Muller, 1985</t>
  </si>
  <si>
    <t>m from base of section</t>
  </si>
  <si>
    <t xml:space="preserve">John et al., 2008 </t>
  </si>
  <si>
    <t>Thomas et al., 1999; Zachos pers. comm.</t>
  </si>
  <si>
    <t>Aleget pers. comm. based on Alegert et al. 2009</t>
  </si>
  <si>
    <t>-2.05</t>
  </si>
  <si>
    <t>-2.09</t>
  </si>
  <si>
    <t>-2.17</t>
  </si>
  <si>
    <t>-2.02</t>
  </si>
  <si>
    <t>-1.91</t>
  </si>
  <si>
    <t>-2.08</t>
  </si>
  <si>
    <t>-1.89</t>
  </si>
  <si>
    <t>-2.04</t>
  </si>
  <si>
    <t>-1.96</t>
  </si>
  <si>
    <t>-1.99</t>
  </si>
  <si>
    <t>-2.03</t>
  </si>
  <si>
    <t>-2.14</t>
  </si>
  <si>
    <t>-1.88</t>
  </si>
  <si>
    <t>-1.76</t>
  </si>
  <si>
    <t>-1.83</t>
  </si>
  <si>
    <t>-1.78</t>
  </si>
  <si>
    <t>-1.93</t>
  </si>
  <si>
    <t>-1.87</t>
  </si>
  <si>
    <t>-1.9</t>
  </si>
  <si>
    <t>&gt;355</t>
  </si>
  <si>
    <t>120-125</t>
  </si>
  <si>
    <t>6-11</t>
  </si>
  <si>
    <t>85-87</t>
  </si>
  <si>
    <t>111-116</t>
  </si>
  <si>
    <t>43-47</t>
  </si>
  <si>
    <t>9-12</t>
  </si>
  <si>
    <t>102-125</t>
  </si>
  <si>
    <t>102-104</t>
  </si>
  <si>
    <t>117-121</t>
  </si>
  <si>
    <t>123-128</t>
  </si>
  <si>
    <t>14-15</t>
  </si>
  <si>
    <t>Probably just outside of EECO based on Hollis et al. (2012)</t>
  </si>
  <si>
    <t>pre-EECO?</t>
  </si>
  <si>
    <t>PETM?</t>
  </si>
  <si>
    <t>pre-PETm designation from TDJ'13 switched to LP</t>
  </si>
  <si>
    <t>84.56 mcd; LP assignments here based on C24r between 85.2-79.7 m (86.7-79.7 mcd)</t>
  </si>
  <si>
    <t>75.61 mcd; timeslice based on NP12 between 78.11-71..67 m (78.11-69.07 mcd)</t>
  </si>
  <si>
    <t>*Average size of individuals measured; 67.55 mcd; other samples from deeper in the section available; timeslice based on NP12 between 78.11-71..67 m (78.11-69.07 mcd)</t>
  </si>
  <si>
    <t>Timeslice based on C24r</t>
  </si>
  <si>
    <t>C22r</t>
  </si>
  <si>
    <t>C23n</t>
  </si>
  <si>
    <t>C24n</t>
  </si>
  <si>
    <t>C23r</t>
  </si>
  <si>
    <t>Barron et al., 1991</t>
  </si>
  <si>
    <t>Dunkley Jones et al., 2013</t>
  </si>
  <si>
    <t>Bass River Sample number from J. Zachos given in Interval (cm) column</t>
  </si>
  <si>
    <t>180-212</t>
  </si>
  <si>
    <t>LP</t>
  </si>
  <si>
    <t>Mean</t>
  </si>
  <si>
    <t>na</t>
  </si>
  <si>
    <t>Recrystallised</t>
  </si>
  <si>
    <t>Min</t>
  </si>
  <si>
    <t>Max</t>
  </si>
  <si>
    <t>Count</t>
  </si>
  <si>
    <t>9H</t>
  </si>
  <si>
    <t>M. aragonensis</t>
  </si>
  <si>
    <t>Kozdon et al., 2011</t>
  </si>
  <si>
    <t xml:space="preserve">St deviation of multiple measurements; In-situ Ino microprobe technique </t>
  </si>
  <si>
    <t>10H</t>
  </si>
  <si>
    <t>M. subbotinae</t>
  </si>
  <si>
    <t>M. velascoensis</t>
  </si>
  <si>
    <t>M. allisonensis</t>
  </si>
  <si>
    <t>Kozdon et al., 2011; 2013</t>
  </si>
  <si>
    <t>Kozdon et al., 2013</t>
  </si>
  <si>
    <t xml:space="preserve">2xSt deviation of multiple measurements; In-situ Ino microprobe technique; muricae base only </t>
  </si>
  <si>
    <t>Morozovella lensiformis</t>
  </si>
  <si>
    <t>Morozovella formosa</t>
  </si>
  <si>
    <t>Latitude:</t>
  </si>
  <si>
    <t>Longitude:</t>
  </si>
  <si>
    <t>Age model:</t>
  </si>
  <si>
    <t>ODP 690</t>
  </si>
  <si>
    <t>John et al.  2008; Babila et al. 2016; Si &amp; Aubry 2018</t>
  </si>
  <si>
    <t>John et al. 2008; m in Si &amp; Aubry 2018</t>
  </si>
  <si>
    <t>Modern Location</t>
  </si>
  <si>
    <t>Si&amp;Aubry 2018; Makarova et al. 2017</t>
  </si>
  <si>
    <t>Dickens et al. 2013</t>
  </si>
  <si>
    <t>Katz &amp; Miller 1991</t>
  </si>
  <si>
    <t>Lu &amp; Keller 1996</t>
  </si>
  <si>
    <t>Lu et al. 1996</t>
  </si>
  <si>
    <t>Bralower et al. 1995a, Kelly et al. 1998</t>
  </si>
  <si>
    <t xml:space="preserve">Bralower and Mutterlose 1995; Bralower et al. 1995a </t>
  </si>
  <si>
    <t>Kozdon et al., 2011, 2013</t>
  </si>
  <si>
    <t>Region:</t>
  </si>
  <si>
    <t>Nigeria</t>
  </si>
  <si>
    <t>Sagamu Quarry, Dahomey Basin</t>
  </si>
  <si>
    <t>Tanzania</t>
  </si>
  <si>
    <t>New Zealand</t>
  </si>
  <si>
    <t>Hollis et al. 2012</t>
  </si>
  <si>
    <t>SW Pacific, Campbell Plateau</t>
  </si>
  <si>
    <t>Southern Indian Ocean</t>
  </si>
  <si>
    <t>Lu &amp; Keller 1993; Barrera &amp; Huber 1991</t>
  </si>
  <si>
    <t>Si &amp; Aubry 2018; Stott et al. 1990</t>
  </si>
  <si>
    <t>Maud Rise, Southern Atlantic</t>
  </si>
  <si>
    <t>Kennett&amp;Stott, 1991; Thomas et al., 2002; Kelly et al., 2005</t>
  </si>
  <si>
    <t>SUPPLEMENTARY DATA FILE 3: PLANKTIC FORAMINIFERAL OXYGEN ISOTOPES</t>
  </si>
  <si>
    <t>California, USA</t>
  </si>
  <si>
    <t>New Jersey, USA</t>
  </si>
  <si>
    <t>Goban Spur, NE Atlantic (DSDP leg 80)</t>
  </si>
  <si>
    <t>Bay of Biscay, North Atlantic (DSDP Leg 48)</t>
  </si>
  <si>
    <t>Shatsky Rise, N Pacific (DSDP Leg 86)</t>
  </si>
  <si>
    <t>Spain</t>
  </si>
  <si>
    <t>Region</t>
  </si>
  <si>
    <t>Central Pacific (ODP Leg 143)</t>
  </si>
  <si>
    <t>Walvis Ridge, S Atlantic (DSDP Leg 74)</t>
  </si>
  <si>
    <t>DeepMIP Temperature  ºC</t>
  </si>
  <si>
    <t>DeepMIP Temperature Estimate ºC</t>
  </si>
  <si>
    <t>PETM - onset</t>
  </si>
  <si>
    <t>PETM-body</t>
  </si>
  <si>
    <t>PL</t>
  </si>
  <si>
    <t>PETM-onset</t>
  </si>
  <si>
    <t xml:space="preserve">Ice-free d18Osw adjusted for latitude(‰, VPDB) </t>
  </si>
  <si>
    <r>
      <t xml:space="preserve">Subbotina </t>
    </r>
    <r>
      <rPr>
        <sz val="10"/>
        <rFont val="Calibri"/>
        <family val="2"/>
        <scheme val="minor"/>
      </rPr>
      <t>spp</t>
    </r>
  </si>
  <si>
    <r>
      <t xml:space="preserve">Acarinina </t>
    </r>
    <r>
      <rPr>
        <sz val="10"/>
        <rFont val="Calibri"/>
        <family val="2"/>
        <scheme val="minor"/>
      </rPr>
      <t>spp</t>
    </r>
  </si>
  <si>
    <r>
      <t>Ice-free d18Osw adjusted for latitude(</t>
    </r>
    <r>
      <rPr>
        <b/>
        <sz val="10"/>
        <rFont val="Calibri"/>
        <family val="2"/>
      </rPr>
      <t>‰</t>
    </r>
    <r>
      <rPr>
        <b/>
        <sz val="10"/>
        <rFont val="Calibri"/>
        <family val="2"/>
        <scheme val="minor"/>
      </rPr>
      <t xml:space="preserve">, VPDB) </t>
    </r>
  </si>
  <si>
    <r>
      <rPr>
        <i/>
        <sz val="10"/>
        <rFont val="Calibri"/>
        <family val="2"/>
        <scheme val="minor"/>
      </rPr>
      <t>Acarinina</t>
    </r>
    <r>
      <rPr>
        <sz val="10"/>
        <rFont val="Calibri"/>
        <family val="2"/>
        <scheme val="minor"/>
      </rPr>
      <t xml:space="preserve"> spp</t>
    </r>
  </si>
  <si>
    <r>
      <t xml:space="preserve">Morozovella </t>
    </r>
    <r>
      <rPr>
        <sz val="10"/>
        <rFont val="Calibri"/>
        <family val="2"/>
        <scheme val="minor"/>
      </rPr>
      <t>spp</t>
    </r>
  </si>
  <si>
    <r>
      <t xml:space="preserve">Subbotina </t>
    </r>
    <r>
      <rPr>
        <sz val="10"/>
        <rFont val="Calibri"/>
        <family val="2"/>
      </rPr>
      <t>spp</t>
    </r>
  </si>
  <si>
    <r>
      <t xml:space="preserve">Acarinina </t>
    </r>
    <r>
      <rPr>
        <sz val="10"/>
        <rFont val="Calibri"/>
        <family val="2"/>
      </rPr>
      <t>spp</t>
    </r>
  </si>
  <si>
    <r>
      <t xml:space="preserve">Acarinina </t>
    </r>
    <r>
      <rPr>
        <sz val="10"/>
        <color theme="1"/>
        <rFont val="Calibri"/>
        <family val="2"/>
        <scheme val="minor"/>
      </rPr>
      <t>spp</t>
    </r>
  </si>
  <si>
    <r>
      <t xml:space="preserve">Morozovella </t>
    </r>
    <r>
      <rPr>
        <sz val="10"/>
        <color theme="1"/>
        <rFont val="Calibri"/>
        <family val="2"/>
        <scheme val="minor"/>
      </rPr>
      <t>spp</t>
    </r>
  </si>
  <si>
    <r>
      <t xml:space="preserve">Subbotina </t>
    </r>
    <r>
      <rPr>
        <sz val="10"/>
        <color theme="1"/>
        <rFont val="Calibri"/>
        <family val="2"/>
        <scheme val="minor"/>
      </rPr>
      <t>spp</t>
    </r>
  </si>
  <si>
    <r>
      <t>Acarinina</t>
    </r>
    <r>
      <rPr>
        <sz val="10"/>
        <color theme="1"/>
        <rFont val="Calibri"/>
        <family val="2"/>
        <scheme val="minor"/>
      </rPr>
      <t xml:space="preserve"> spp</t>
    </r>
  </si>
  <si>
    <r>
      <t xml:space="preserve">M. velascoensis </t>
    </r>
    <r>
      <rPr>
        <sz val="10"/>
        <rFont val="Calibri"/>
        <family val="2"/>
        <scheme val="minor"/>
      </rPr>
      <t>gr.</t>
    </r>
  </si>
  <si>
    <r>
      <t xml:space="preserve">M. aequa </t>
    </r>
    <r>
      <rPr>
        <sz val="10"/>
        <rFont val="Calibri"/>
        <family val="2"/>
        <scheme val="minor"/>
      </rPr>
      <t>gr.</t>
    </r>
  </si>
  <si>
    <r>
      <t xml:space="preserve">Subbotina </t>
    </r>
    <r>
      <rPr>
        <sz val="10"/>
        <color theme="1"/>
        <rFont val="Calibri"/>
        <family val="2"/>
        <scheme val="minor"/>
      </rPr>
      <t>spp.</t>
    </r>
  </si>
  <si>
    <r>
      <rPr>
        <i/>
        <sz val="10"/>
        <color theme="1"/>
        <rFont val="Calibri"/>
        <family val="2"/>
        <scheme val="minor"/>
      </rPr>
      <t>Subbotina</t>
    </r>
    <r>
      <rPr>
        <sz val="10"/>
        <color theme="1"/>
        <rFont val="Calibri"/>
        <family val="2"/>
        <scheme val="minor"/>
      </rPr>
      <t xml:space="preserve"> sp.</t>
    </r>
  </si>
  <si>
    <r>
      <rPr>
        <i/>
        <sz val="10"/>
        <rFont val="Calibri"/>
        <family val="2"/>
        <scheme val="minor"/>
      </rPr>
      <t>Subbotina</t>
    </r>
    <r>
      <rPr>
        <sz val="10"/>
        <rFont val="Calibri"/>
        <family val="2"/>
        <scheme val="minor"/>
      </rPr>
      <t xml:space="preserve"> sp.</t>
    </r>
  </si>
  <si>
    <r>
      <t xml:space="preserve">Globanomalina </t>
    </r>
    <r>
      <rPr>
        <sz val="10"/>
        <rFont val="Calibri"/>
        <family val="2"/>
        <scheme val="minor"/>
      </rPr>
      <t>sp.</t>
    </r>
  </si>
  <si>
    <r>
      <t xml:space="preserve">Acarinina </t>
    </r>
    <r>
      <rPr>
        <sz val="10"/>
        <rFont val="Calibri"/>
        <family val="2"/>
        <scheme val="minor"/>
      </rPr>
      <t>sp.</t>
    </r>
  </si>
  <si>
    <r>
      <rPr>
        <sz val="10"/>
        <color theme="1"/>
        <rFont val="Calibri"/>
        <family val="2"/>
        <scheme val="minor"/>
      </rPr>
      <t>Transitional</t>
    </r>
    <r>
      <rPr>
        <i/>
        <sz val="10"/>
        <color theme="1"/>
        <rFont val="Calibri"/>
        <family val="2"/>
        <scheme val="minor"/>
      </rPr>
      <t xml:space="preserve"> Acarinina soldadoensis/sibaiyaensis</t>
    </r>
  </si>
  <si>
    <t>TDP3 Drillhole</t>
  </si>
  <si>
    <t>TDP14 Drillhole</t>
  </si>
  <si>
    <r>
      <rPr>
        <i/>
        <sz val="10"/>
        <rFont val="Calibri"/>
        <family val="2"/>
        <scheme val="minor"/>
      </rPr>
      <t>Morozovella</t>
    </r>
    <r>
      <rPr>
        <sz val="10"/>
        <rFont val="Calibri"/>
        <family val="2"/>
        <scheme val="minor"/>
      </rPr>
      <t xml:space="preserve"> spp</t>
    </r>
  </si>
  <si>
    <t>late EECO</t>
  </si>
  <si>
    <r>
      <t>Subbotina</t>
    </r>
    <r>
      <rPr>
        <sz val="10"/>
        <rFont val="Calibri"/>
        <family val="2"/>
        <scheme val="minor"/>
      </rPr>
      <t xml:space="preserve"> spp</t>
    </r>
  </si>
  <si>
    <r>
      <t>Acarinina</t>
    </r>
    <r>
      <rPr>
        <sz val="10"/>
        <rFont val="Calibri"/>
        <family val="2"/>
        <scheme val="minor"/>
      </rPr>
      <t xml:space="preserve"> spp</t>
    </r>
  </si>
  <si>
    <t>NP9b</t>
  </si>
  <si>
    <t>NP9a</t>
  </si>
  <si>
    <t>LP SST estimates</t>
  </si>
  <si>
    <t>PETM SST Estimates</t>
  </si>
  <si>
    <t>EECO SST estimates</t>
  </si>
  <si>
    <t>Some recrystallised</t>
  </si>
  <si>
    <t>Setting:</t>
  </si>
  <si>
    <t>\</t>
  </si>
  <si>
    <t>Calcareous nannofossil biostratigraphy - note comments, re. ages too old/young because of hiatuses</t>
  </si>
  <si>
    <t>Calcareous nannofossil Zone NP10</t>
  </si>
  <si>
    <t>Calcareous nannofossil Zone NP11; As NP11 truncated this age is too old - close to NP11/12 bdry?</t>
  </si>
  <si>
    <t>Calcareous nannofossil Zone NP13?</t>
  </si>
  <si>
    <t>Calcareous nannofossil Zone NP12</t>
  </si>
  <si>
    <t>Calcareous nannofossil Zone NP11</t>
  </si>
  <si>
    <t>Calcareous nannofossil Zone NP9 (Base below section)</t>
  </si>
  <si>
    <t>2150 m palaeowater depth</t>
  </si>
  <si>
    <t>Magstratigraphy and Calcareous nannofossil biostratigraphy</t>
  </si>
  <si>
    <t>Based on d13C stratigraphy</t>
  </si>
  <si>
    <t>pre-PETM designation from Dunkley Jones et al. (2013)  changed to LP</t>
  </si>
  <si>
    <t>1900 m paleowater depth</t>
  </si>
  <si>
    <t>d13C stratigraphy and calcareous nannofossil stratigraphy</t>
  </si>
  <si>
    <t>Dunkley Jones et al. (2013) Pre-PETM turned into LP; Timeslice based on C24r</t>
  </si>
  <si>
    <t>1400-1650 m paleowater depth</t>
  </si>
  <si>
    <t xml:space="preserve">Zachos et al. (2007). See Kelly et al. (2012) for an updated stratigraphy and age model </t>
  </si>
  <si>
    <t>Kennett &amp; Stott (1991). NB. ~1100 m water depth based on benthic foraminiferal assemblages - Thomas &amp; Shackleton (1996)</t>
  </si>
  <si>
    <t>Other size fractions available; NB. PETM onset at 208.2 - differs from that in Dunkley Jones et al. (2013) supplement (applies to all data in this sheet)</t>
  </si>
  <si>
    <t>1800 m paleowater depth</t>
  </si>
  <si>
    <t>Lu &amp; Keller 1993</t>
  </si>
  <si>
    <t>Calcareous nannofossil and planktic foraminifer biostratigraphy</t>
  </si>
  <si>
    <t>1500 m paleowater depth</t>
  </si>
  <si>
    <t>Calcareous nannofossil Zone NP12/Planktic foraminifera Zone E6</t>
  </si>
  <si>
    <t>Calcareous nannofossil Zone NP11/Planktic foraminifera Zone E4-E5</t>
  </si>
  <si>
    <t>Calcareous nannofossil Zone  NP11/Planktic foraminifera Zone E4-E5</t>
  </si>
  <si>
    <t>Planktic foraminifera Zone P5/Calcareous nannofossil Zone NP9a</t>
  </si>
  <si>
    <t>Planktic foraminifera Zone 4</t>
  </si>
  <si>
    <t xml:space="preserve">Measured d18O (‰, VPDB) </t>
  </si>
  <si>
    <t>3400 m paleowater depth</t>
  </si>
  <si>
    <t>Calcareous nannofossil and planktic foraminifera biostratigraphy. Magnetic stratigraphy. d13C statigraphy.</t>
  </si>
  <si>
    <t>All timeslice assignments based on Dunkley Jones et al. (2013)</t>
  </si>
  <si>
    <t>500 m paleowater depth</t>
  </si>
  <si>
    <t>Planktic foraminifer and calcareous nannofossil biostratigraphy</t>
  </si>
  <si>
    <t>Pearson et al. 2007</t>
  </si>
  <si>
    <t>Planktic foram Zone E4/Calcareous nannofossil Zone NP11</t>
  </si>
  <si>
    <t>Pearson et al. 2007; Anagnostou et al. 2014</t>
  </si>
  <si>
    <t>Anagnostou et al., 2014</t>
  </si>
  <si>
    <t>Planktic foraminifera biostratigraphy</t>
  </si>
  <si>
    <t>Planktic foram  Zone P5</t>
  </si>
  <si>
    <t>1500 m palaeowater depth</t>
  </si>
  <si>
    <t>Shipboard Scientific Party 143, 1993</t>
  </si>
  <si>
    <t xml:space="preserve">Calcareous nannofossil, planktic foraminifer biostratigraphy &amp; d13C stratigraphy </t>
  </si>
  <si>
    <t>Calcareous nannofossil Zone NP12 based on Bralower &amp; Mutterlose, 1995</t>
  </si>
  <si>
    <t>Calcareous nannofossil Zone CP8b, ~C24r, pre-PETM from isotopes</t>
  </si>
  <si>
    <t>Calcareous nannofossil NP12 based on Bralower &amp; Mutterlose, 1995</t>
  </si>
  <si>
    <t>In Dunkley Jones et al. (2013) but can't find in Bralower (1995)</t>
  </si>
  <si>
    <t xml:space="preserve"> Arenillas &amp; Molina, 1996; Lu et al. 1996</t>
  </si>
  <si>
    <t xml:space="preserve"> Arenillas &amp; Molina, 1996; Monechi, 2000</t>
  </si>
  <si>
    <t>C24r and Planktic foram  Zone P5</t>
  </si>
  <si>
    <t>Planktic foram  Zone  P5 (based on mid-point)</t>
  </si>
  <si>
    <t>1950 m palaeowater depth</t>
  </si>
  <si>
    <t>Calcareous nannofossil biostratigraphy and magnetostratigraphy</t>
  </si>
  <si>
    <t>Shatsky Rise, N Pacific (ODP Leg 198)</t>
  </si>
  <si>
    <t>2000-2500 m palaeowater depth</t>
  </si>
  <si>
    <t>Westerhold et al., 2011</t>
  </si>
  <si>
    <t>d13C stratigraphy</t>
  </si>
  <si>
    <t>Pre-PETM of Dunkley Jones et al. (2013)  switched to LP</t>
  </si>
  <si>
    <t>Makarova et al. (2017)</t>
  </si>
  <si>
    <t>* All Dunkley Jones et al. (2013) pre-PETM timeslices re-assigned here to Late Paleocene</t>
  </si>
  <si>
    <t>John et al. 2008</t>
  </si>
  <si>
    <t>Calcareous nannofossil biostratigraphy and d13C stratigraphy</t>
  </si>
  <si>
    <t>1800-2000 m palaeowater depth</t>
  </si>
  <si>
    <t>D’haenens et al., 2012</t>
  </si>
  <si>
    <t xml:space="preserve">Calcareous nannofossil biostratigraphy &amp; d13C stratigraphy </t>
  </si>
  <si>
    <t>Correlation is based on the d13C record</t>
  </si>
  <si>
    <t xml:space="preserve">Measured d13C (‰, VPDB) </t>
  </si>
  <si>
    <t>Paleolocation (52 Ma, Pmag)</t>
  </si>
  <si>
    <r>
      <t>The spreadsheets in this file include δ</t>
    </r>
    <r>
      <rPr>
        <vertAlign val="superscript"/>
        <sz val="10"/>
        <color rgb="FF000000"/>
        <rFont val="Calibri"/>
        <family val="2"/>
      </rPr>
      <t>18</t>
    </r>
    <r>
      <rPr>
        <sz val="10"/>
        <color rgb="FF000000"/>
        <rFont val="Calibri"/>
        <family val="2"/>
      </rPr>
      <t>O  values for LP, PETM and EECO time slices for 21 sites. In this coversheet, the following information is provided for each site: presence/absence of time slice (? indicates the time slice may be present but has not been confirmed; location and paleolocation at 52 Ma (using paleomagnetic reference frame of Torsvik et al., 2012); estimate of δ</t>
    </r>
    <r>
      <rPr>
        <vertAlign val="superscript"/>
        <sz val="10"/>
        <color rgb="FF000000"/>
        <rFont val="Calibri"/>
        <family val="2"/>
      </rPr>
      <t>18</t>
    </r>
    <r>
      <rPr>
        <sz val="10"/>
        <color rgb="FF000000"/>
        <rFont val="Calibri"/>
        <family val="2"/>
      </rPr>
      <t>O of seawater (see below); setting (paleodepth), data source, comment on preservation (sites with only recystallised specimens are highlighted in blue); and the range of temperature values for each time slice at each site (minimum, 5 percentile, mean, 95 percentile, maximum). In the following spreadsheets, data selected for each time slice are highlighted in green for LP, peach for PETM and orange for EECO. Although thermocline species are tabulated only mixed layer species are selected for SST estimates.</t>
    </r>
  </si>
  <si>
    <t>Total samples</t>
  </si>
  <si>
    <t>Total reliable</t>
  </si>
  <si>
    <t>Paleolocation at 52 Ma</t>
  </si>
  <si>
    <t>Present location</t>
  </si>
  <si>
    <t>Mantle reference frame</t>
  </si>
  <si>
    <t>Paleomag reference frame</t>
  </si>
  <si>
    <t>Paleolatitude</t>
  </si>
  <si>
    <t>Paleolongitude</t>
  </si>
  <si>
    <r>
      <rPr>
        <b/>
        <sz val="12"/>
        <color theme="1"/>
        <rFont val="Calibri"/>
        <family val="2"/>
        <scheme val="minor"/>
      </rPr>
      <t>Values for d18Osw</t>
    </r>
    <r>
      <rPr>
        <sz val="12"/>
        <color theme="1"/>
        <rFont val="Calibri"/>
        <family val="2"/>
        <scheme val="minor"/>
      </rPr>
      <t xml:space="preserve"> (2.5, 50 and 97.5 percentiles) for each site based on mantle and paleomagnetic reference frames (Torsvik et al., 2012; Matthews et al., 2016), an ice volume correction of -1‰ (assuming ice-free conditions for the late Paleocene and early Eocene) and a site-specific latitudinal correction based on LeGrande and Schmidt (2006) as discussed in the text (Section 4.1.4.). </t>
    </r>
  </si>
  <si>
    <r>
      <t>δ</t>
    </r>
    <r>
      <rPr>
        <b/>
        <vertAlign val="superscript"/>
        <sz val="10"/>
        <color rgb="FF000000"/>
        <rFont val="Calibri"/>
        <family val="2"/>
      </rPr>
      <t>18</t>
    </r>
    <r>
      <rPr>
        <b/>
        <sz val="10"/>
        <color rgb="FF000000"/>
        <rFont val="Calibri"/>
        <family val="2"/>
      </rPr>
      <t>O</t>
    </r>
    <r>
      <rPr>
        <b/>
        <vertAlign val="subscript"/>
        <sz val="10"/>
        <color rgb="FF000000"/>
        <rFont val="Calibri"/>
        <family val="2"/>
      </rPr>
      <t>sw</t>
    </r>
  </si>
  <si>
    <t xml:space="preserve">The value for d18Osw used for each site incorporates a VSMOW to VPDB adjustment of -0.27‰ (Kim and O'Neil, 1997), an ice volume correction of -1‰ (assuming ice-free conditions for the late Paleocene and early Eocene), and a site-specific latitudinal correction based on LeGrande and Schmidt (2006) as discussed in the text (Section 4.1.4.). </t>
  </si>
  <si>
    <t>VPDB</t>
  </si>
  <si>
    <t>d18Osw VSMOW</t>
  </si>
  <si>
    <t>Zones P5/NP9</t>
  </si>
  <si>
    <t xml:space="preserve"> Zones NP12/NP13</t>
  </si>
  <si>
    <t>Zones NP12/NP13</t>
  </si>
  <si>
    <t>Zone NP11</t>
  </si>
  <si>
    <t>All Samples</t>
  </si>
  <si>
    <t>Glassy only</t>
  </si>
  <si>
    <t>Mixture, glassy LP and PETM</t>
  </si>
  <si>
    <t>C24r/Zone NP9</t>
  </si>
  <si>
    <t>Incorrect mbsf in Stott et al., 1996; 337.73</t>
  </si>
  <si>
    <t>Incorrect mbsf in Stott et al., 1996; 337.83</t>
  </si>
  <si>
    <t>Incorrect mbsf in Stott et al., 1996; 338.05</t>
  </si>
  <si>
    <t>Incorrect mbsf in Stott et al., 1996' 388.21</t>
  </si>
  <si>
    <t>Incorrect mbsf in Stott et al., 1996; 338.34</t>
  </si>
  <si>
    <t>Incorrect mbsf in Stott et al., 1996; 338.42</t>
  </si>
  <si>
    <t>Incorrect mbsf in Stott et al., 1996; 338.47</t>
  </si>
  <si>
    <t>Incorrect mbsf in Stott et al., 1996; 338.7</t>
  </si>
  <si>
    <t>Incorrect mbsf in Stott et al., 1996; 388.68</t>
  </si>
  <si>
    <t>Incorrect mbsf in Stott et al., 1996; 339.97</t>
  </si>
  <si>
    <t>Incorrect mbsf in Stott et al., 1996; 340.6</t>
  </si>
  <si>
    <t>Incorrect mbsf in Stott et al., 1996; 340.72</t>
  </si>
  <si>
    <t>Incorrect mbsf in Stott et al., 1996; 340.95</t>
  </si>
  <si>
    <t>Incorrect mbsf in Stott et al., 1996; 337.67</t>
  </si>
  <si>
    <t>Timeslice designations from TDJ'13 except where otherwise noted.</t>
  </si>
  <si>
    <t>Dataset:</t>
  </si>
  <si>
    <t>Nannofossil Zone CP10/11/Planktic Foram Zone AP7</t>
  </si>
  <si>
    <t>Nannofossil Zone CP10/11 AND Planktic Foram Zone AP6b</t>
  </si>
  <si>
    <t>Nannofossil Zone CP9 AND  Planktic Foram Zone AP6a</t>
  </si>
  <si>
    <t xml:space="preserve">Updated  with magnetobiochronology from Dallanave et al. 2014 </t>
  </si>
  <si>
    <t>Recrystallised/SIMS used in table</t>
  </si>
  <si>
    <t>Recrystallised but benthic-planktic gradient preserved</t>
  </si>
  <si>
    <t>Possible meteoric water effect</t>
  </si>
  <si>
    <t>Recrystallised and benthic-planktic gradient reduced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</si>
</sst>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00"/>
    <numFmt numFmtId="166" formatCode="\+0.00;\-0.00;0.00"/>
  </numFmts>
  <fonts count="6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sz val="11"/>
      <name val="Calibri"/>
      <family val="2"/>
    </font>
    <font>
      <b/>
      <sz val="11"/>
      <name val="Calibri"/>
      <family val="2"/>
      <scheme val="minor"/>
    </font>
    <font>
      <sz val="11"/>
      <name val="Calibri"/>
      <family val="2"/>
      <scheme val="minor"/>
    </font>
    <font>
      <sz val="11"/>
      <color theme="1"/>
      <name val="Calibri"/>
      <family val="2"/>
      <scheme val="minor"/>
    </font>
    <font>
      <sz val="11"/>
      <color rgb="FF000000"/>
      <name val="Calibri Light"/>
      <family val="2"/>
    </font>
    <font>
      <b/>
      <sz val="11"/>
      <color rgb="FF000000"/>
      <name val="Calibri Light"/>
      <family val="2"/>
    </font>
    <font>
      <sz val="11"/>
      <color rgb="FF000000"/>
      <name val="Calibri"/>
      <family val="2"/>
      <scheme val="minor"/>
    </font>
    <font>
      <u/>
      <sz val="12"/>
      <color theme="10"/>
      <name val="Calibri"/>
      <family val="2"/>
      <scheme val="minor"/>
    </font>
    <font>
      <u/>
      <sz val="12"/>
      <color theme="11"/>
      <name val="Calibri"/>
      <family val="2"/>
      <scheme val="minor"/>
    </font>
    <font>
      <i/>
      <sz val="11"/>
      <color theme="1"/>
      <name val="Calibri"/>
      <family val="2"/>
      <scheme val="minor"/>
    </font>
    <font>
      <i/>
      <sz val="11"/>
      <name val="Calibri"/>
      <family val="2"/>
      <scheme val="minor"/>
    </font>
    <font>
      <sz val="11"/>
      <color indexed="8"/>
      <name val="Calibri"/>
      <family val="2"/>
      <scheme val="minor"/>
    </font>
    <font>
      <sz val="12"/>
      <color rgb="FF000000"/>
      <name val="Calibri"/>
      <family val="2"/>
      <scheme val="minor"/>
    </font>
    <font>
      <b/>
      <sz val="11"/>
      <color rgb="FF000000"/>
      <name val="Calibri"/>
      <family val="2"/>
      <scheme val="minor"/>
    </font>
    <font>
      <b/>
      <sz val="12"/>
      <color rgb="FF000000"/>
      <name val="Calibri"/>
      <family val="2"/>
      <scheme val="minor"/>
    </font>
    <font>
      <sz val="10"/>
      <name val="Verdana"/>
      <family val="2"/>
    </font>
    <font>
      <b/>
      <sz val="11"/>
      <color indexed="8"/>
      <name val="Calibri"/>
      <family val="2"/>
      <scheme val="minor"/>
    </font>
    <font>
      <sz val="12"/>
      <color theme="1"/>
      <name val="Calibri"/>
      <family val="2"/>
    </font>
    <font>
      <sz val="12"/>
      <name val="Calibri"/>
      <family val="2"/>
      <scheme val="minor"/>
    </font>
    <font>
      <sz val="10"/>
      <color theme="1"/>
      <name val="Calibri"/>
      <family val="2"/>
      <scheme val="minor"/>
    </font>
    <font>
      <sz val="10"/>
      <color rgb="FF000000"/>
      <name val="Calibri"/>
      <family val="2"/>
      <scheme val="minor"/>
    </font>
    <font>
      <b/>
      <sz val="10"/>
      <color theme="1"/>
      <name val="Arial"/>
      <family val="2"/>
    </font>
    <font>
      <b/>
      <sz val="10"/>
      <color theme="1"/>
      <name val="Calibri"/>
      <family val="2"/>
      <scheme val="minor"/>
    </font>
    <font>
      <sz val="10"/>
      <name val="Calibri"/>
      <family val="2"/>
    </font>
    <font>
      <sz val="10"/>
      <color theme="1"/>
      <name val="Calibri"/>
      <family val="2"/>
    </font>
    <font>
      <sz val="10"/>
      <color rgb="FF000000"/>
      <name val="Calibri"/>
      <family val="2"/>
    </font>
    <font>
      <vertAlign val="superscript"/>
      <sz val="10"/>
      <color rgb="FF000000"/>
      <name val="Calibri"/>
      <family val="2"/>
    </font>
    <font>
      <b/>
      <sz val="10"/>
      <color rgb="FF000000"/>
      <name val="Calibri"/>
      <family val="2"/>
    </font>
    <font>
      <b/>
      <vertAlign val="superscript"/>
      <sz val="10"/>
      <color rgb="FF000000"/>
      <name val="Calibri"/>
      <family val="2"/>
    </font>
    <font>
      <b/>
      <vertAlign val="subscript"/>
      <sz val="10"/>
      <color rgb="FF000000"/>
      <name val="Calibri"/>
      <family val="2"/>
    </font>
    <font>
      <sz val="10"/>
      <name val="Calibri"/>
      <family val="2"/>
      <scheme val="minor"/>
    </font>
    <font>
      <b/>
      <sz val="10"/>
      <color rgb="FF000000"/>
      <name val="Calibri"/>
      <family val="2"/>
      <scheme val="minor"/>
    </font>
    <font>
      <b/>
      <sz val="10"/>
      <color indexed="8"/>
      <name val="Calibri"/>
      <family val="2"/>
      <scheme val="minor"/>
    </font>
    <font>
      <b/>
      <sz val="10"/>
      <name val="Calibri"/>
      <family val="2"/>
      <scheme val="minor"/>
    </font>
    <font>
      <i/>
      <sz val="10"/>
      <name val="Calibri"/>
      <family val="2"/>
      <scheme val="minor"/>
    </font>
    <font>
      <i/>
      <sz val="10"/>
      <color theme="1"/>
      <name val="Calibri"/>
      <family val="2"/>
      <scheme val="minor"/>
    </font>
    <font>
      <b/>
      <sz val="10"/>
      <color indexed="8"/>
      <name val="Calibri"/>
      <family val="2"/>
    </font>
    <font>
      <b/>
      <sz val="10"/>
      <name val="Calibri"/>
      <family val="2"/>
    </font>
    <font>
      <sz val="10"/>
      <color rgb="FFFF0000"/>
      <name val="Calibri"/>
      <family val="2"/>
      <scheme val="minor"/>
    </font>
    <font>
      <sz val="10"/>
      <color rgb="FFFF0000"/>
      <name val="Calibri"/>
      <family val="2"/>
    </font>
    <font>
      <sz val="10"/>
      <color indexed="8"/>
      <name val="Calibri"/>
      <family val="2"/>
    </font>
    <font>
      <sz val="10"/>
      <color indexed="8"/>
      <name val="Calibri"/>
      <family val="2"/>
      <scheme val="minor"/>
    </font>
    <font>
      <b/>
      <sz val="10"/>
      <color theme="1"/>
      <name val="Calibri"/>
      <family val="2"/>
    </font>
    <font>
      <i/>
      <sz val="10"/>
      <name val="Calibri"/>
      <family val="2"/>
    </font>
    <font>
      <b/>
      <sz val="12"/>
      <color indexed="8"/>
      <name val="Calibri"/>
      <family val="2"/>
    </font>
    <font>
      <sz val="12"/>
      <color indexed="8"/>
      <name val="Calibri"/>
      <family val="2"/>
    </font>
    <font>
      <b/>
      <sz val="12"/>
      <color indexed="8"/>
      <name val="Calibri"/>
      <family val="2"/>
      <scheme val="minor"/>
    </font>
    <font>
      <sz val="12"/>
      <color indexed="8"/>
      <name val="Calibri"/>
      <family val="2"/>
      <scheme val="minor"/>
    </font>
    <font>
      <i/>
      <sz val="10"/>
      <color rgb="FF000000"/>
      <name val="Calibri"/>
      <family val="2"/>
      <scheme val="minor"/>
    </font>
    <font>
      <b/>
      <sz val="12"/>
      <name val="Calibri"/>
      <family val="2"/>
      <scheme val="minor"/>
    </font>
    <font>
      <b/>
      <sz val="12"/>
      <color rgb="FF000000"/>
      <name val="Calibri"/>
      <family val="2"/>
    </font>
    <font>
      <sz val="9"/>
      <color indexed="81"/>
      <name val="Tahoma"/>
      <charset val="1"/>
    </font>
    <font>
      <b/>
      <sz val="9"/>
      <color indexed="81"/>
      <name val="Tahoma"/>
      <charset val="1"/>
    </font>
    <font>
      <b/>
      <sz val="10"/>
      <color rgb="FFFF0000"/>
      <name val="Calibri"/>
      <family val="2"/>
      <scheme val="minor"/>
    </font>
    <font>
      <sz val="12"/>
      <color theme="1"/>
      <name val="Calibri"/>
      <family val="2"/>
      <charset val="129"/>
      <scheme val="minor"/>
    </font>
    <font>
      <b/>
      <sz val="10"/>
      <color rgb="FFFF0000"/>
      <name val="Calibri"/>
      <family val="2"/>
    </font>
  </fonts>
  <fills count="13">
    <fill>
      <patternFill patternType="none"/>
    </fill>
    <fill>
      <patternFill patternType="gray125"/>
    </fill>
    <fill>
      <patternFill patternType="solid">
        <fgColor rgb="FFEDEDED"/>
        <bgColor rgb="FF000000"/>
      </patternFill>
    </fill>
    <fill>
      <patternFill patternType="solid">
        <fgColor rgb="FFDBDBDB"/>
        <bgColor rgb="FF000000"/>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79998168889431442"/>
        <bgColor indexed="64"/>
      </patternFill>
    </fill>
  </fills>
  <borders count="52">
    <border>
      <left/>
      <right/>
      <top/>
      <bottom/>
      <diagonal/>
    </border>
    <border>
      <left style="medium">
        <color auto="1"/>
      </left>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right/>
      <top/>
      <bottom style="medium">
        <color auto="1"/>
      </bottom>
      <diagonal/>
    </border>
    <border>
      <left style="medium">
        <color auto="1"/>
      </left>
      <right style="medium">
        <color auto="1"/>
      </right>
      <top/>
      <bottom style="medium">
        <color auto="1"/>
      </bottom>
      <diagonal/>
    </border>
    <border>
      <left/>
      <right style="medium">
        <color rgb="FF000000"/>
      </right>
      <top style="medium">
        <color auto="1"/>
      </top>
      <bottom/>
      <diagonal/>
    </border>
    <border>
      <left/>
      <right style="medium">
        <color rgb="FF000000"/>
      </right>
      <top/>
      <bottom/>
      <diagonal/>
    </border>
    <border>
      <left style="medium">
        <color auto="1"/>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top/>
      <bottom style="thin">
        <color auto="1"/>
      </bottom>
      <diagonal/>
    </border>
    <border>
      <left style="medium">
        <color auto="1"/>
      </left>
      <right style="thin">
        <color auto="1"/>
      </right>
      <top style="medium">
        <color auto="1"/>
      </top>
      <bottom/>
      <diagonal/>
    </border>
    <border>
      <left/>
      <right/>
      <top style="thin">
        <color auto="1"/>
      </top>
      <bottom/>
      <diagonal/>
    </border>
    <border>
      <left style="thin">
        <color indexed="64"/>
      </left>
      <right/>
      <top/>
      <bottom/>
      <diagonal/>
    </border>
    <border>
      <left/>
      <right style="thin">
        <color indexed="64"/>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auto="1"/>
      </right>
      <top/>
      <bottom style="medium">
        <color indexed="64"/>
      </bottom>
      <diagonal/>
    </border>
  </borders>
  <cellStyleXfs count="3382">
    <xf numFmtId="0" fontId="0" fillId="0" borderId="0"/>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20" fillId="0" borderId="0"/>
    <xf numFmtId="0" fontId="3" fillId="0" borderId="0"/>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59" fillId="0" borderId="0"/>
    <xf numFmtId="43" fontId="59" fillId="0" borderId="0" applyFont="0" applyFill="0" applyBorder="0" applyAlignment="0" applyProtection="0"/>
  </cellStyleXfs>
  <cellXfs count="1017">
    <xf numFmtId="0" fontId="0" fillId="0" borderId="0" xfId="0"/>
    <xf numFmtId="1" fontId="6" fillId="0" borderId="3" xfId="0" applyNumberFormat="1" applyFont="1" applyFill="1" applyBorder="1" applyAlignment="1">
      <alignment horizontal="center" vertical="center"/>
    </xf>
    <xf numFmtId="0" fontId="9" fillId="0" borderId="0" xfId="0" applyFont="1" applyAlignment="1">
      <alignment horizontal="center"/>
    </xf>
    <xf numFmtId="1" fontId="6" fillId="0" borderId="7" xfId="0" applyNumberFormat="1" applyFont="1" applyFill="1" applyBorder="1" applyAlignment="1">
      <alignment horizontal="center" vertical="center"/>
    </xf>
    <xf numFmtId="1" fontId="6" fillId="0" borderId="2" xfId="0" applyNumberFormat="1" applyFont="1" applyFill="1" applyBorder="1" applyAlignment="1">
      <alignment horizontal="center" vertical="center"/>
    </xf>
    <xf numFmtId="0" fontId="14" fillId="0" borderId="9" xfId="0" applyFont="1" applyBorder="1"/>
    <xf numFmtId="0" fontId="15" fillId="0" borderId="9" xfId="0" applyFont="1" applyBorder="1"/>
    <xf numFmtId="0" fontId="7" fillId="0" borderId="0"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2" fontId="16" fillId="0" borderId="8" xfId="0" applyNumberFormat="1" applyFont="1" applyBorder="1" applyAlignment="1">
      <alignment horizontal="center"/>
    </xf>
    <xf numFmtId="0" fontId="0" fillId="0" borderId="0" xfId="0" applyFont="1"/>
    <xf numFmtId="0" fontId="7" fillId="0" borderId="8" xfId="0" applyFont="1" applyFill="1" applyBorder="1" applyAlignment="1">
      <alignment horizontal="left" vertical="center"/>
    </xf>
    <xf numFmtId="0" fontId="0" fillId="0" borderId="8" xfId="0" applyFont="1" applyBorder="1"/>
    <xf numFmtId="0" fontId="0" fillId="0" borderId="12" xfId="0" applyFont="1" applyBorder="1" applyAlignment="1">
      <alignment horizontal="center"/>
    </xf>
    <xf numFmtId="2" fontId="7" fillId="0" borderId="0" xfId="0" applyNumberFormat="1" applyFont="1" applyFill="1" applyBorder="1" applyAlignment="1">
      <alignment horizontal="center"/>
    </xf>
    <xf numFmtId="0" fontId="11" fillId="0" borderId="0" xfId="0" applyFont="1" applyAlignment="1">
      <alignment horizontal="right"/>
    </xf>
    <xf numFmtId="0" fontId="7" fillId="0" borderId="0" xfId="0" applyFont="1" applyFill="1" applyBorder="1" applyAlignment="1">
      <alignment horizontal="center" vertical="center"/>
    </xf>
    <xf numFmtId="0" fontId="7" fillId="0" borderId="10" xfId="0" applyFont="1" applyFill="1" applyBorder="1" applyAlignment="1">
      <alignment horizontal="center" vertical="center"/>
    </xf>
    <xf numFmtId="0" fontId="17" fillId="0" borderId="0" xfId="0" applyFont="1"/>
    <xf numFmtId="0" fontId="17" fillId="0" borderId="0" xfId="0" applyFont="1" applyAlignment="1">
      <alignment horizontal="center"/>
    </xf>
    <xf numFmtId="2" fontId="6" fillId="0" borderId="25" xfId="0" applyNumberFormat="1" applyFont="1" applyBorder="1" applyAlignment="1">
      <alignment horizontal="center" vertical="center" wrapText="1"/>
    </xf>
    <xf numFmtId="0" fontId="21" fillId="0" borderId="0" xfId="0" applyFont="1" applyAlignment="1">
      <alignment horizontal="left" vertical="center"/>
    </xf>
    <xf numFmtId="0" fontId="16" fillId="0" borderId="0" xfId="0" applyFont="1" applyAlignment="1">
      <alignment horizontal="right" vertical="center"/>
    </xf>
    <xf numFmtId="0" fontId="16" fillId="0" borderId="0" xfId="0" applyFont="1" applyAlignment="1">
      <alignment horizontal="left" vertical="center"/>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1" fontId="6" fillId="0" borderId="2" xfId="0" applyNumberFormat="1" applyFont="1" applyFill="1" applyBorder="1" applyAlignment="1">
      <alignment horizontal="center" vertical="center" wrapText="1"/>
    </xf>
    <xf numFmtId="1" fontId="6" fillId="0" borderId="3" xfId="0" applyNumberFormat="1" applyFont="1" applyFill="1" applyBorder="1" applyAlignment="1">
      <alignment horizontal="center" vertical="center" wrapText="1"/>
    </xf>
    <xf numFmtId="1" fontId="6" fillId="0" borderId="7" xfId="0" applyNumberFormat="1" applyFont="1" applyFill="1" applyBorder="1" applyAlignment="1">
      <alignment horizontal="center" vertical="center" wrapText="1"/>
    </xf>
    <xf numFmtId="2" fontId="6" fillId="0" borderId="6" xfId="0" applyNumberFormat="1" applyFont="1" applyFill="1" applyBorder="1" applyAlignment="1">
      <alignment horizontal="center" vertical="center" wrapText="1"/>
    </xf>
    <xf numFmtId="1" fontId="6" fillId="0" borderId="6" xfId="0" applyNumberFormat="1" applyFont="1" applyFill="1" applyBorder="1" applyAlignment="1">
      <alignment horizontal="center" vertical="center" wrapText="1"/>
    </xf>
    <xf numFmtId="0" fontId="21" fillId="0" borderId="2" xfId="0" applyFont="1" applyBorder="1" applyAlignment="1">
      <alignment horizontal="center"/>
    </xf>
    <xf numFmtId="0" fontId="21" fillId="0" borderId="3" xfId="0" applyFont="1" applyBorder="1" applyAlignment="1">
      <alignment horizontal="center"/>
    </xf>
    <xf numFmtId="2" fontId="6" fillId="0" borderId="24" xfId="0" applyNumberFormat="1" applyFont="1" applyFill="1" applyBorder="1" applyAlignment="1">
      <alignment horizontal="center" vertical="center"/>
    </xf>
    <xf numFmtId="0" fontId="16" fillId="0" borderId="9" xfId="0" applyFont="1" applyBorder="1" applyAlignment="1">
      <alignment horizontal="center"/>
    </xf>
    <xf numFmtId="2" fontId="5" fillId="0" borderId="0" xfId="0" applyNumberFormat="1" applyFont="1" applyFill="1" applyBorder="1" applyAlignment="1">
      <alignment horizontal="center" vertical="center" wrapText="1"/>
    </xf>
    <xf numFmtId="2" fontId="5" fillId="0" borderId="0" xfId="0" applyNumberFormat="1" applyFont="1" applyFill="1" applyBorder="1" applyAlignment="1">
      <alignment horizontal="center" vertical="center"/>
    </xf>
    <xf numFmtId="0" fontId="17" fillId="0" borderId="0" xfId="0" applyFont="1" applyBorder="1" applyAlignment="1">
      <alignment horizontal="center"/>
    </xf>
    <xf numFmtId="2" fontId="5" fillId="0" borderId="0" xfId="0" applyNumberFormat="1" applyFont="1" applyAlignment="1">
      <alignment horizontal="center" vertical="center"/>
    </xf>
    <xf numFmtId="0" fontId="0" fillId="0" borderId="0" xfId="0" applyFont="1" applyFill="1" applyBorder="1" applyAlignment="1">
      <alignment horizontal="center"/>
    </xf>
    <xf numFmtId="0" fontId="0" fillId="0" borderId="0" xfId="0" applyFont="1" applyAlignment="1">
      <alignment horizontal="center"/>
    </xf>
    <xf numFmtId="0" fontId="0" fillId="0" borderId="11" xfId="0" applyFont="1" applyBorder="1" applyAlignment="1">
      <alignment horizontal="center"/>
    </xf>
    <xf numFmtId="0" fontId="17" fillId="0" borderId="0" xfId="0" applyFont="1" applyFill="1" applyAlignment="1">
      <alignment horizontal="center"/>
    </xf>
    <xf numFmtId="0" fontId="11" fillId="0" borderId="0" xfId="0" applyFont="1" applyAlignment="1">
      <alignment horizontal="left"/>
    </xf>
    <xf numFmtId="0" fontId="20" fillId="0" borderId="0" xfId="0" applyFont="1" applyFill="1" applyBorder="1" applyAlignment="1">
      <alignment horizontal="center" vertical="top"/>
    </xf>
    <xf numFmtId="0" fontId="20" fillId="0" borderId="0" xfId="0" applyFont="1" applyBorder="1" applyAlignment="1">
      <alignment horizontal="center"/>
    </xf>
    <xf numFmtId="0" fontId="20" fillId="0" borderId="0" xfId="0" applyFont="1" applyFill="1" applyBorder="1" applyAlignment="1">
      <alignment horizontal="center"/>
    </xf>
    <xf numFmtId="0" fontId="16" fillId="0" borderId="0" xfId="0" applyFont="1" applyFill="1" applyBorder="1" applyAlignment="1">
      <alignment horizontal="center"/>
    </xf>
    <xf numFmtId="0" fontId="0" fillId="0" borderId="0" xfId="0" applyFont="1" applyAlignment="1">
      <alignment horizontal="left"/>
    </xf>
    <xf numFmtId="0" fontId="24" fillId="0" borderId="0" xfId="0" applyFont="1" applyAlignment="1">
      <alignment horizontal="left"/>
    </xf>
    <xf numFmtId="2" fontId="24" fillId="0" borderId="0" xfId="0" applyNumberFormat="1" applyFont="1" applyAlignment="1">
      <alignment horizontal="left"/>
    </xf>
    <xf numFmtId="0" fontId="24" fillId="0" borderId="0" xfId="0" applyFont="1" applyBorder="1"/>
    <xf numFmtId="2" fontId="24" fillId="0" borderId="0" xfId="0" applyNumberFormat="1" applyFont="1" applyBorder="1" applyAlignment="1">
      <alignment horizontal="center"/>
    </xf>
    <xf numFmtId="2" fontId="25" fillId="0" borderId="0" xfId="0" applyNumberFormat="1" applyFont="1" applyBorder="1" applyAlignment="1">
      <alignment horizontal="center"/>
    </xf>
    <xf numFmtId="0" fontId="25" fillId="0" borderId="0" xfId="0" applyFont="1" applyBorder="1" applyAlignment="1">
      <alignment horizontal="center"/>
    </xf>
    <xf numFmtId="2" fontId="24" fillId="0" borderId="8" xfId="0" applyNumberFormat="1" applyFont="1" applyBorder="1" applyAlignment="1">
      <alignment horizontal="center"/>
    </xf>
    <xf numFmtId="0" fontId="24" fillId="0" borderId="8" xfId="0" applyFont="1" applyBorder="1" applyAlignment="1">
      <alignment horizontal="center"/>
    </xf>
    <xf numFmtId="0" fontId="24" fillId="0" borderId="9" xfId="0" applyFont="1" applyBorder="1" applyAlignment="1">
      <alignment horizontal="left"/>
    </xf>
    <xf numFmtId="2" fontId="24" fillId="0" borderId="10" xfId="0" applyNumberFormat="1" applyFont="1" applyBorder="1" applyAlignment="1">
      <alignment horizontal="center"/>
    </xf>
    <xf numFmtId="2" fontId="24" fillId="0" borderId="0" xfId="0" applyNumberFormat="1" applyFont="1" applyAlignment="1">
      <alignment horizontal="center"/>
    </xf>
    <xf numFmtId="0" fontId="17" fillId="0" borderId="0" xfId="0" applyFont="1" applyAlignment="1">
      <alignment horizontal="left"/>
    </xf>
    <xf numFmtId="2" fontId="6" fillId="0" borderId="3" xfId="0" applyNumberFormat="1" applyFont="1" applyFill="1" applyBorder="1" applyAlignment="1">
      <alignment horizontal="center" vertical="center" wrapText="1"/>
    </xf>
    <xf numFmtId="2" fontId="6" fillId="0" borderId="3" xfId="0" applyNumberFormat="1" applyFont="1" applyFill="1" applyBorder="1" applyAlignment="1">
      <alignment horizontal="center" vertical="center"/>
    </xf>
    <xf numFmtId="2" fontId="26" fillId="6" borderId="8" xfId="0" applyNumberFormat="1" applyFont="1" applyFill="1" applyBorder="1" applyAlignment="1">
      <alignment horizontal="center"/>
    </xf>
    <xf numFmtId="2" fontId="26" fillId="5" borderId="8" xfId="0" applyNumberFormat="1" applyFont="1" applyFill="1" applyBorder="1" applyAlignment="1">
      <alignment horizontal="center"/>
    </xf>
    <xf numFmtId="2" fontId="26" fillId="4" borderId="8" xfId="0" applyNumberFormat="1" applyFont="1" applyFill="1" applyBorder="1" applyAlignment="1">
      <alignment horizontal="center"/>
    </xf>
    <xf numFmtId="2" fontId="26" fillId="8" borderId="8" xfId="0" applyNumberFormat="1" applyFont="1" applyFill="1" applyBorder="1" applyAlignment="1">
      <alignment horizontal="center"/>
    </xf>
    <xf numFmtId="0" fontId="24" fillId="0" borderId="0" xfId="0" applyFont="1" applyFill="1" applyAlignment="1">
      <alignment horizontal="left"/>
    </xf>
    <xf numFmtId="0" fontId="24" fillId="0" borderId="0" xfId="0" applyFont="1"/>
    <xf numFmtId="0" fontId="25" fillId="0" borderId="0" xfId="0" applyFont="1" applyFill="1" applyAlignment="1">
      <alignment horizontal="left"/>
    </xf>
    <xf numFmtId="0" fontId="25" fillId="0" borderId="0" xfId="0" applyFont="1" applyFill="1"/>
    <xf numFmtId="0" fontId="25" fillId="0" borderId="0" xfId="0" applyFont="1" applyFill="1" applyAlignment="1">
      <alignment horizontal="left" vertical="center"/>
    </xf>
    <xf numFmtId="0" fontId="18" fillId="0" borderId="6" xfId="0" applyFont="1" applyBorder="1" applyAlignment="1">
      <alignment horizontal="center" vertical="center" wrapText="1"/>
    </xf>
    <xf numFmtId="0" fontId="0" fillId="0" borderId="0" xfId="0" applyFont="1" applyFill="1" applyBorder="1"/>
    <xf numFmtId="0" fontId="0" fillId="0" borderId="4" xfId="0" applyFont="1" applyBorder="1"/>
    <xf numFmtId="0" fontId="0" fillId="0" borderId="11" xfId="0" applyFont="1" applyBorder="1"/>
    <xf numFmtId="2" fontId="26" fillId="5" borderId="36" xfId="0" applyNumberFormat="1" applyFont="1" applyFill="1" applyBorder="1" applyAlignment="1">
      <alignment horizontal="center"/>
    </xf>
    <xf numFmtId="0" fontId="20" fillId="0" borderId="38" xfId="0" applyFont="1" applyBorder="1" applyAlignment="1">
      <alignment horizontal="center"/>
    </xf>
    <xf numFmtId="0" fontId="20" fillId="0" borderId="38" xfId="0" applyFont="1" applyFill="1" applyBorder="1" applyAlignment="1">
      <alignment horizontal="center"/>
    </xf>
    <xf numFmtId="2" fontId="26" fillId="6" borderId="36" xfId="0" applyNumberFormat="1" applyFont="1" applyFill="1" applyBorder="1" applyAlignment="1">
      <alignment horizontal="center"/>
    </xf>
    <xf numFmtId="2" fontId="28" fillId="0" borderId="2" xfId="0" applyNumberFormat="1" applyFont="1" applyBorder="1" applyAlignment="1">
      <alignment horizontal="center"/>
    </xf>
    <xf numFmtId="2" fontId="28" fillId="0" borderId="7" xfId="0" applyNumberFormat="1" applyFont="1" applyBorder="1" applyAlignment="1">
      <alignment horizontal="center"/>
    </xf>
    <xf numFmtId="2" fontId="28" fillId="0" borderId="9" xfId="0" applyNumberFormat="1" applyFont="1" applyBorder="1" applyAlignment="1">
      <alignment horizontal="center"/>
    </xf>
    <xf numFmtId="2" fontId="28" fillId="0" borderId="10" xfId="0" applyNumberFormat="1" applyFont="1" applyBorder="1" applyAlignment="1">
      <alignment horizontal="center"/>
    </xf>
    <xf numFmtId="2" fontId="29" fillId="0" borderId="9" xfId="0" applyNumberFormat="1" applyFont="1" applyBorder="1" applyAlignment="1">
      <alignment horizontal="center"/>
    </xf>
    <xf numFmtId="2" fontId="29" fillId="0" borderId="10" xfId="0" applyNumberFormat="1" applyFont="1" applyBorder="1" applyAlignment="1">
      <alignment horizontal="center"/>
    </xf>
    <xf numFmtId="0" fontId="30" fillId="0" borderId="2" xfId="0" applyFont="1" applyBorder="1" applyAlignment="1">
      <alignment horizontal="center"/>
    </xf>
    <xf numFmtId="0" fontId="30" fillId="0" borderId="7" xfId="0" applyFont="1" applyBorder="1" applyAlignment="1">
      <alignment horizontal="center"/>
    </xf>
    <xf numFmtId="0" fontId="30" fillId="0" borderId="0" xfId="0" applyFont="1" applyAlignment="1">
      <alignment horizontal="center"/>
    </xf>
    <xf numFmtId="2" fontId="28" fillId="0" borderId="9" xfId="0" applyNumberFormat="1" applyFont="1" applyBorder="1" applyAlignment="1">
      <alignment horizontal="center" vertical="center"/>
    </xf>
    <xf numFmtId="2" fontId="28" fillId="0" borderId="10" xfId="0" applyNumberFormat="1" applyFont="1" applyBorder="1" applyAlignment="1">
      <alignment horizontal="center" vertical="center"/>
    </xf>
    <xf numFmtId="2" fontId="28" fillId="0" borderId="9" xfId="0" applyNumberFormat="1" applyFont="1" applyFill="1" applyBorder="1" applyAlignment="1">
      <alignment horizontal="center" vertical="center"/>
    </xf>
    <xf numFmtId="2" fontId="28" fillId="0" borderId="10" xfId="0" applyNumberFormat="1" applyFont="1" applyFill="1" applyBorder="1" applyAlignment="1">
      <alignment horizontal="center" vertical="center"/>
    </xf>
    <xf numFmtId="0" fontId="30" fillId="0" borderId="0" xfId="0" applyFont="1" applyFill="1" applyAlignment="1">
      <alignment horizontal="center"/>
    </xf>
    <xf numFmtId="0" fontId="30" fillId="0" borderId="9" xfId="0" applyFont="1" applyBorder="1" applyAlignment="1">
      <alignment horizontal="center"/>
    </xf>
    <xf numFmtId="0" fontId="30" fillId="0" borderId="10" xfId="0" applyFont="1" applyBorder="1" applyAlignment="1">
      <alignment horizontal="center"/>
    </xf>
    <xf numFmtId="2" fontId="28" fillId="0" borderId="9" xfId="0" applyNumberFormat="1" applyFont="1" applyFill="1" applyBorder="1" applyAlignment="1">
      <alignment horizontal="center" vertical="center" wrapText="1"/>
    </xf>
    <xf numFmtId="2" fontId="28" fillId="0" borderId="10" xfId="0" applyNumberFormat="1" applyFont="1" applyFill="1" applyBorder="1" applyAlignment="1">
      <alignment horizontal="center" vertical="center" wrapText="1"/>
    </xf>
    <xf numFmtId="0" fontId="28" fillId="0" borderId="9" xfId="0" applyFont="1" applyFill="1" applyBorder="1" applyAlignment="1">
      <alignment horizontal="center" vertical="center"/>
    </xf>
    <xf numFmtId="0" fontId="28" fillId="0" borderId="10" xfId="0" applyFont="1" applyFill="1" applyBorder="1" applyAlignment="1">
      <alignment horizontal="center" vertical="center"/>
    </xf>
    <xf numFmtId="0" fontId="30" fillId="0" borderId="0" xfId="0" applyFont="1" applyFill="1" applyBorder="1" applyAlignment="1">
      <alignment horizontal="center"/>
    </xf>
    <xf numFmtId="2" fontId="28" fillId="0" borderId="4" xfId="0" applyNumberFormat="1" applyFont="1" applyFill="1" applyBorder="1" applyAlignment="1">
      <alignment horizontal="center" vertical="center"/>
    </xf>
    <xf numFmtId="2" fontId="28" fillId="0" borderId="5" xfId="0" applyNumberFormat="1" applyFont="1" applyFill="1" applyBorder="1" applyAlignment="1">
      <alignment horizontal="center" vertic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30" fillId="0" borderId="0" xfId="0" applyNumberFormat="1" applyFont="1" applyBorder="1" applyAlignment="1">
      <alignment horizontal="center"/>
    </xf>
    <xf numFmtId="0" fontId="30" fillId="0" borderId="0" xfId="0" applyFont="1" applyBorder="1" applyAlignment="1">
      <alignment horizontal="center"/>
    </xf>
    <xf numFmtId="0" fontId="22" fillId="0" borderId="0" xfId="0" applyFont="1"/>
    <xf numFmtId="0" fontId="29" fillId="0" borderId="0" xfId="0" applyFont="1"/>
    <xf numFmtId="0" fontId="30" fillId="0" borderId="0" xfId="0" applyFont="1" applyFill="1" applyAlignment="1">
      <alignment horizontal="center" vertical="center"/>
    </xf>
    <xf numFmtId="0" fontId="32" fillId="0" borderId="0" xfId="0" applyFont="1" applyAlignment="1">
      <alignment horizontal="center" vertical="center"/>
    </xf>
    <xf numFmtId="0" fontId="32" fillId="0" borderId="0" xfId="0" applyFont="1" applyAlignment="1">
      <alignment horizontal="center"/>
    </xf>
    <xf numFmtId="0" fontId="32" fillId="2" borderId="24" xfId="0" applyFont="1" applyFill="1" applyBorder="1" applyAlignment="1">
      <alignment horizontal="center" vertical="center"/>
    </xf>
    <xf numFmtId="0" fontId="32" fillId="2" borderId="2" xfId="0" applyFont="1" applyFill="1" applyBorder="1" applyAlignment="1">
      <alignment horizontal="center" vertical="center"/>
    </xf>
    <xf numFmtId="0" fontId="32" fillId="2" borderId="3" xfId="0" applyFont="1" applyFill="1" applyBorder="1" applyAlignment="1">
      <alignment horizontal="center" vertical="center"/>
    </xf>
    <xf numFmtId="0" fontId="32" fillId="2" borderId="7" xfId="0" applyFont="1" applyFill="1" applyBorder="1" applyAlignment="1">
      <alignment horizontal="center" vertical="center"/>
    </xf>
    <xf numFmtId="0" fontId="32" fillId="0" borderId="0" xfId="0" applyFont="1" applyFill="1" applyAlignment="1">
      <alignment horizontal="center" vertical="center"/>
    </xf>
    <xf numFmtId="0" fontId="32" fillId="2" borderId="24" xfId="0" applyFont="1" applyFill="1" applyBorder="1" applyAlignment="1">
      <alignment horizontal="center"/>
    </xf>
    <xf numFmtId="0" fontId="32" fillId="2" borderId="6" xfId="0" applyFont="1" applyFill="1" applyBorder="1" applyAlignment="1">
      <alignment horizontal="center"/>
    </xf>
    <xf numFmtId="0" fontId="30" fillId="0" borderId="24" xfId="0" applyFont="1" applyBorder="1" applyAlignment="1">
      <alignment vertical="center"/>
    </xf>
    <xf numFmtId="0" fontId="30" fillId="0" borderId="24" xfId="0" applyFont="1" applyBorder="1" applyAlignment="1">
      <alignment horizontal="center" vertical="center"/>
    </xf>
    <xf numFmtId="0" fontId="30" fillId="0" borderId="8" xfId="0" applyFont="1" applyBorder="1" applyAlignment="1"/>
    <xf numFmtId="0" fontId="30" fillId="0" borderId="8" xfId="0" applyFont="1" applyBorder="1" applyAlignment="1">
      <alignment horizontal="left"/>
    </xf>
    <xf numFmtId="0" fontId="30" fillId="0" borderId="8" xfId="0" applyFont="1" applyBorder="1" applyAlignment="1">
      <alignment vertical="center"/>
    </xf>
    <xf numFmtId="0" fontId="30" fillId="0" borderId="8" xfId="0" applyFont="1" applyBorder="1" applyAlignment="1">
      <alignment horizontal="center" vertical="center"/>
    </xf>
    <xf numFmtId="0" fontId="30" fillId="9" borderId="8" xfId="0" applyFont="1" applyFill="1" applyBorder="1" applyAlignment="1">
      <alignment vertical="center"/>
    </xf>
    <xf numFmtId="1" fontId="28" fillId="0" borderId="8" xfId="0" applyNumberFormat="1" applyFont="1" applyFill="1" applyBorder="1" applyAlignment="1">
      <alignment horizontal="center" vertical="center"/>
    </xf>
    <xf numFmtId="0" fontId="30" fillId="0" borderId="8" xfId="0" applyFont="1" applyBorder="1"/>
    <xf numFmtId="0" fontId="30" fillId="0" borderId="8" xfId="0" applyFont="1" applyFill="1" applyBorder="1" applyAlignment="1">
      <alignment horizontal="center" vertical="center"/>
    </xf>
    <xf numFmtId="0" fontId="29" fillId="0" borderId="8" xfId="0" applyFont="1" applyBorder="1" applyAlignment="1">
      <alignment horizontal="center"/>
    </xf>
    <xf numFmtId="0" fontId="30" fillId="9" borderId="12" xfId="0" applyFont="1" applyFill="1" applyBorder="1" applyAlignment="1">
      <alignment vertical="center"/>
    </xf>
    <xf numFmtId="0" fontId="30" fillId="0" borderId="12" xfId="0" applyFont="1" applyBorder="1" applyAlignment="1">
      <alignment horizontal="center" vertical="center"/>
    </xf>
    <xf numFmtId="0" fontId="30" fillId="0" borderId="12" xfId="0" applyFont="1" applyBorder="1" applyAlignment="1"/>
    <xf numFmtId="0" fontId="30" fillId="0" borderId="12" xfId="0" applyFont="1" applyBorder="1" applyAlignment="1">
      <alignment horizontal="left"/>
    </xf>
    <xf numFmtId="0" fontId="35" fillId="0" borderId="0" xfId="0" applyFont="1" applyFill="1" applyBorder="1" applyAlignment="1">
      <alignment horizontal="left" vertical="top"/>
    </xf>
    <xf numFmtId="2" fontId="1" fillId="0" borderId="0" xfId="0" applyNumberFormat="1" applyFont="1" applyAlignment="1">
      <alignment horizontal="center"/>
    </xf>
    <xf numFmtId="2" fontId="1" fillId="0" borderId="8" xfId="0" applyNumberFormat="1" applyFont="1" applyBorder="1" applyAlignment="1">
      <alignment horizontal="center"/>
    </xf>
    <xf numFmtId="2" fontId="24" fillId="4" borderId="8" xfId="0" applyNumberFormat="1" applyFont="1" applyFill="1" applyBorder="1" applyAlignment="1">
      <alignment horizontal="center"/>
    </xf>
    <xf numFmtId="2" fontId="24" fillId="4" borderId="36" xfId="0" applyNumberFormat="1" applyFont="1" applyFill="1" applyBorder="1" applyAlignment="1">
      <alignment horizontal="center"/>
    </xf>
    <xf numFmtId="0" fontId="0" fillId="0" borderId="5" xfId="0" applyFont="1" applyBorder="1"/>
    <xf numFmtId="0" fontId="36" fillId="0" borderId="0" xfId="0" applyFont="1" applyAlignment="1">
      <alignment horizontal="left" vertical="center"/>
    </xf>
    <xf numFmtId="0" fontId="36"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center"/>
    </xf>
    <xf numFmtId="0" fontId="25" fillId="0" borderId="0" xfId="0" applyFont="1"/>
    <xf numFmtId="0" fontId="25" fillId="0" borderId="0" xfId="0" applyFont="1" applyAlignment="1">
      <alignment horizontal="left" vertical="center"/>
    </xf>
    <xf numFmtId="0" fontId="37" fillId="0" borderId="0" xfId="0" applyFont="1" applyAlignment="1">
      <alignment horizontal="left" vertical="center"/>
    </xf>
    <xf numFmtId="2" fontId="35" fillId="0" borderId="0" xfId="0" applyNumberFormat="1" applyFont="1" applyAlignment="1">
      <alignment horizontal="center" vertical="center"/>
    </xf>
    <xf numFmtId="0" fontId="37" fillId="0" borderId="0" xfId="0" applyFont="1" applyFill="1" applyAlignment="1">
      <alignment horizontal="left" vertical="center"/>
    </xf>
    <xf numFmtId="2" fontId="24" fillId="0" borderId="0" xfId="0" applyNumberFormat="1" applyFont="1" applyFill="1" applyAlignment="1">
      <alignment horizontal="left"/>
    </xf>
    <xf numFmtId="1" fontId="35" fillId="0" borderId="0" xfId="0" applyNumberFormat="1" applyFont="1" applyAlignment="1">
      <alignment horizontal="left" vertical="center"/>
    </xf>
    <xf numFmtId="0" fontId="25" fillId="0" borderId="0" xfId="0" applyFont="1" applyAlignment="1">
      <alignment horizontal="left"/>
    </xf>
    <xf numFmtId="0" fontId="25" fillId="0" borderId="0" xfId="0" applyFont="1" applyAlignment="1">
      <alignment horizontal="left" vertical="center" wrapText="1"/>
    </xf>
    <xf numFmtId="0" fontId="25" fillId="0" borderId="0" xfId="0" applyFont="1" applyFill="1" applyAlignment="1">
      <alignment horizontal="center"/>
    </xf>
    <xf numFmtId="0" fontId="25" fillId="0" borderId="0" xfId="0" applyFont="1" applyAlignment="1">
      <alignment horizontal="left" wrapText="1"/>
    </xf>
    <xf numFmtId="0" fontId="24" fillId="0" borderId="0" xfId="0" applyFont="1" applyAlignment="1">
      <alignment horizontal="center"/>
    </xf>
    <xf numFmtId="0" fontId="36" fillId="0" borderId="1" xfId="0" applyFont="1" applyBorder="1" applyAlignment="1">
      <alignment horizontal="center" vertical="center" wrapText="1"/>
    </xf>
    <xf numFmtId="0" fontId="36" fillId="0" borderId="18" xfId="0" applyFont="1" applyBorder="1" applyAlignment="1">
      <alignment horizontal="center" vertical="center" wrapText="1"/>
    </xf>
    <xf numFmtId="2" fontId="38" fillId="0" borderId="18" xfId="0" applyNumberFormat="1" applyFont="1" applyBorder="1" applyAlignment="1">
      <alignment horizontal="center" vertical="center" wrapText="1"/>
    </xf>
    <xf numFmtId="2" fontId="38" fillId="0" borderId="6" xfId="0" applyNumberFormat="1" applyFont="1" applyBorder="1" applyAlignment="1">
      <alignment horizontal="center" vertical="center" wrapText="1"/>
    </xf>
    <xf numFmtId="2" fontId="38" fillId="0" borderId="25" xfId="0" applyNumberFormat="1" applyFont="1" applyBorder="1" applyAlignment="1">
      <alignment horizontal="center" vertical="center" wrapText="1"/>
    </xf>
    <xf numFmtId="0" fontId="36" fillId="0" borderId="6" xfId="0" applyFont="1" applyBorder="1" applyAlignment="1">
      <alignment horizontal="center" vertical="center"/>
    </xf>
    <xf numFmtId="1" fontId="38" fillId="0" borderId="18" xfId="0" applyNumberFormat="1" applyFont="1" applyBorder="1" applyAlignment="1">
      <alignment horizontal="center" vertical="center" wrapText="1"/>
    </xf>
    <xf numFmtId="1" fontId="38" fillId="0" borderId="27" xfId="0" applyNumberFormat="1" applyFont="1" applyBorder="1" applyAlignment="1">
      <alignment horizontal="center" vertical="center" wrapText="1"/>
    </xf>
    <xf numFmtId="0" fontId="25" fillId="0" borderId="0" xfId="0" applyFont="1" applyAlignment="1">
      <alignment vertical="center" wrapText="1"/>
    </xf>
    <xf numFmtId="1" fontId="38" fillId="0" borderId="6" xfId="0" applyNumberFormat="1" applyFont="1" applyBorder="1" applyAlignment="1">
      <alignment horizontal="center" vertical="center" wrapText="1"/>
    </xf>
    <xf numFmtId="0" fontId="25" fillId="0" borderId="9" xfId="0" applyFont="1" applyBorder="1" applyAlignment="1">
      <alignment horizontal="center"/>
    </xf>
    <xf numFmtId="0" fontId="36" fillId="0" borderId="0" xfId="0" applyFont="1" applyBorder="1" applyAlignment="1">
      <alignment horizontal="center"/>
    </xf>
    <xf numFmtId="165" fontId="24" fillId="0" borderId="0" xfId="0" applyNumberFormat="1" applyFont="1" applyFill="1" applyBorder="1" applyAlignment="1">
      <alignment horizontal="center"/>
    </xf>
    <xf numFmtId="2" fontId="38" fillId="0" borderId="0" xfId="0" applyNumberFormat="1" applyFont="1" applyAlignment="1">
      <alignment horizontal="center" vertical="center"/>
    </xf>
    <xf numFmtId="1" fontId="35" fillId="0" borderId="0" xfId="0" applyNumberFormat="1" applyFont="1" applyBorder="1" applyAlignment="1">
      <alignment horizontal="center" vertical="center"/>
    </xf>
    <xf numFmtId="1" fontId="35" fillId="0" borderId="10" xfId="0" applyNumberFormat="1" applyFont="1" applyBorder="1" applyAlignment="1">
      <alignment horizontal="center" vertical="center"/>
    </xf>
    <xf numFmtId="1" fontId="35" fillId="0" borderId="9" xfId="0" applyNumberFormat="1" applyFont="1" applyBorder="1" applyAlignment="1">
      <alignment horizontal="center" vertical="center"/>
    </xf>
    <xf numFmtId="1" fontId="35" fillId="0" borderId="10" xfId="0" applyNumberFormat="1" applyFont="1" applyBorder="1" applyAlignment="1">
      <alignment horizontal="left" vertical="center"/>
    </xf>
    <xf numFmtId="2" fontId="35" fillId="0" borderId="8" xfId="0" applyNumberFormat="1" applyFont="1" applyBorder="1" applyAlignment="1">
      <alignment horizontal="center" vertical="center"/>
    </xf>
    <xf numFmtId="0" fontId="25" fillId="0" borderId="8" xfId="0" applyFont="1" applyBorder="1"/>
    <xf numFmtId="0" fontId="25" fillId="0" borderId="37" xfId="0" applyFont="1" applyBorder="1" applyAlignment="1">
      <alignment horizontal="center"/>
    </xf>
    <xf numFmtId="0" fontId="36" fillId="0" borderId="38" xfId="0" applyFont="1" applyBorder="1" applyAlignment="1">
      <alignment horizontal="center"/>
    </xf>
    <xf numFmtId="2" fontId="24" fillId="0" borderId="38" xfId="0" applyNumberFormat="1" applyFont="1" applyBorder="1" applyAlignment="1">
      <alignment horizontal="center"/>
    </xf>
    <xf numFmtId="165" fontId="24" fillId="0" borderId="38" xfId="0" applyNumberFormat="1" applyFont="1" applyFill="1" applyBorder="1" applyAlignment="1">
      <alignment horizontal="center"/>
    </xf>
    <xf numFmtId="2" fontId="24" fillId="0" borderId="36" xfId="0" applyNumberFormat="1" applyFont="1" applyBorder="1" applyAlignment="1">
      <alignment horizontal="center"/>
    </xf>
    <xf numFmtId="2" fontId="38" fillId="0" borderId="38" xfId="0" applyNumberFormat="1" applyFont="1" applyBorder="1" applyAlignment="1">
      <alignment horizontal="center" vertical="center"/>
    </xf>
    <xf numFmtId="0" fontId="24" fillId="0" borderId="38" xfId="0" applyFont="1" applyBorder="1"/>
    <xf numFmtId="1" fontId="35" fillId="0" borderId="38" xfId="0" applyNumberFormat="1" applyFont="1" applyBorder="1" applyAlignment="1">
      <alignment horizontal="center" vertical="center"/>
    </xf>
    <xf numFmtId="1" fontId="35" fillId="0" borderId="23" xfId="0" applyNumberFormat="1" applyFont="1" applyBorder="1" applyAlignment="1">
      <alignment horizontal="center" vertical="center"/>
    </xf>
    <xf numFmtId="1" fontId="35" fillId="0" borderId="37" xfId="0" applyNumberFormat="1" applyFont="1" applyBorder="1" applyAlignment="1">
      <alignment horizontal="center" vertical="center"/>
    </xf>
    <xf numFmtId="1" fontId="35" fillId="0" borderId="23" xfId="0" applyNumberFormat="1" applyFont="1" applyBorder="1" applyAlignment="1">
      <alignment horizontal="left" vertical="center"/>
    </xf>
    <xf numFmtId="1" fontId="39" fillId="0" borderId="0" xfId="0" applyNumberFormat="1" applyFont="1" applyFill="1" applyBorder="1" applyAlignment="1">
      <alignment horizontal="center" vertical="center"/>
    </xf>
    <xf numFmtId="1" fontId="39" fillId="0" borderId="38" xfId="0" applyNumberFormat="1" applyFont="1" applyFill="1" applyBorder="1" applyAlignment="1">
      <alignment horizontal="center" vertical="center"/>
    </xf>
    <xf numFmtId="0" fontId="25" fillId="0" borderId="0" xfId="0" applyFont="1" applyBorder="1"/>
    <xf numFmtId="0" fontId="24" fillId="0" borderId="3" xfId="0" applyFont="1" applyBorder="1"/>
    <xf numFmtId="0" fontId="24" fillId="0" borderId="3" xfId="0" applyFont="1" applyBorder="1" applyAlignment="1">
      <alignment horizontal="center"/>
    </xf>
    <xf numFmtId="0" fontId="25" fillId="0" borderId="3" xfId="0" applyFont="1" applyBorder="1" applyAlignment="1">
      <alignment horizontal="center"/>
    </xf>
    <xf numFmtId="0" fontId="24" fillId="0" borderId="7" xfId="0" applyFont="1" applyBorder="1"/>
    <xf numFmtId="0" fontId="24" fillId="0" borderId="9" xfId="0" applyFont="1" applyBorder="1"/>
    <xf numFmtId="0" fontId="24" fillId="0" borderId="0" xfId="0" applyFont="1" applyBorder="1" applyAlignment="1">
      <alignment horizontal="center"/>
    </xf>
    <xf numFmtId="0" fontId="40" fillId="0" borderId="0" xfId="0" applyFont="1" applyBorder="1" applyAlignment="1">
      <alignment horizontal="center"/>
    </xf>
    <xf numFmtId="0" fontId="24" fillId="0" borderId="10" xfId="0" applyFont="1" applyBorder="1"/>
    <xf numFmtId="0" fontId="24" fillId="0" borderId="0" xfId="0" applyFont="1" applyFill="1" applyBorder="1"/>
    <xf numFmtId="0" fontId="24" fillId="0" borderId="4" xfId="0" applyFont="1" applyBorder="1"/>
    <xf numFmtId="0" fontId="24" fillId="0" borderId="11" xfId="0" applyFont="1" applyBorder="1"/>
    <xf numFmtId="0" fontId="24" fillId="0" borderId="11" xfId="0" applyFont="1" applyBorder="1" applyAlignment="1">
      <alignment horizontal="center"/>
    </xf>
    <xf numFmtId="2" fontId="24" fillId="0" borderId="11" xfId="0" applyNumberFormat="1" applyFont="1" applyBorder="1" applyAlignment="1">
      <alignment horizontal="center"/>
    </xf>
    <xf numFmtId="0" fontId="24" fillId="0" borderId="5" xfId="0" applyFont="1" applyBorder="1"/>
    <xf numFmtId="0" fontId="19" fillId="0" borderId="0" xfId="0" applyFont="1" applyAlignment="1">
      <alignment horizontal="left" vertical="center"/>
    </xf>
    <xf numFmtId="0" fontId="19" fillId="0" borderId="0" xfId="0" applyFont="1" applyAlignment="1">
      <alignment horizontal="center" vertical="center"/>
    </xf>
    <xf numFmtId="0" fontId="17" fillId="0" borderId="0" xfId="0" applyFont="1" applyAlignment="1">
      <alignment horizontal="center" vertical="center"/>
    </xf>
    <xf numFmtId="0" fontId="36" fillId="0" borderId="0" xfId="0" applyFont="1" applyAlignment="1">
      <alignment vertical="center"/>
    </xf>
    <xf numFmtId="0" fontId="41" fillId="0" borderId="0" xfId="0" applyFont="1" applyAlignment="1">
      <alignment vertical="center"/>
    </xf>
    <xf numFmtId="0" fontId="41" fillId="0" borderId="0" xfId="0" applyFont="1" applyFill="1" applyAlignment="1">
      <alignment vertical="center"/>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2" fontId="38" fillId="0" borderId="3" xfId="0" applyNumberFormat="1" applyFont="1" applyBorder="1" applyAlignment="1">
      <alignment horizontal="center" vertical="center" wrapText="1"/>
    </xf>
    <xf numFmtId="2" fontId="38" fillId="0" borderId="24" xfId="0" applyNumberFormat="1" applyFont="1" applyBorder="1" applyAlignment="1">
      <alignment horizontal="center" vertical="center" wrapText="1"/>
    </xf>
    <xf numFmtId="2" fontId="38" fillId="0" borderId="1" xfId="0" applyNumberFormat="1" applyFont="1" applyBorder="1" applyAlignment="1">
      <alignment horizontal="center" vertical="center" wrapText="1"/>
    </xf>
    <xf numFmtId="0" fontId="36" fillId="0" borderId="6" xfId="0" applyFont="1" applyBorder="1" applyAlignment="1">
      <alignment horizontal="center" vertical="center" wrapText="1"/>
    </xf>
    <xf numFmtId="1" fontId="38" fillId="0" borderId="3" xfId="0" applyNumberFormat="1" applyFont="1" applyBorder="1" applyAlignment="1">
      <alignment horizontal="center" vertical="center" wrapText="1"/>
    </xf>
    <xf numFmtId="1" fontId="38" fillId="0" borderId="7" xfId="0" applyNumberFormat="1" applyFont="1" applyBorder="1" applyAlignment="1">
      <alignment horizontal="center" vertical="center" wrapText="1"/>
    </xf>
    <xf numFmtId="2" fontId="24" fillId="0" borderId="0" xfId="0" applyNumberFormat="1" applyFont="1"/>
    <xf numFmtId="165" fontId="24" fillId="0" borderId="0" xfId="0" applyNumberFormat="1" applyFont="1" applyAlignment="1">
      <alignment horizontal="center"/>
    </xf>
    <xf numFmtId="0" fontId="25" fillId="0" borderId="38" xfId="0" applyFont="1" applyBorder="1" applyAlignment="1">
      <alignment horizontal="center"/>
    </xf>
    <xf numFmtId="165" fontId="24" fillId="0" borderId="38" xfId="0" applyNumberFormat="1" applyFont="1" applyBorder="1" applyAlignment="1">
      <alignment horizontal="center"/>
    </xf>
    <xf numFmtId="0" fontId="24" fillId="0" borderId="8" xfId="0" applyFont="1" applyBorder="1" applyAlignment="1">
      <alignment horizontal="left"/>
    </xf>
    <xf numFmtId="1" fontId="35" fillId="0" borderId="0" xfId="0" applyNumberFormat="1" applyFont="1" applyFill="1" applyBorder="1" applyAlignment="1">
      <alignment horizontal="center" vertical="center"/>
    </xf>
    <xf numFmtId="0" fontId="35" fillId="0" borderId="0" xfId="0" applyFont="1" applyAlignment="1">
      <alignment horizontal="left" vertical="center"/>
    </xf>
    <xf numFmtId="0" fontId="24" fillId="0" borderId="38" xfId="0" applyFont="1" applyBorder="1" applyAlignment="1">
      <alignment horizontal="center"/>
    </xf>
    <xf numFmtId="1" fontId="35" fillId="0" borderId="38" xfId="0" applyNumberFormat="1" applyFont="1" applyFill="1" applyBorder="1" applyAlignment="1">
      <alignment horizontal="center" vertical="center"/>
    </xf>
    <xf numFmtId="0" fontId="39" fillId="0" borderId="0" xfId="0" applyFont="1" applyAlignment="1">
      <alignment horizontal="center"/>
    </xf>
    <xf numFmtId="0" fontId="39" fillId="0" borderId="38" xfId="0" applyFont="1" applyBorder="1" applyAlignment="1">
      <alignment horizontal="center"/>
    </xf>
    <xf numFmtId="0" fontId="37" fillId="0" borderId="0" xfId="0" applyFont="1" applyAlignment="1">
      <alignment vertical="center"/>
    </xf>
    <xf numFmtId="2" fontId="35" fillId="0" borderId="0" xfId="0" applyNumberFormat="1" applyFont="1" applyAlignment="1">
      <alignment horizontal="left" vertical="center"/>
    </xf>
    <xf numFmtId="0" fontId="37" fillId="0" borderId="0" xfId="0" applyFont="1" applyFill="1" applyAlignment="1">
      <alignment vertical="center"/>
    </xf>
    <xf numFmtId="2" fontId="24" fillId="6" borderId="8" xfId="0" applyNumberFormat="1" applyFont="1" applyFill="1" applyBorder="1" applyAlignment="1">
      <alignment horizontal="center"/>
    </xf>
    <xf numFmtId="0" fontId="19" fillId="0" borderId="0" xfId="0" applyFont="1" applyAlignment="1">
      <alignment vertical="center"/>
    </xf>
    <xf numFmtId="2" fontId="38" fillId="0" borderId="7" xfId="0" applyNumberFormat="1" applyFont="1" applyBorder="1" applyAlignment="1">
      <alignment horizontal="center" vertical="center" wrapText="1"/>
    </xf>
    <xf numFmtId="0" fontId="36" fillId="0" borderId="2" xfId="0" applyFont="1" applyBorder="1" applyAlignment="1">
      <alignment horizontal="center"/>
    </xf>
    <xf numFmtId="0" fontId="36" fillId="0" borderId="3" xfId="0" applyFont="1" applyBorder="1" applyAlignment="1">
      <alignment horizontal="center"/>
    </xf>
    <xf numFmtId="2" fontId="38" fillId="0" borderId="7" xfId="0" applyNumberFormat="1" applyFont="1" applyBorder="1" applyAlignment="1">
      <alignment horizontal="center" vertical="center"/>
    </xf>
    <xf numFmtId="2" fontId="38" fillId="0" borderId="24" xfId="0" applyNumberFormat="1" applyFont="1" applyBorder="1" applyAlignment="1">
      <alignment horizontal="center" vertical="center"/>
    </xf>
    <xf numFmtId="1" fontId="38" fillId="0" borderId="2" xfId="0" applyNumberFormat="1" applyFont="1" applyBorder="1" applyAlignment="1">
      <alignment horizontal="center" vertical="center"/>
    </xf>
    <xf numFmtId="1" fontId="38" fillId="0" borderId="3" xfId="0" applyNumberFormat="1" applyFont="1" applyBorder="1" applyAlignment="1">
      <alignment horizontal="center" vertical="center"/>
    </xf>
    <xf numFmtId="1" fontId="38" fillId="0" borderId="7" xfId="0" applyNumberFormat="1" applyFont="1" applyBorder="1" applyAlignment="1">
      <alignment horizontal="center" vertical="center"/>
    </xf>
    <xf numFmtId="0" fontId="24" fillId="0" borderId="9" xfId="0" applyFont="1" applyBorder="1" applyAlignment="1">
      <alignment horizontal="center"/>
    </xf>
    <xf numFmtId="0" fontId="24" fillId="0" borderId="0" xfId="0" applyFont="1" applyFill="1" applyBorder="1" applyAlignment="1">
      <alignment horizontal="center"/>
    </xf>
    <xf numFmtId="2" fontId="35" fillId="0" borderId="10" xfId="0" applyNumberFormat="1" applyFont="1" applyBorder="1" applyAlignment="1">
      <alignment horizontal="center" vertical="center"/>
    </xf>
    <xf numFmtId="1" fontId="39" fillId="0" borderId="9" xfId="0" applyNumberFormat="1" applyFont="1" applyBorder="1" applyAlignment="1">
      <alignment horizontal="center" vertical="center"/>
    </xf>
    <xf numFmtId="1" fontId="38" fillId="0" borderId="0" xfId="0" applyNumberFormat="1" applyFont="1" applyBorder="1" applyAlignment="1">
      <alignment horizontal="center" vertical="center"/>
    </xf>
    <xf numFmtId="0" fontId="24" fillId="0" borderId="0" xfId="0" applyFont="1" applyFill="1" applyAlignment="1">
      <alignment horizontal="center"/>
    </xf>
    <xf numFmtId="1" fontId="35" fillId="0" borderId="8" xfId="0" applyNumberFormat="1" applyFont="1" applyBorder="1" applyAlignment="1">
      <alignment horizontal="center" vertical="center"/>
    </xf>
    <xf numFmtId="0" fontId="29" fillId="0" borderId="0" xfId="0" applyFont="1" applyFill="1" applyBorder="1" applyAlignment="1">
      <alignment horizontal="center"/>
    </xf>
    <xf numFmtId="0" fontId="30" fillId="0" borderId="8" xfId="0" applyFont="1" applyBorder="1" applyAlignment="1">
      <alignment horizontal="center"/>
    </xf>
    <xf numFmtId="0" fontId="29" fillId="0" borderId="0" xfId="0" applyFont="1" applyFill="1" applyAlignment="1">
      <alignment horizontal="center"/>
    </xf>
    <xf numFmtId="0" fontId="29" fillId="0" borderId="0" xfId="0" applyFont="1" applyBorder="1" applyAlignment="1">
      <alignment horizontal="center"/>
    </xf>
    <xf numFmtId="0" fontId="25" fillId="0" borderId="4" xfId="0" applyFont="1" applyBorder="1" applyAlignment="1">
      <alignment horizontal="center"/>
    </xf>
    <xf numFmtId="0" fontId="25" fillId="0" borderId="11" xfId="0" applyFont="1" applyBorder="1" applyAlignment="1">
      <alignment horizontal="center"/>
    </xf>
    <xf numFmtId="0" fontId="25" fillId="0" borderId="5" xfId="0" applyFont="1" applyBorder="1" applyAlignment="1">
      <alignment horizontal="center"/>
    </xf>
    <xf numFmtId="0" fontId="25" fillId="0" borderId="12" xfId="0" applyFont="1" applyBorder="1" applyAlignment="1">
      <alignment horizontal="center"/>
    </xf>
    <xf numFmtId="0" fontId="25" fillId="0" borderId="12" xfId="0" applyFont="1" applyBorder="1"/>
    <xf numFmtId="2" fontId="27" fillId="0" borderId="0" xfId="0" applyNumberFormat="1" applyFont="1" applyFill="1" applyBorder="1" applyAlignment="1">
      <alignment horizontal="center"/>
    </xf>
    <xf numFmtId="0" fontId="25" fillId="0" borderId="8" xfId="0" applyFont="1" applyBorder="1" applyAlignment="1">
      <alignment horizontal="center"/>
    </xf>
    <xf numFmtId="0" fontId="43" fillId="0" borderId="0" xfId="0" applyFont="1" applyFill="1" applyBorder="1" applyAlignment="1">
      <alignment horizontal="center"/>
    </xf>
    <xf numFmtId="0" fontId="25" fillId="0" borderId="0" xfId="0" applyFont="1" applyFill="1" applyBorder="1" applyAlignment="1">
      <alignment horizontal="center"/>
    </xf>
    <xf numFmtId="0" fontId="41" fillId="0" borderId="0" xfId="0" applyFont="1" applyAlignment="1">
      <alignment horizontal="left" vertical="center"/>
    </xf>
    <xf numFmtId="0" fontId="45" fillId="0" borderId="0" xfId="0" applyFont="1" applyAlignment="1">
      <alignment horizontal="right" vertical="center"/>
    </xf>
    <xf numFmtId="0" fontId="45" fillId="0" borderId="0" xfId="0" applyFont="1" applyAlignment="1">
      <alignment horizontal="left" vertical="center"/>
    </xf>
    <xf numFmtId="2" fontId="28" fillId="0" borderId="0" xfId="0" applyNumberFormat="1" applyFont="1" applyFill="1" applyBorder="1" applyAlignment="1">
      <alignment horizontal="left" vertical="center"/>
    </xf>
    <xf numFmtId="2" fontId="28" fillId="0" borderId="0" xfId="0" applyNumberFormat="1" applyFont="1" applyFill="1" applyBorder="1" applyAlignment="1">
      <alignment horizontal="center" vertical="center"/>
    </xf>
    <xf numFmtId="2" fontId="29" fillId="0" borderId="0" xfId="0" applyNumberFormat="1" applyFont="1" applyAlignment="1">
      <alignment horizontal="left"/>
    </xf>
    <xf numFmtId="0" fontId="45" fillId="0" borderId="0" xfId="0" applyFont="1" applyFill="1" applyAlignment="1">
      <alignment horizontal="left" vertical="center"/>
    </xf>
    <xf numFmtId="0" fontId="24" fillId="0" borderId="0" xfId="0" applyFont="1" applyFill="1"/>
    <xf numFmtId="165" fontId="24" fillId="0" borderId="0" xfId="0" applyNumberFormat="1" applyFont="1" applyFill="1" applyAlignment="1">
      <alignment horizontal="center"/>
    </xf>
    <xf numFmtId="1" fontId="28" fillId="0" borderId="0" xfId="0" applyNumberFormat="1" applyFont="1" applyFill="1" applyBorder="1" applyAlignment="1">
      <alignment horizontal="left" vertical="center"/>
    </xf>
    <xf numFmtId="0" fontId="45" fillId="0" borderId="0" xfId="0" applyFont="1" applyAlignment="1">
      <alignment horizontal="center" vertical="center"/>
    </xf>
    <xf numFmtId="0" fontId="45" fillId="0" borderId="0" xfId="0" applyFont="1" applyAlignment="1">
      <alignment vertical="center"/>
    </xf>
    <xf numFmtId="0" fontId="41" fillId="0" borderId="2" xfId="0" applyFont="1" applyBorder="1" applyAlignment="1">
      <alignment horizontal="center" vertical="center" wrapText="1"/>
    </xf>
    <xf numFmtId="0" fontId="41" fillId="0" borderId="3" xfId="0" applyFont="1" applyBorder="1" applyAlignment="1">
      <alignment horizontal="center" vertical="center" wrapText="1"/>
    </xf>
    <xf numFmtId="165" fontId="42" fillId="0" borderId="7" xfId="0" applyNumberFormat="1" applyFont="1" applyFill="1" applyBorder="1" applyAlignment="1">
      <alignment horizontal="center" vertical="center" wrapText="1"/>
    </xf>
    <xf numFmtId="1" fontId="42" fillId="0" borderId="2" xfId="0" applyNumberFormat="1" applyFont="1" applyFill="1" applyBorder="1" applyAlignment="1">
      <alignment horizontal="center" vertical="center" wrapText="1"/>
    </xf>
    <xf numFmtId="1" fontId="42" fillId="0" borderId="3" xfId="0" applyNumberFormat="1" applyFont="1" applyFill="1" applyBorder="1" applyAlignment="1">
      <alignment horizontal="center" vertical="center" wrapText="1"/>
    </xf>
    <xf numFmtId="1" fontId="42" fillId="0" borderId="7" xfId="0" applyNumberFormat="1" applyFont="1" applyFill="1" applyBorder="1" applyAlignment="1">
      <alignment horizontal="center" vertical="center" wrapText="1"/>
    </xf>
    <xf numFmtId="2" fontId="42" fillId="0" borderId="6" xfId="0" applyNumberFormat="1" applyFont="1" applyFill="1" applyBorder="1" applyAlignment="1">
      <alignment horizontal="center" vertical="center" wrapText="1"/>
    </xf>
    <xf numFmtId="1" fontId="42" fillId="0" borderId="6" xfId="0" applyNumberFormat="1" applyFont="1" applyFill="1" applyBorder="1" applyAlignment="1">
      <alignment horizontal="center" vertical="center" wrapText="1"/>
    </xf>
    <xf numFmtId="0" fontId="41" fillId="0" borderId="2" xfId="0" applyFont="1" applyBorder="1" applyAlignment="1">
      <alignment horizontal="center"/>
    </xf>
    <xf numFmtId="0" fontId="41" fillId="0" borderId="3" xfId="0" applyFont="1" applyBorder="1" applyAlignment="1">
      <alignment horizontal="center"/>
    </xf>
    <xf numFmtId="165" fontId="42" fillId="0" borderId="7" xfId="0" applyNumberFormat="1" applyFont="1" applyFill="1" applyBorder="1" applyAlignment="1">
      <alignment horizontal="center" vertical="center"/>
    </xf>
    <xf numFmtId="2" fontId="42" fillId="0" borderId="24" xfId="0" applyNumberFormat="1" applyFont="1" applyFill="1" applyBorder="1" applyAlignment="1">
      <alignment horizontal="center" vertical="center"/>
    </xf>
    <xf numFmtId="2" fontId="42" fillId="0" borderId="0" xfId="0" applyNumberFormat="1" applyFont="1" applyFill="1" applyBorder="1" applyAlignment="1">
      <alignment horizontal="center" vertical="center"/>
    </xf>
    <xf numFmtId="1" fontId="38" fillId="0" borderId="2" xfId="0" applyNumberFormat="1" applyFont="1" applyFill="1" applyBorder="1" applyAlignment="1">
      <alignment horizontal="center" vertical="center"/>
    </xf>
    <xf numFmtId="1" fontId="38" fillId="0" borderId="3" xfId="0" applyNumberFormat="1" applyFont="1" applyFill="1" applyBorder="1" applyAlignment="1">
      <alignment horizontal="center" vertical="center"/>
    </xf>
    <xf numFmtId="1" fontId="38" fillId="0" borderId="7" xfId="0" applyNumberFormat="1" applyFont="1" applyFill="1" applyBorder="1" applyAlignment="1">
      <alignment horizontal="center" vertical="center"/>
    </xf>
    <xf numFmtId="0" fontId="24" fillId="0" borderId="24" xfId="0" applyFont="1" applyBorder="1"/>
    <xf numFmtId="0" fontId="45" fillId="0" borderId="9" xfId="0" applyFont="1" applyBorder="1" applyAlignment="1">
      <alignment horizontal="center"/>
    </xf>
    <xf numFmtId="0" fontId="41" fillId="0" borderId="0" xfId="0" applyFont="1" applyBorder="1" applyAlignment="1">
      <alignment horizontal="center"/>
    </xf>
    <xf numFmtId="165" fontId="30" fillId="0" borderId="10" xfId="0" applyNumberFormat="1" applyFont="1" applyBorder="1" applyAlignment="1">
      <alignment horizontal="center"/>
    </xf>
    <xf numFmtId="0" fontId="39" fillId="0" borderId="9" xfId="0" applyFont="1" applyBorder="1" applyAlignment="1">
      <alignment horizontal="center"/>
    </xf>
    <xf numFmtId="0" fontId="35" fillId="0" borderId="0" xfId="0" applyFont="1" applyBorder="1" applyAlignment="1">
      <alignment horizontal="center" vertical="center"/>
    </xf>
    <xf numFmtId="0" fontId="35" fillId="0" borderId="0" xfId="0" applyFont="1" applyFill="1" applyBorder="1" applyAlignment="1">
      <alignment horizontal="center" vertical="center"/>
    </xf>
    <xf numFmtId="0" fontId="35" fillId="0" borderId="10" xfId="0" applyFont="1" applyFill="1" applyBorder="1" applyAlignment="1">
      <alignment horizontal="center" vertical="center"/>
    </xf>
    <xf numFmtId="2" fontId="46" fillId="0" borderId="8" xfId="0" applyNumberFormat="1" applyFont="1" applyBorder="1" applyAlignment="1">
      <alignment horizontal="center"/>
    </xf>
    <xf numFmtId="0" fontId="24" fillId="0" borderId="8" xfId="0" applyFont="1" applyBorder="1"/>
    <xf numFmtId="0" fontId="45" fillId="0" borderId="0" xfId="0" applyFont="1" applyFill="1" applyBorder="1" applyAlignment="1">
      <alignment horizontal="center"/>
    </xf>
    <xf numFmtId="0" fontId="45" fillId="0" borderId="0" xfId="0" applyFont="1" applyFill="1" applyBorder="1"/>
    <xf numFmtId="2" fontId="29" fillId="0" borderId="0" xfId="0" applyNumberFormat="1" applyFont="1" applyBorder="1" applyAlignment="1">
      <alignment horizontal="center"/>
    </xf>
    <xf numFmtId="165" fontId="29" fillId="0" borderId="10" xfId="0" applyNumberFormat="1" applyFont="1" applyBorder="1" applyAlignment="1">
      <alignment horizontal="center"/>
    </xf>
    <xf numFmtId="2" fontId="29" fillId="0" borderId="8" xfId="0" applyNumberFormat="1" applyFont="1" applyBorder="1" applyAlignment="1">
      <alignment horizontal="center"/>
    </xf>
    <xf numFmtId="0" fontId="35" fillId="0" borderId="9" xfId="0" applyFont="1" applyFill="1" applyBorder="1" applyAlignment="1">
      <alignment horizontal="center" vertical="center"/>
    </xf>
    <xf numFmtId="0" fontId="35" fillId="0" borderId="10" xfId="0" applyFont="1" applyBorder="1" applyAlignment="1">
      <alignment horizontal="center" vertical="center"/>
    </xf>
    <xf numFmtId="0" fontId="35" fillId="0" borderId="0" xfId="0" applyFont="1" applyFill="1" applyBorder="1" applyAlignment="1">
      <alignment horizontal="left" vertical="center"/>
    </xf>
    <xf numFmtId="0" fontId="35" fillId="0" borderId="8" xfId="0" applyFont="1" applyFill="1" applyBorder="1" applyAlignment="1">
      <alignment horizontal="left" vertical="center"/>
    </xf>
    <xf numFmtId="49" fontId="45" fillId="0" borderId="0" xfId="0" applyNumberFormat="1" applyFont="1" applyFill="1" applyBorder="1"/>
    <xf numFmtId="165" fontId="29" fillId="0" borderId="10" xfId="0" applyNumberFormat="1" applyFont="1" applyFill="1" applyBorder="1" applyAlignment="1">
      <alignment horizontal="center"/>
    </xf>
    <xf numFmtId="0" fontId="29" fillId="0" borderId="8" xfId="0" applyFont="1" applyFill="1" applyBorder="1" applyAlignment="1">
      <alignment horizontal="center"/>
    </xf>
    <xf numFmtId="2" fontId="29" fillId="0" borderId="0" xfId="0" applyNumberFormat="1" applyFont="1" applyFill="1" applyBorder="1" applyAlignment="1">
      <alignment horizontal="center"/>
    </xf>
    <xf numFmtId="0" fontId="35" fillId="0" borderId="9" xfId="0" applyFont="1" applyBorder="1" applyAlignment="1">
      <alignment horizontal="center" vertical="center"/>
    </xf>
    <xf numFmtId="2" fontId="25" fillId="0" borderId="8" xfId="0" applyNumberFormat="1" applyFont="1" applyBorder="1" applyAlignment="1">
      <alignment horizontal="center"/>
    </xf>
    <xf numFmtId="2" fontId="30" fillId="0" borderId="8" xfId="0" applyNumberFormat="1" applyFont="1" applyBorder="1" applyAlignment="1">
      <alignment horizontal="center"/>
    </xf>
    <xf numFmtId="0" fontId="35" fillId="0" borderId="0" xfId="0" applyFont="1" applyAlignment="1">
      <alignment horizontal="center" vertical="center"/>
    </xf>
    <xf numFmtId="0" fontId="29" fillId="0" borderId="9" xfId="1" applyFont="1" applyFill="1" applyBorder="1" applyAlignment="1">
      <alignment horizontal="center"/>
    </xf>
    <xf numFmtId="2" fontId="29" fillId="0" borderId="0" xfId="804" applyNumberFormat="1" applyFont="1" applyFill="1" applyBorder="1" applyAlignment="1">
      <alignment horizontal="center"/>
    </xf>
    <xf numFmtId="2" fontId="29" fillId="0" borderId="8" xfId="805" quotePrefix="1" applyNumberFormat="1" applyFont="1" applyFill="1" applyBorder="1" applyAlignment="1">
      <alignment horizontal="center"/>
    </xf>
    <xf numFmtId="2" fontId="29" fillId="0" borderId="8" xfId="806" applyNumberFormat="1" applyFont="1" applyFill="1" applyBorder="1" applyAlignment="1">
      <alignment horizontal="center"/>
    </xf>
    <xf numFmtId="0" fontId="24" fillId="0" borderId="9" xfId="0" applyFont="1" applyFill="1" applyBorder="1" applyAlignment="1">
      <alignment horizontal="center"/>
    </xf>
    <xf numFmtId="0" fontId="29" fillId="0" borderId="0" xfId="0" applyFont="1" applyAlignment="1">
      <alignment horizontal="center"/>
    </xf>
    <xf numFmtId="2" fontId="44" fillId="0" borderId="0" xfId="0" applyNumberFormat="1" applyFont="1" applyBorder="1" applyAlignment="1">
      <alignment horizontal="center"/>
    </xf>
    <xf numFmtId="0" fontId="24" fillId="0" borderId="4" xfId="0" applyFont="1" applyBorder="1" applyAlignment="1">
      <alignment horizontal="center"/>
    </xf>
    <xf numFmtId="0" fontId="24" fillId="0" borderId="12" xfId="0" applyFont="1" applyBorder="1" applyAlignment="1">
      <alignment horizontal="center"/>
    </xf>
    <xf numFmtId="0" fontId="24" fillId="0" borderId="11" xfId="0" applyFont="1" applyFill="1" applyBorder="1" applyAlignment="1">
      <alignment horizontal="center"/>
    </xf>
    <xf numFmtId="0" fontId="24" fillId="0" borderId="5" xfId="0" applyFont="1" applyFill="1" applyBorder="1" applyAlignment="1">
      <alignment horizontal="center"/>
    </xf>
    <xf numFmtId="0" fontId="24" fillId="0" borderId="12" xfId="0" applyFont="1" applyBorder="1"/>
    <xf numFmtId="0" fontId="24" fillId="0" borderId="18" xfId="0" applyFont="1" applyBorder="1"/>
    <xf numFmtId="165" fontId="29" fillId="0" borderId="0" xfId="0" applyNumberFormat="1" applyFont="1" applyAlignment="1">
      <alignment horizontal="center"/>
    </xf>
    <xf numFmtId="0" fontId="29" fillId="0" borderId="0" xfId="0" applyFont="1" applyFill="1"/>
    <xf numFmtId="165" fontId="29" fillId="0" borderId="0" xfId="0" applyNumberFormat="1" applyFont="1" applyFill="1" applyAlignment="1">
      <alignment horizontal="center"/>
    </xf>
    <xf numFmtId="0" fontId="29" fillId="0" borderId="0" xfId="0" applyFont="1" applyAlignment="1">
      <alignment vertical="center"/>
    </xf>
    <xf numFmtId="0" fontId="29" fillId="0" borderId="0" xfId="0" applyFont="1" applyAlignment="1">
      <alignment horizontal="center" vertical="center"/>
    </xf>
    <xf numFmtId="165" fontId="29" fillId="0" borderId="0" xfId="0" applyNumberFormat="1" applyFont="1" applyAlignment="1">
      <alignment horizontal="center" vertical="center"/>
    </xf>
    <xf numFmtId="0" fontId="32" fillId="0" borderId="6" xfId="0" applyFont="1" applyBorder="1" applyAlignment="1">
      <alignment horizontal="center" vertical="center" wrapText="1"/>
    </xf>
    <xf numFmtId="1" fontId="42" fillId="0" borderId="2" xfId="0" applyNumberFormat="1" applyFont="1" applyFill="1" applyBorder="1" applyAlignment="1">
      <alignment horizontal="center" vertical="center"/>
    </xf>
    <xf numFmtId="1" fontId="42" fillId="0" borderId="3" xfId="0" applyNumberFormat="1" applyFont="1" applyFill="1" applyBorder="1" applyAlignment="1">
      <alignment horizontal="center" vertical="center"/>
    </xf>
    <xf numFmtId="1" fontId="42" fillId="0" borderId="7" xfId="0" applyNumberFormat="1" applyFont="1" applyFill="1" applyBorder="1" applyAlignment="1">
      <alignment horizontal="center" vertical="center"/>
    </xf>
    <xf numFmtId="0" fontId="29" fillId="0" borderId="24" xfId="0" applyFont="1" applyBorder="1"/>
    <xf numFmtId="0" fontId="28" fillId="0" borderId="0" xfId="0" applyFont="1" applyBorder="1" applyAlignment="1">
      <alignment horizontal="center" vertical="center"/>
    </xf>
    <xf numFmtId="0" fontId="28" fillId="0" borderId="0" xfId="0" applyFont="1" applyFill="1" applyBorder="1" applyAlignment="1">
      <alignment horizontal="center" vertical="center"/>
    </xf>
    <xf numFmtId="1" fontId="28" fillId="0" borderId="9" xfId="0" applyNumberFormat="1" applyFont="1" applyFill="1" applyBorder="1" applyAlignment="1">
      <alignment horizontal="center" vertical="center"/>
    </xf>
    <xf numFmtId="1" fontId="28" fillId="0" borderId="10" xfId="0" applyNumberFormat="1" applyFont="1" applyFill="1" applyBorder="1" applyAlignment="1">
      <alignment horizontal="center" vertical="center"/>
    </xf>
    <xf numFmtId="2" fontId="45" fillId="0" borderId="8" xfId="0" applyNumberFormat="1" applyFont="1" applyBorder="1" applyAlignment="1">
      <alignment horizontal="center"/>
    </xf>
    <xf numFmtId="0" fontId="29" fillId="0" borderId="8" xfId="0" applyFont="1" applyBorder="1"/>
    <xf numFmtId="0" fontId="28" fillId="0" borderId="10" xfId="0" applyFont="1" applyBorder="1" applyAlignment="1">
      <alignment horizontal="center" vertical="center"/>
    </xf>
    <xf numFmtId="0" fontId="28" fillId="0" borderId="8" xfId="0" applyFont="1" applyFill="1" applyBorder="1" applyAlignment="1">
      <alignment horizontal="left" vertical="center"/>
    </xf>
    <xf numFmtId="0" fontId="29" fillId="0" borderId="0" xfId="0" applyFont="1" applyFill="1" applyBorder="1"/>
    <xf numFmtId="0" fontId="29" fillId="0" borderId="0" xfId="0" applyFont="1" applyBorder="1"/>
    <xf numFmtId="0" fontId="28" fillId="0" borderId="9" xfId="0" applyFont="1" applyBorder="1" applyAlignment="1">
      <alignment horizontal="center" vertical="center"/>
    </xf>
    <xf numFmtId="0" fontId="30" fillId="0" borderId="0" xfId="0" applyFont="1" applyBorder="1"/>
    <xf numFmtId="0" fontId="48" fillId="0" borderId="0" xfId="0" applyFont="1" applyAlignment="1">
      <alignment horizontal="center"/>
    </xf>
    <xf numFmtId="0" fontId="28" fillId="0" borderId="0" xfId="0" applyFont="1" applyAlignment="1">
      <alignment horizontal="center" vertical="center"/>
    </xf>
    <xf numFmtId="0" fontId="30" fillId="0" borderId="0" xfId="0" applyFont="1"/>
    <xf numFmtId="0" fontId="29" fillId="0" borderId="9" xfId="0" applyFont="1" applyFill="1" applyBorder="1" applyAlignment="1">
      <alignment horizontal="center"/>
    </xf>
    <xf numFmtId="0" fontId="29" fillId="0" borderId="4" xfId="0" applyFont="1" applyBorder="1" applyAlignment="1">
      <alignment horizontal="center"/>
    </xf>
    <xf numFmtId="0" fontId="29" fillId="0" borderId="11" xfId="0" applyFont="1" applyBorder="1"/>
    <xf numFmtId="0" fontId="29" fillId="0" borderId="11" xfId="0" applyFont="1" applyBorder="1" applyAlignment="1">
      <alignment horizontal="center"/>
    </xf>
    <xf numFmtId="165" fontId="29" fillId="0" borderId="5" xfId="0" applyNumberFormat="1" applyFont="1" applyBorder="1" applyAlignment="1">
      <alignment horizontal="center"/>
    </xf>
    <xf numFmtId="0" fontId="29" fillId="0" borderId="12" xfId="0" applyFont="1" applyBorder="1" applyAlignment="1">
      <alignment horizontal="center"/>
    </xf>
    <xf numFmtId="0" fontId="29" fillId="0" borderId="11" xfId="0" applyFont="1" applyFill="1" applyBorder="1" applyAlignment="1">
      <alignment horizontal="center"/>
    </xf>
    <xf numFmtId="0" fontId="29" fillId="0" borderId="5" xfId="0" applyFont="1" applyFill="1" applyBorder="1" applyAlignment="1">
      <alignment horizontal="center"/>
    </xf>
    <xf numFmtId="0" fontId="29" fillId="0" borderId="4" xfId="0" applyFont="1" applyBorder="1"/>
    <xf numFmtId="0" fontId="29" fillId="0" borderId="5" xfId="0" applyFont="1" applyBorder="1"/>
    <xf numFmtId="0" fontId="29" fillId="0" borderId="12" xfId="0" applyFont="1" applyBorder="1"/>
    <xf numFmtId="0" fontId="29" fillId="0" borderId="3" xfId="0" applyFont="1" applyBorder="1"/>
    <xf numFmtId="0" fontId="49" fillId="0" borderId="0" xfId="0" applyFont="1" applyAlignment="1">
      <alignment horizontal="left" vertical="center"/>
    </xf>
    <xf numFmtId="0" fontId="50" fillId="0" borderId="0" xfId="0" applyFont="1" applyAlignment="1">
      <alignment horizontal="right" vertical="center"/>
    </xf>
    <xf numFmtId="0" fontId="22" fillId="0" borderId="0" xfId="0" applyFont="1" applyAlignment="1">
      <alignment horizontal="center"/>
    </xf>
    <xf numFmtId="165" fontId="22" fillId="0" borderId="0" xfId="0" applyNumberFormat="1" applyFont="1" applyAlignment="1">
      <alignment horizontal="center"/>
    </xf>
    <xf numFmtId="0" fontId="25" fillId="0" borderId="0" xfId="0" applyFont="1" applyFill="1" applyAlignment="1">
      <alignment horizontal="left" vertical="center" wrapText="1"/>
    </xf>
    <xf numFmtId="0" fontId="25" fillId="0" borderId="0" xfId="0" applyFont="1" applyFill="1" applyAlignment="1">
      <alignment horizontal="center" vertical="center"/>
    </xf>
    <xf numFmtId="2" fontId="38" fillId="0" borderId="39" xfId="0" applyNumberFormat="1" applyFont="1" applyBorder="1" applyAlignment="1">
      <alignment horizontal="center" vertical="center" wrapText="1"/>
    </xf>
    <xf numFmtId="164" fontId="24" fillId="0" borderId="0" xfId="0" applyNumberFormat="1" applyFont="1" applyAlignment="1">
      <alignment horizontal="center"/>
    </xf>
    <xf numFmtId="2" fontId="35" fillId="0" borderId="0" xfId="0" applyNumberFormat="1" applyFont="1" applyBorder="1" applyAlignment="1">
      <alignment horizontal="center" vertical="center"/>
    </xf>
    <xf numFmtId="164" fontId="25" fillId="0" borderId="2" xfId="0" applyNumberFormat="1" applyFont="1" applyBorder="1" applyAlignment="1">
      <alignment horizontal="center"/>
    </xf>
    <xf numFmtId="2" fontId="25" fillId="0" borderId="10" xfId="0" applyNumberFormat="1" applyFont="1" applyBorder="1" applyAlignment="1">
      <alignment horizontal="left"/>
    </xf>
    <xf numFmtId="0" fontId="35" fillId="0" borderId="8" xfId="0" applyFont="1" applyBorder="1" applyAlignment="1">
      <alignment horizontal="left" vertical="center"/>
    </xf>
    <xf numFmtId="164" fontId="25" fillId="0" borderId="9" xfId="0" applyNumberFormat="1" applyFont="1" applyBorder="1" applyAlignment="1">
      <alignment horizontal="center"/>
    </xf>
    <xf numFmtId="2" fontId="35" fillId="0" borderId="0" xfId="0" applyNumberFormat="1" applyFont="1" applyBorder="1" applyAlignment="1">
      <alignment horizontal="center"/>
    </xf>
    <xf numFmtId="164" fontId="24" fillId="0" borderId="38" xfId="0" applyNumberFormat="1" applyFont="1" applyBorder="1" applyAlignment="1">
      <alignment horizontal="center"/>
    </xf>
    <xf numFmtId="164" fontId="25" fillId="0" borderId="37" xfId="0" applyNumberFormat="1" applyFont="1" applyBorder="1" applyAlignment="1">
      <alignment horizontal="center"/>
    </xf>
    <xf numFmtId="2" fontId="35" fillId="0" borderId="38" xfId="0" applyNumberFormat="1" applyFont="1" applyBorder="1" applyAlignment="1">
      <alignment horizontal="center"/>
    </xf>
    <xf numFmtId="0" fontId="35" fillId="0" borderId="38" xfId="0" applyFont="1" applyBorder="1" applyAlignment="1">
      <alignment horizontal="center" vertical="center"/>
    </xf>
    <xf numFmtId="0" fontId="35" fillId="0" borderId="23" xfId="0" applyFont="1" applyBorder="1" applyAlignment="1">
      <alignment horizontal="center" vertical="center"/>
    </xf>
    <xf numFmtId="0" fontId="35" fillId="0" borderId="37" xfId="0" applyFont="1" applyBorder="1" applyAlignment="1">
      <alignment horizontal="center" vertical="center"/>
    </xf>
    <xf numFmtId="2" fontId="25" fillId="0" borderId="23" xfId="0" applyNumberFormat="1" applyFont="1" applyBorder="1" applyAlignment="1">
      <alignment horizontal="left"/>
    </xf>
    <xf numFmtId="0" fontId="35" fillId="0" borderId="23" xfId="0" applyFont="1" applyFill="1" applyBorder="1" applyAlignment="1">
      <alignment horizontal="center" vertical="center"/>
    </xf>
    <xf numFmtId="0" fontId="35" fillId="0" borderId="0" xfId="0" applyFont="1" applyAlignment="1">
      <alignment horizontal="center"/>
    </xf>
    <xf numFmtId="0" fontId="35" fillId="0" borderId="9" xfId="0" applyFont="1" applyBorder="1" applyAlignment="1">
      <alignment horizontal="center"/>
    </xf>
    <xf numFmtId="0" fontId="35" fillId="0" borderId="38" xfId="0" applyFont="1" applyBorder="1" applyAlignment="1">
      <alignment horizontal="center"/>
    </xf>
    <xf numFmtId="0" fontId="35" fillId="0" borderId="37" xfId="0" applyFont="1" applyBorder="1" applyAlignment="1">
      <alignment horizontal="center"/>
    </xf>
    <xf numFmtId="0" fontId="39" fillId="0" borderId="0" xfId="0" applyFont="1" applyBorder="1" applyAlignment="1">
      <alignment horizontal="center"/>
    </xf>
    <xf numFmtId="0" fontId="35" fillId="0" borderId="0" xfId="0" applyFont="1" applyFill="1" applyAlignment="1">
      <alignment horizontal="center"/>
    </xf>
    <xf numFmtId="0" fontId="35" fillId="0" borderId="38" xfId="0" applyFont="1" applyFill="1" applyBorder="1" applyAlignment="1">
      <alignment horizontal="center"/>
    </xf>
    <xf numFmtId="0" fontId="24" fillId="0" borderId="37" xfId="0" applyFont="1" applyFill="1" applyBorder="1" applyAlignment="1">
      <alignment horizontal="center"/>
    </xf>
    <xf numFmtId="0" fontId="35" fillId="0" borderId="38" xfId="0" applyFont="1" applyFill="1" applyBorder="1" applyAlignment="1">
      <alignment horizontal="center" vertical="center"/>
    </xf>
    <xf numFmtId="0" fontId="43" fillId="0" borderId="0" xfId="0" applyFont="1" applyBorder="1" applyAlignment="1">
      <alignment horizontal="center"/>
    </xf>
    <xf numFmtId="2" fontId="27" fillId="0" borderId="10" xfId="0" applyNumberFormat="1" applyFont="1" applyFill="1" applyBorder="1" applyAlignment="1">
      <alignment horizontal="center"/>
    </xf>
    <xf numFmtId="2" fontId="27" fillId="4" borderId="10" xfId="0" applyNumberFormat="1" applyFont="1" applyFill="1" applyBorder="1" applyAlignment="1">
      <alignment horizontal="center"/>
    </xf>
    <xf numFmtId="2" fontId="27" fillId="5" borderId="23" xfId="0" applyNumberFormat="1" applyFont="1" applyFill="1" applyBorder="1" applyAlignment="1">
      <alignment horizontal="center"/>
    </xf>
    <xf numFmtId="2" fontId="27" fillId="4" borderId="23" xfId="0" applyNumberFormat="1" applyFont="1" applyFill="1" applyBorder="1" applyAlignment="1">
      <alignment horizontal="center"/>
    </xf>
    <xf numFmtId="0" fontId="46" fillId="0" borderId="0" xfId="0" applyFont="1" applyAlignment="1">
      <alignment horizontal="right" vertical="center"/>
    </xf>
    <xf numFmtId="0" fontId="46" fillId="0" borderId="0" xfId="0" applyFont="1"/>
    <xf numFmtId="0" fontId="46" fillId="0" borderId="0" xfId="0" applyFont="1" applyAlignment="1">
      <alignment horizontal="left" vertical="center"/>
    </xf>
    <xf numFmtId="0" fontId="46" fillId="0" borderId="0" xfId="0" applyFont="1" applyAlignment="1">
      <alignment horizontal="left" vertical="center" wrapText="1"/>
    </xf>
    <xf numFmtId="0" fontId="46" fillId="0" borderId="0" xfId="0" applyFont="1" applyAlignment="1">
      <alignment horizontal="center" vertical="center"/>
    </xf>
    <xf numFmtId="0" fontId="46" fillId="0" borderId="0" xfId="0" applyFont="1" applyAlignment="1">
      <alignment horizontal="left"/>
    </xf>
    <xf numFmtId="0" fontId="27" fillId="0" borderId="0" xfId="0" applyFont="1" applyBorder="1"/>
    <xf numFmtId="0" fontId="37" fillId="0" borderId="2" xfId="0" applyFont="1" applyBorder="1" applyAlignment="1">
      <alignment horizontal="center" vertical="center" wrapText="1"/>
    </xf>
    <xf numFmtId="0" fontId="37" fillId="0" borderId="3" xfId="0" applyFont="1" applyBorder="1" applyAlignment="1">
      <alignment horizontal="center" vertical="center" wrapText="1"/>
    </xf>
    <xf numFmtId="2" fontId="38" fillId="0" borderId="3" xfId="0" applyNumberFormat="1" applyFont="1" applyFill="1" applyBorder="1" applyAlignment="1">
      <alignment horizontal="center" vertical="center" wrapText="1"/>
    </xf>
    <xf numFmtId="1" fontId="38" fillId="0" borderId="3" xfId="0" applyNumberFormat="1" applyFont="1" applyFill="1" applyBorder="1" applyAlignment="1">
      <alignment horizontal="left" vertical="center" wrapText="1"/>
    </xf>
    <xf numFmtId="1" fontId="38" fillId="0" borderId="3" xfId="0" applyNumberFormat="1" applyFont="1" applyFill="1" applyBorder="1" applyAlignment="1">
      <alignment horizontal="center" vertical="center" wrapText="1"/>
    </xf>
    <xf numFmtId="1" fontId="38" fillId="0" borderId="7" xfId="0" applyNumberFormat="1" applyFont="1" applyFill="1" applyBorder="1" applyAlignment="1">
      <alignment horizontal="center" vertical="center" wrapText="1"/>
    </xf>
    <xf numFmtId="1" fontId="38" fillId="0" borderId="2" xfId="0" applyNumberFormat="1" applyFont="1" applyFill="1" applyBorder="1" applyAlignment="1">
      <alignment horizontal="center" vertical="center" wrapText="1"/>
    </xf>
    <xf numFmtId="2" fontId="38" fillId="0" borderId="6" xfId="0" applyNumberFormat="1" applyFont="1" applyFill="1" applyBorder="1" applyAlignment="1">
      <alignment horizontal="center" vertical="center" wrapText="1"/>
    </xf>
    <xf numFmtId="1" fontId="38" fillId="0" borderId="6" xfId="0" applyNumberFormat="1" applyFont="1" applyFill="1" applyBorder="1" applyAlignment="1">
      <alignment horizontal="center" vertical="center" wrapText="1"/>
    </xf>
    <xf numFmtId="0" fontId="37" fillId="0" borderId="2" xfId="0" applyFont="1" applyBorder="1" applyAlignment="1">
      <alignment horizontal="center"/>
    </xf>
    <xf numFmtId="0" fontId="37" fillId="0" borderId="3" xfId="0" applyFont="1" applyBorder="1" applyAlignment="1">
      <alignment horizontal="center"/>
    </xf>
    <xf numFmtId="2" fontId="38" fillId="0" borderId="3" xfId="0" applyNumberFormat="1" applyFont="1" applyFill="1" applyBorder="1" applyAlignment="1">
      <alignment horizontal="center" vertical="center"/>
    </xf>
    <xf numFmtId="2" fontId="38" fillId="0" borderId="2" xfId="0" applyNumberFormat="1" applyFont="1" applyFill="1" applyBorder="1" applyAlignment="1">
      <alignment horizontal="center" vertical="center"/>
    </xf>
    <xf numFmtId="1" fontId="38" fillId="0" borderId="3" xfId="0" applyNumberFormat="1" applyFont="1" applyFill="1" applyBorder="1" applyAlignment="1">
      <alignment horizontal="left" vertical="center"/>
    </xf>
    <xf numFmtId="2" fontId="38" fillId="0" borderId="24" xfId="0" applyNumberFormat="1" applyFont="1" applyFill="1" applyBorder="1" applyAlignment="1">
      <alignment horizontal="center" vertical="center"/>
    </xf>
    <xf numFmtId="0" fontId="46" fillId="0" borderId="9" xfId="0" applyFont="1" applyBorder="1" applyAlignment="1">
      <alignment horizontal="center"/>
    </xf>
    <xf numFmtId="0" fontId="46" fillId="0" borderId="0" xfId="0" applyFont="1" applyFill="1" applyBorder="1" applyAlignment="1">
      <alignment horizontal="center"/>
    </xf>
    <xf numFmtId="0" fontId="39" fillId="0" borderId="0" xfId="0" applyFont="1" applyBorder="1" applyAlignment="1">
      <alignment horizontal="left"/>
    </xf>
    <xf numFmtId="0" fontId="35" fillId="0" borderId="10" xfId="0" applyFont="1" applyBorder="1" applyAlignment="1">
      <alignment horizontal="left" vertical="center"/>
    </xf>
    <xf numFmtId="0" fontId="46" fillId="0" borderId="37" xfId="0" applyFont="1" applyBorder="1" applyAlignment="1">
      <alignment horizontal="center"/>
    </xf>
    <xf numFmtId="0" fontId="24" fillId="0" borderId="38" xfId="0" applyFont="1" applyFill="1" applyBorder="1"/>
    <xf numFmtId="0" fontId="25" fillId="0" borderId="38" xfId="0" applyFont="1" applyFill="1" applyBorder="1" applyAlignment="1">
      <alignment horizontal="center"/>
    </xf>
    <xf numFmtId="2" fontId="35" fillId="0" borderId="38" xfId="0" applyNumberFormat="1" applyFont="1" applyBorder="1" applyAlignment="1">
      <alignment horizontal="center" vertical="center"/>
    </xf>
    <xf numFmtId="0" fontId="39" fillId="0" borderId="38" xfId="0" applyFont="1" applyBorder="1" applyAlignment="1">
      <alignment horizontal="left"/>
    </xf>
    <xf numFmtId="0" fontId="35" fillId="0" borderId="23" xfId="0" applyFont="1" applyBorder="1" applyAlignment="1">
      <alignment horizontal="left" vertical="center"/>
    </xf>
    <xf numFmtId="0" fontId="24" fillId="0" borderId="38" xfId="0" applyFont="1" applyFill="1" applyBorder="1" applyAlignment="1">
      <alignment horizontal="center"/>
    </xf>
    <xf numFmtId="0" fontId="40" fillId="0" borderId="0" xfId="0" applyFont="1" applyBorder="1" applyAlignment="1">
      <alignment horizontal="left"/>
    </xf>
    <xf numFmtId="0" fontId="40" fillId="0" borderId="38" xfId="0" applyFont="1" applyBorder="1" applyAlignment="1">
      <alignment horizontal="left"/>
    </xf>
    <xf numFmtId="0" fontId="24" fillId="0" borderId="11" xfId="0" applyFont="1" applyFill="1" applyBorder="1"/>
    <xf numFmtId="0" fontId="24" fillId="0" borderId="11" xfId="0" applyFont="1" applyBorder="1" applyAlignment="1">
      <alignment horizontal="left"/>
    </xf>
    <xf numFmtId="0" fontId="24" fillId="0" borderId="5" xfId="0" applyFont="1" applyFill="1" applyBorder="1"/>
    <xf numFmtId="2" fontId="24" fillId="0" borderId="0" xfId="0" applyNumberFormat="1" applyFont="1" applyFill="1" applyAlignment="1">
      <alignment horizontal="center"/>
    </xf>
    <xf numFmtId="2" fontId="35" fillId="0" borderId="24" xfId="0" applyNumberFormat="1" applyFont="1" applyFill="1" applyBorder="1" applyAlignment="1">
      <alignment horizontal="center" vertical="center"/>
    </xf>
    <xf numFmtId="0" fontId="46" fillId="0" borderId="0" xfId="0" applyFont="1" applyFill="1" applyBorder="1"/>
    <xf numFmtId="164" fontId="35" fillId="0" borderId="8" xfId="0" applyNumberFormat="1" applyFont="1" applyBorder="1" applyAlignment="1">
      <alignment horizontal="center"/>
    </xf>
    <xf numFmtId="164" fontId="35" fillId="0" borderId="36" xfId="0" applyNumberFormat="1" applyFont="1" applyBorder="1" applyAlignment="1">
      <alignment horizontal="center"/>
    </xf>
    <xf numFmtId="2" fontId="35" fillId="0" borderId="0" xfId="0" applyNumberFormat="1" applyFont="1" applyFill="1" applyAlignment="1">
      <alignment horizontal="center"/>
    </xf>
    <xf numFmtId="2" fontId="35" fillId="0" borderId="8" xfId="0" applyNumberFormat="1" applyFont="1" applyBorder="1" applyAlignment="1">
      <alignment horizontal="center"/>
    </xf>
    <xf numFmtId="2" fontId="35" fillId="0" borderId="0" xfId="0" applyNumberFormat="1" applyFont="1" applyAlignment="1">
      <alignment horizontal="center"/>
    </xf>
    <xf numFmtId="2" fontId="35" fillId="0" borderId="8" xfId="0" applyNumberFormat="1" applyFont="1" applyFill="1" applyBorder="1" applyAlignment="1">
      <alignment horizontal="center"/>
    </xf>
    <xf numFmtId="2" fontId="38" fillId="0" borderId="0" xfId="0" applyNumberFormat="1" applyFont="1" applyFill="1" applyAlignment="1">
      <alignment horizontal="center"/>
    </xf>
    <xf numFmtId="2" fontId="38" fillId="0" borderId="38" xfId="0" applyNumberFormat="1" applyFont="1" applyFill="1" applyBorder="1" applyAlignment="1">
      <alignment horizontal="center"/>
    </xf>
    <xf numFmtId="2" fontId="35" fillId="0" borderId="36" xfId="0" applyNumberFormat="1" applyFont="1" applyFill="1" applyBorder="1" applyAlignment="1">
      <alignment horizontal="center"/>
    </xf>
    <xf numFmtId="2" fontId="38" fillId="0" borderId="0" xfId="0" applyNumberFormat="1" applyFont="1" applyAlignment="1">
      <alignment horizontal="center"/>
    </xf>
    <xf numFmtId="2" fontId="35" fillId="0" borderId="36" xfId="0" applyNumberFormat="1" applyFont="1" applyBorder="1" applyAlignment="1">
      <alignment horizontal="center"/>
    </xf>
    <xf numFmtId="0" fontId="35" fillId="0" borderId="8" xfId="0" applyFont="1" applyBorder="1" applyAlignment="1">
      <alignment horizontal="center"/>
    </xf>
    <xf numFmtId="0" fontId="35" fillId="0" borderId="36" xfId="0" applyFont="1" applyBorder="1" applyAlignment="1">
      <alignment horizontal="center"/>
    </xf>
    <xf numFmtId="0" fontId="35" fillId="0" borderId="0" xfId="0" applyFont="1" applyBorder="1" applyAlignment="1">
      <alignment horizontal="center"/>
    </xf>
    <xf numFmtId="0" fontId="46" fillId="0" borderId="0" xfId="0" applyFont="1" applyFill="1" applyAlignment="1">
      <alignment horizontal="center"/>
    </xf>
    <xf numFmtId="0" fontId="46" fillId="0" borderId="0" xfId="0" applyFont="1" applyBorder="1" applyAlignment="1">
      <alignment horizontal="center"/>
    </xf>
    <xf numFmtId="2" fontId="35" fillId="0" borderId="0" xfId="0" applyNumberFormat="1" applyFont="1" applyFill="1" applyBorder="1" applyAlignment="1">
      <alignment horizontal="center"/>
    </xf>
    <xf numFmtId="0" fontId="35" fillId="0" borderId="0" xfId="0" applyFont="1" applyFill="1" applyBorder="1" applyAlignment="1">
      <alignment horizontal="center"/>
    </xf>
    <xf numFmtId="165" fontId="39" fillId="0" borderId="0" xfId="0" applyNumberFormat="1" applyFont="1" applyBorder="1" applyAlignment="1">
      <alignment horizontal="left"/>
    </xf>
    <xf numFmtId="0" fontId="35" fillId="0" borderId="12" xfId="0" applyFont="1" applyBorder="1" applyAlignment="1">
      <alignment horizontal="center"/>
    </xf>
    <xf numFmtId="0" fontId="51" fillId="0" borderId="0" xfId="0" applyFont="1" applyAlignment="1">
      <alignment horizontal="left" vertical="center"/>
    </xf>
    <xf numFmtId="0" fontId="51" fillId="0" borderId="0" xfId="0" applyFont="1" applyAlignment="1">
      <alignment horizontal="center" vertical="center"/>
    </xf>
    <xf numFmtId="0" fontId="52" fillId="0" borderId="0" xfId="0" applyFont="1" applyAlignment="1">
      <alignment horizontal="right" vertical="center"/>
    </xf>
    <xf numFmtId="0" fontId="23" fillId="0" borderId="0" xfId="0" applyFont="1" applyAlignment="1">
      <alignment horizontal="center"/>
    </xf>
    <xf numFmtId="0" fontId="0" fillId="0" borderId="0" xfId="0" applyFont="1" applyFill="1" applyAlignment="1">
      <alignment horizontal="center"/>
    </xf>
    <xf numFmtId="164" fontId="24" fillId="0" borderId="0" xfId="0" applyNumberFormat="1" applyFont="1" applyFill="1" applyBorder="1" applyAlignment="1">
      <alignment horizontal="center"/>
    </xf>
    <xf numFmtId="164" fontId="24" fillId="0" borderId="9" xfId="0" applyNumberFormat="1" applyFont="1" applyBorder="1" applyAlignment="1">
      <alignment horizontal="center"/>
    </xf>
    <xf numFmtId="2" fontId="35" fillId="0" borderId="9" xfId="0" applyNumberFormat="1" applyFont="1" applyBorder="1" applyAlignment="1">
      <alignment horizontal="center" vertical="center"/>
    </xf>
    <xf numFmtId="0" fontId="24" fillId="0" borderId="10" xfId="0" applyFont="1" applyFill="1" applyBorder="1"/>
    <xf numFmtId="164" fontId="24" fillId="0" borderId="38" xfId="0" applyNumberFormat="1" applyFont="1" applyFill="1" applyBorder="1" applyAlignment="1">
      <alignment horizontal="center"/>
    </xf>
    <xf numFmtId="0" fontId="24" fillId="0" borderId="23" xfId="0" applyFont="1" applyFill="1" applyBorder="1"/>
    <xf numFmtId="164" fontId="24" fillId="0" borderId="37" xfId="0" applyNumberFormat="1" applyFont="1" applyBorder="1" applyAlignment="1">
      <alignment horizontal="center"/>
    </xf>
    <xf numFmtId="2" fontId="35" fillId="0" borderId="37" xfId="0" applyNumberFormat="1" applyFont="1" applyBorder="1" applyAlignment="1">
      <alignment horizontal="center" vertical="center"/>
    </xf>
    <xf numFmtId="0" fontId="40" fillId="0" borderId="38" xfId="0" applyFont="1" applyBorder="1" applyAlignment="1">
      <alignment horizontal="center"/>
    </xf>
    <xf numFmtId="0" fontId="24" fillId="0" borderId="37" xfId="0" applyFont="1" applyBorder="1"/>
    <xf numFmtId="0" fontId="40" fillId="0" borderId="0" xfId="0" applyFont="1" applyAlignment="1">
      <alignment horizontal="center"/>
    </xf>
    <xf numFmtId="0" fontId="53" fillId="0" borderId="0" xfId="0" applyFont="1" applyAlignment="1">
      <alignment horizontal="center"/>
    </xf>
    <xf numFmtId="0" fontId="35" fillId="0" borderId="0" xfId="0" applyFont="1" applyAlignment="1">
      <alignment horizontal="left"/>
    </xf>
    <xf numFmtId="0" fontId="46" fillId="0" borderId="0" xfId="0" applyFont="1" applyFill="1" applyAlignment="1">
      <alignment horizontal="left"/>
    </xf>
    <xf numFmtId="2" fontId="38" fillId="0" borderId="7" xfId="0" applyNumberFormat="1" applyFont="1" applyFill="1" applyBorder="1" applyAlignment="1">
      <alignment horizontal="center" vertical="center" wrapText="1"/>
    </xf>
    <xf numFmtId="2" fontId="38" fillId="0" borderId="25" xfId="0" applyNumberFormat="1" applyFont="1" applyFill="1" applyBorder="1" applyAlignment="1">
      <alignment horizontal="center" vertical="center" wrapText="1"/>
    </xf>
    <xf numFmtId="2" fontId="38" fillId="0" borderId="7" xfId="0" applyNumberFormat="1" applyFont="1" applyFill="1" applyBorder="1" applyAlignment="1">
      <alignment horizontal="center" vertical="center"/>
    </xf>
    <xf numFmtId="2" fontId="38" fillId="0" borderId="9" xfId="0" applyNumberFormat="1" applyFont="1" applyFill="1" applyBorder="1" applyAlignment="1">
      <alignment horizontal="center" vertical="center"/>
    </xf>
    <xf numFmtId="2" fontId="38" fillId="0" borderId="0" xfId="0" applyNumberFormat="1" applyFont="1" applyFill="1" applyBorder="1" applyAlignment="1">
      <alignment horizontal="center" vertical="center"/>
    </xf>
    <xf numFmtId="2" fontId="35" fillId="0" borderId="10" xfId="0" applyNumberFormat="1" applyFont="1" applyFill="1" applyBorder="1" applyAlignment="1">
      <alignment horizontal="center" vertical="center"/>
    </xf>
    <xf numFmtId="2" fontId="27" fillId="0" borderId="8" xfId="0" applyNumberFormat="1" applyFont="1" applyFill="1" applyBorder="1" applyAlignment="1">
      <alignment horizontal="center"/>
    </xf>
    <xf numFmtId="2" fontId="27" fillId="4" borderId="8" xfId="0" applyNumberFormat="1" applyFont="1" applyFill="1" applyBorder="1" applyAlignment="1">
      <alignment horizontal="center"/>
    </xf>
    <xf numFmtId="2" fontId="27" fillId="5" borderId="36" xfId="0" applyNumberFormat="1" applyFont="1" applyFill="1" applyBorder="1" applyAlignment="1">
      <alignment horizontal="center"/>
    </xf>
    <xf numFmtId="2" fontId="27" fillId="5" borderId="8" xfId="0" applyNumberFormat="1" applyFont="1" applyFill="1" applyBorder="1" applyAlignment="1">
      <alignment horizontal="center"/>
    </xf>
    <xf numFmtId="2" fontId="27" fillId="4" borderId="36" xfId="0" applyNumberFormat="1" applyFont="1" applyFill="1" applyBorder="1" applyAlignment="1">
      <alignment horizontal="center"/>
    </xf>
    <xf numFmtId="2" fontId="27" fillId="0" borderId="36" xfId="0" applyNumberFormat="1" applyFont="1" applyFill="1" applyBorder="1" applyAlignment="1">
      <alignment horizontal="center"/>
    </xf>
    <xf numFmtId="0" fontId="52" fillId="0" borderId="0" xfId="0" applyFont="1" applyAlignment="1">
      <alignment horizontal="left" vertical="center"/>
    </xf>
    <xf numFmtId="0" fontId="41" fillId="0" borderId="0" xfId="0" applyFont="1" applyFill="1" applyAlignment="1">
      <alignment horizontal="left" vertical="center"/>
    </xf>
    <xf numFmtId="2" fontId="38" fillId="0" borderId="3" xfId="0" applyNumberFormat="1" applyFont="1" applyBorder="1" applyAlignment="1">
      <alignment horizontal="center" vertical="center"/>
    </xf>
    <xf numFmtId="2" fontId="38" fillId="0" borderId="8" xfId="0" applyNumberFormat="1" applyFont="1" applyBorder="1" applyAlignment="1">
      <alignment horizontal="center" vertical="center"/>
    </xf>
    <xf numFmtId="2" fontId="25" fillId="0" borderId="10" xfId="0" applyNumberFormat="1" applyFont="1" applyBorder="1" applyAlignment="1">
      <alignment horizontal="center"/>
    </xf>
    <xf numFmtId="0" fontId="25" fillId="0" borderId="10" xfId="0" applyFont="1" applyBorder="1" applyAlignment="1">
      <alignment horizontal="center"/>
    </xf>
    <xf numFmtId="0" fontId="25" fillId="0" borderId="23" xfId="0" applyFont="1" applyBorder="1" applyAlignment="1">
      <alignment horizontal="center"/>
    </xf>
    <xf numFmtId="2" fontId="25" fillId="0" borderId="23" xfId="0" applyNumberFormat="1" applyFont="1" applyBorder="1" applyAlignment="1">
      <alignment horizontal="center"/>
    </xf>
    <xf numFmtId="2" fontId="25" fillId="0" borderId="36" xfId="0" applyNumberFormat="1" applyFont="1" applyBorder="1" applyAlignment="1">
      <alignment horizontal="center"/>
    </xf>
    <xf numFmtId="0" fontId="25" fillId="0" borderId="4" xfId="0" applyFont="1" applyBorder="1"/>
    <xf numFmtId="0" fontId="25" fillId="0" borderId="11" xfId="0" applyFont="1" applyBorder="1"/>
    <xf numFmtId="2" fontId="35" fillId="0" borderId="0" xfId="0" applyNumberFormat="1" applyFont="1" applyFill="1" applyBorder="1" applyAlignment="1">
      <alignment horizontal="left" vertical="center" wrapText="1"/>
    </xf>
    <xf numFmtId="2" fontId="35" fillId="0" borderId="0" xfId="0" applyNumberFormat="1" applyFont="1" applyFill="1" applyBorder="1" applyAlignment="1">
      <alignment horizontal="center" vertical="center" wrapText="1"/>
    </xf>
    <xf numFmtId="1" fontId="35" fillId="0" borderId="0" xfId="0" applyNumberFormat="1" applyFont="1" applyFill="1" applyBorder="1" applyAlignment="1">
      <alignment horizontal="left" vertical="center" wrapText="1"/>
    </xf>
    <xf numFmtId="0" fontId="38" fillId="0" borderId="0" xfId="0" applyFont="1" applyFill="1" applyAlignment="1">
      <alignment horizontal="center"/>
    </xf>
    <xf numFmtId="2" fontId="25" fillId="0" borderId="24" xfId="0" applyNumberFormat="1" applyFont="1" applyFill="1" applyBorder="1" applyAlignment="1">
      <alignment horizontal="center" vertical="center"/>
    </xf>
    <xf numFmtId="2" fontId="38" fillId="0" borderId="27" xfId="0" applyNumberFormat="1" applyFont="1" applyBorder="1" applyAlignment="1">
      <alignment horizontal="center" vertical="center" wrapText="1"/>
    </xf>
    <xf numFmtId="1" fontId="35" fillId="0" borderId="3" xfId="0" applyNumberFormat="1" applyFont="1" applyBorder="1" applyAlignment="1">
      <alignment horizontal="center" vertical="center" wrapText="1"/>
    </xf>
    <xf numFmtId="1" fontId="38" fillId="0" borderId="6" xfId="0" applyNumberFormat="1" applyFont="1" applyBorder="1" applyAlignment="1">
      <alignment horizontal="left" vertical="center" wrapText="1"/>
    </xf>
    <xf numFmtId="0" fontId="36" fillId="0" borderId="9" xfId="0" applyFont="1" applyBorder="1" applyAlignment="1">
      <alignment horizontal="center"/>
    </xf>
    <xf numFmtId="165" fontId="35" fillId="0" borderId="10" xfId="0" applyNumberFormat="1" applyFont="1" applyBorder="1" applyAlignment="1">
      <alignment horizontal="center" vertical="center"/>
    </xf>
    <xf numFmtId="1" fontId="35" fillId="0" borderId="3" xfId="0" applyNumberFormat="1" applyFont="1" applyBorder="1" applyAlignment="1">
      <alignment horizontal="left" vertical="center"/>
    </xf>
    <xf numFmtId="0" fontId="25" fillId="0" borderId="8" xfId="0" applyFont="1" applyBorder="1" applyAlignment="1">
      <alignment horizontal="left"/>
    </xf>
    <xf numFmtId="165" fontId="24" fillId="0" borderId="10" xfId="0" applyNumberFormat="1" applyFont="1" applyBorder="1" applyAlignment="1">
      <alignment horizontal="center"/>
    </xf>
    <xf numFmtId="1" fontId="39" fillId="0" borderId="0" xfId="0" applyNumberFormat="1" applyFont="1" applyBorder="1" applyAlignment="1">
      <alignment horizontal="left" vertical="center"/>
    </xf>
    <xf numFmtId="2" fontId="35" fillId="0" borderId="8" xfId="0" applyNumberFormat="1" applyFont="1" applyBorder="1" applyAlignment="1">
      <alignment horizontal="left" vertical="center"/>
    </xf>
    <xf numFmtId="1" fontId="39" fillId="0" borderId="0" xfId="0" applyNumberFormat="1" applyFont="1" applyFill="1" applyBorder="1" applyAlignment="1">
      <alignment horizontal="left" vertical="center"/>
    </xf>
    <xf numFmtId="0" fontId="40" fillId="0" borderId="0" xfId="0" applyFont="1" applyAlignment="1">
      <alignment horizontal="left"/>
    </xf>
    <xf numFmtId="1" fontId="35" fillId="0" borderId="0" xfId="0" applyNumberFormat="1" applyFont="1" applyBorder="1" applyAlignment="1">
      <alignment horizontal="left" vertical="center"/>
    </xf>
    <xf numFmtId="0" fontId="24" fillId="0" borderId="10" xfId="0" applyFont="1" applyBorder="1" applyAlignment="1">
      <alignment horizontal="center"/>
    </xf>
    <xf numFmtId="0" fontId="25" fillId="0" borderId="11" xfId="0" applyFont="1" applyBorder="1" applyAlignment="1">
      <alignment horizontal="left"/>
    </xf>
    <xf numFmtId="0" fontId="25" fillId="0" borderId="12" xfId="0" applyFont="1" applyBorder="1" applyAlignment="1">
      <alignment horizontal="left"/>
    </xf>
    <xf numFmtId="0" fontId="40" fillId="0" borderId="0" xfId="0" applyFont="1" applyBorder="1"/>
    <xf numFmtId="2" fontId="27" fillId="6" borderId="8" xfId="0" applyNumberFormat="1" applyFont="1" applyFill="1" applyBorder="1" applyAlignment="1">
      <alignment horizontal="center"/>
    </xf>
    <xf numFmtId="0" fontId="36" fillId="0" borderId="6" xfId="0" applyFont="1" applyFill="1" applyBorder="1" applyAlignment="1">
      <alignment horizontal="center" vertical="center" wrapText="1"/>
    </xf>
    <xf numFmtId="2" fontId="24" fillId="0" borderId="24" xfId="0" applyNumberFormat="1" applyFont="1" applyFill="1" applyBorder="1" applyAlignment="1">
      <alignment horizontal="center" vertical="center"/>
    </xf>
    <xf numFmtId="0" fontId="27" fillId="0" borderId="0" xfId="0" applyFont="1" applyFill="1" applyBorder="1"/>
    <xf numFmtId="2" fontId="42" fillId="0" borderId="1" xfId="0" applyNumberFormat="1" applyFont="1" applyBorder="1" applyAlignment="1">
      <alignment horizontal="center" vertical="center" wrapText="1"/>
    </xf>
    <xf numFmtId="0" fontId="47" fillId="0" borderId="0" xfId="0" applyFont="1" applyBorder="1"/>
    <xf numFmtId="0" fontId="36" fillId="0" borderId="0" xfId="0" applyFont="1" applyAlignment="1">
      <alignment horizontal="center"/>
    </xf>
    <xf numFmtId="0" fontId="36" fillId="0" borderId="0" xfId="0" applyFont="1" applyAlignment="1">
      <alignment horizontal="left"/>
    </xf>
    <xf numFmtId="0" fontId="36" fillId="0" borderId="0" xfId="0" applyFont="1" applyFill="1" applyBorder="1" applyAlignment="1">
      <alignment horizontal="center"/>
    </xf>
    <xf numFmtId="0" fontId="25" fillId="0" borderId="24" xfId="0" applyFont="1" applyFill="1" applyBorder="1" applyAlignment="1">
      <alignment horizontal="center"/>
    </xf>
    <xf numFmtId="1" fontId="39" fillId="0" borderId="0" xfId="0" applyNumberFormat="1" applyFont="1" applyBorder="1" applyAlignment="1">
      <alignment horizontal="center" vertical="center"/>
    </xf>
    <xf numFmtId="0" fontId="24" fillId="0" borderId="36" xfId="0" applyFont="1" applyBorder="1" applyAlignment="1">
      <alignment horizontal="center"/>
    </xf>
    <xf numFmtId="1" fontId="39" fillId="0" borderId="38" xfId="0" applyNumberFormat="1" applyFont="1" applyBorder="1" applyAlignment="1">
      <alignment horizontal="center" vertical="center"/>
    </xf>
    <xf numFmtId="1" fontId="38" fillId="0" borderId="38" xfId="0" applyNumberFormat="1" applyFont="1" applyBorder="1" applyAlignment="1">
      <alignment horizontal="center" vertical="center"/>
    </xf>
    <xf numFmtId="2" fontId="35" fillId="0" borderId="0" xfId="0" applyNumberFormat="1" applyFont="1" applyFill="1" applyAlignment="1">
      <alignment horizontal="left" vertical="center"/>
    </xf>
    <xf numFmtId="1" fontId="35" fillId="0" borderId="0" xfId="0" applyNumberFormat="1" applyFont="1" applyFill="1" applyAlignment="1">
      <alignment horizontal="left" vertical="center"/>
    </xf>
    <xf numFmtId="2" fontId="24" fillId="5" borderId="8" xfId="0" applyNumberFormat="1" applyFont="1" applyFill="1" applyBorder="1" applyAlignment="1">
      <alignment horizontal="center"/>
    </xf>
    <xf numFmtId="0" fontId="19" fillId="0" borderId="0" xfId="0" applyFont="1" applyAlignment="1">
      <alignment horizontal="center"/>
    </xf>
    <xf numFmtId="0" fontId="20" fillId="0" borderId="9" xfId="0" applyFont="1" applyBorder="1" applyAlignment="1">
      <alignment horizontal="center"/>
    </xf>
    <xf numFmtId="0" fontId="20" fillId="0" borderId="37" xfId="0" applyFont="1" applyBorder="1" applyAlignment="1">
      <alignment horizontal="center"/>
    </xf>
    <xf numFmtId="0" fontId="20" fillId="0" borderId="9" xfId="0" applyFont="1" applyFill="1" applyBorder="1" applyAlignment="1">
      <alignment horizontal="center"/>
    </xf>
    <xf numFmtId="0" fontId="20" fillId="0" borderId="37" xfId="0" applyFont="1" applyFill="1" applyBorder="1" applyAlignment="1">
      <alignment horizontal="center"/>
    </xf>
    <xf numFmtId="0" fontId="30" fillId="0" borderId="0" xfId="0" applyFont="1" applyAlignment="1">
      <alignment horizontal="left" vertical="center"/>
    </xf>
    <xf numFmtId="2" fontId="38" fillId="0" borderId="2" xfId="0" applyNumberFormat="1" applyFont="1" applyBorder="1" applyAlignment="1">
      <alignment horizontal="center" vertical="center" wrapText="1"/>
    </xf>
    <xf numFmtId="2" fontId="38" fillId="0" borderId="2" xfId="0" applyNumberFormat="1" applyFont="1" applyBorder="1" applyAlignment="1">
      <alignment horizontal="center" vertical="center"/>
    </xf>
    <xf numFmtId="49" fontId="24" fillId="0" borderId="0" xfId="0" applyNumberFormat="1" applyFont="1" applyBorder="1" applyAlignment="1">
      <alignment horizontal="center"/>
    </xf>
    <xf numFmtId="0" fontId="24" fillId="0" borderId="23" xfId="0" applyFont="1" applyBorder="1" applyAlignment="1">
      <alignment horizontal="center"/>
    </xf>
    <xf numFmtId="0" fontId="24" fillId="0" borderId="37" xfId="0" applyFont="1" applyBorder="1" applyAlignment="1">
      <alignment horizontal="center"/>
    </xf>
    <xf numFmtId="49" fontId="25" fillId="0" borderId="0" xfId="0" applyNumberFormat="1" applyFont="1" applyBorder="1" applyAlignment="1">
      <alignment horizontal="center"/>
    </xf>
    <xf numFmtId="49" fontId="25" fillId="0" borderId="38" xfId="0" applyNumberFormat="1" applyFont="1" applyBorder="1" applyAlignment="1">
      <alignment horizontal="center"/>
    </xf>
    <xf numFmtId="0" fontId="25" fillId="0" borderId="9" xfId="0" applyFont="1" applyFill="1" applyBorder="1" applyAlignment="1">
      <alignment horizontal="center"/>
    </xf>
    <xf numFmtId="0" fontId="25" fillId="0" borderId="10" xfId="0" applyFont="1" applyFill="1" applyBorder="1" applyAlignment="1">
      <alignment horizontal="center"/>
    </xf>
    <xf numFmtId="0" fontId="39" fillId="0" borderId="0" xfId="0" applyFont="1" applyFill="1" applyBorder="1" applyAlignment="1">
      <alignment horizontal="center"/>
    </xf>
    <xf numFmtId="0" fontId="35" fillId="0" borderId="0" xfId="0" applyFont="1" applyFill="1" applyAlignment="1">
      <alignment horizontal="center" vertical="center"/>
    </xf>
    <xf numFmtId="2" fontId="25" fillId="0" borderId="8" xfId="0" applyNumberFormat="1" applyFont="1" applyFill="1" applyBorder="1" applyAlignment="1">
      <alignment horizontal="center"/>
    </xf>
    <xf numFmtId="0" fontId="25" fillId="0" borderId="8" xfId="0" applyFont="1" applyFill="1" applyBorder="1"/>
    <xf numFmtId="0" fontId="25" fillId="0" borderId="37" xfId="0" applyFont="1" applyFill="1" applyBorder="1" applyAlignment="1">
      <alignment horizontal="center"/>
    </xf>
    <xf numFmtId="0" fontId="25" fillId="0" borderId="23" xfId="0" applyFont="1" applyFill="1" applyBorder="1" applyAlignment="1">
      <alignment horizontal="center"/>
    </xf>
    <xf numFmtId="0" fontId="39" fillId="0" borderId="38" xfId="0" applyFont="1" applyFill="1" applyBorder="1" applyAlignment="1">
      <alignment horizontal="center"/>
    </xf>
    <xf numFmtId="49" fontId="25" fillId="0" borderId="38" xfId="0" applyNumberFormat="1" applyFont="1" applyFill="1" applyBorder="1" applyAlignment="1">
      <alignment horizontal="center"/>
    </xf>
    <xf numFmtId="49" fontId="25" fillId="0" borderId="0" xfId="0" applyNumberFormat="1" applyFont="1" applyFill="1" applyBorder="1" applyAlignment="1">
      <alignment horizontal="center"/>
    </xf>
    <xf numFmtId="49" fontId="25" fillId="0" borderId="0" xfId="0" applyNumberFormat="1" applyFont="1" applyAlignment="1">
      <alignment horizontal="center"/>
    </xf>
    <xf numFmtId="0" fontId="29" fillId="0" borderId="38" xfId="0" applyFont="1" applyBorder="1" applyAlignment="1">
      <alignment horizontal="center" vertical="center"/>
    </xf>
    <xf numFmtId="49" fontId="29" fillId="0" borderId="0" xfId="0" applyNumberFormat="1" applyFont="1" applyBorder="1" applyAlignment="1">
      <alignment horizontal="center"/>
    </xf>
    <xf numFmtId="0" fontId="44" fillId="0" borderId="0" xfId="0" applyFont="1" applyBorder="1" applyAlignment="1">
      <alignment horizontal="center"/>
    </xf>
    <xf numFmtId="2" fontId="38" fillId="0" borderId="26" xfId="0" applyNumberFormat="1" applyFont="1" applyBorder="1" applyAlignment="1">
      <alignment horizontal="center" vertical="center" wrapText="1"/>
    </xf>
    <xf numFmtId="1" fontId="38" fillId="0" borderId="2" xfId="0" applyNumberFormat="1" applyFont="1" applyBorder="1" applyAlignment="1">
      <alignment horizontal="center" vertical="center" wrapText="1"/>
    </xf>
    <xf numFmtId="2" fontId="38" fillId="0" borderId="0" xfId="0" applyNumberFormat="1" applyFont="1" applyBorder="1" applyAlignment="1">
      <alignment horizontal="center" vertical="center"/>
    </xf>
    <xf numFmtId="2" fontId="25" fillId="0" borderId="8" xfId="0" applyNumberFormat="1" applyFont="1" applyFill="1" applyBorder="1" applyAlignment="1">
      <alignment horizontal="center" vertical="center"/>
    </xf>
    <xf numFmtId="0" fontId="25" fillId="0" borderId="2" xfId="0" applyFont="1" applyBorder="1"/>
    <xf numFmtId="0" fontId="40" fillId="0" borderId="38" xfId="0" applyFont="1" applyBorder="1"/>
    <xf numFmtId="164" fontId="24" fillId="0" borderId="8" xfId="0" applyNumberFormat="1" applyFont="1" applyBorder="1" applyAlignment="1">
      <alignment horizontal="center"/>
    </xf>
    <xf numFmtId="2" fontId="35" fillId="0" borderId="0" xfId="0" applyNumberFormat="1" applyFont="1" applyFill="1" applyBorder="1" applyAlignment="1">
      <alignment horizontal="left" vertical="center"/>
    </xf>
    <xf numFmtId="2" fontId="35" fillId="0" borderId="0" xfId="0" applyNumberFormat="1" applyFont="1" applyFill="1" applyBorder="1" applyAlignment="1">
      <alignment horizontal="center" vertical="center"/>
    </xf>
    <xf numFmtId="1" fontId="35" fillId="0" borderId="0" xfId="0" applyNumberFormat="1" applyFont="1" applyFill="1" applyBorder="1" applyAlignment="1">
      <alignment horizontal="left" vertical="center"/>
    </xf>
    <xf numFmtId="2" fontId="27" fillId="6" borderId="36" xfId="0" applyNumberFormat="1" applyFont="1" applyFill="1" applyBorder="1" applyAlignment="1">
      <alignment horizontal="center"/>
    </xf>
    <xf numFmtId="0" fontId="25" fillId="0" borderId="0" xfId="0" applyFont="1" applyBorder="1" applyAlignment="1">
      <alignment horizontal="left"/>
    </xf>
    <xf numFmtId="0" fontId="36" fillId="0" borderId="0" xfId="0" applyFont="1" applyFill="1" applyAlignment="1">
      <alignment horizontal="left" vertical="center"/>
    </xf>
    <xf numFmtId="2" fontId="38" fillId="0" borderId="36" xfId="0" applyNumberFormat="1" applyFont="1" applyBorder="1" applyAlignment="1">
      <alignment horizontal="center" vertical="center"/>
    </xf>
    <xf numFmtId="2" fontId="35" fillId="0" borderId="0" xfId="0" applyNumberFormat="1" applyFont="1" applyFill="1" applyAlignment="1">
      <alignment horizontal="center" vertical="center"/>
    </xf>
    <xf numFmtId="2" fontId="24" fillId="5" borderId="10" xfId="0" applyNumberFormat="1" applyFont="1" applyFill="1" applyBorder="1" applyAlignment="1">
      <alignment horizontal="center"/>
    </xf>
    <xf numFmtId="0" fontId="19" fillId="0" borderId="0" xfId="0" applyFont="1" applyBorder="1" applyAlignment="1">
      <alignment horizontal="left"/>
    </xf>
    <xf numFmtId="0" fontId="21" fillId="0" borderId="0" xfId="0" applyFont="1" applyAlignment="1">
      <alignment vertical="center"/>
    </xf>
    <xf numFmtId="0" fontId="21" fillId="0" borderId="0" xfId="0" applyFont="1" applyFill="1" applyAlignment="1">
      <alignment vertical="center"/>
    </xf>
    <xf numFmtId="2" fontId="35" fillId="0" borderId="0" xfId="0" applyNumberFormat="1" applyFont="1" applyAlignment="1">
      <alignment horizontal="left" vertical="center" wrapText="1"/>
    </xf>
    <xf numFmtId="2" fontId="24" fillId="0" borderId="0" xfId="0" applyNumberFormat="1" applyFont="1" applyAlignment="1">
      <alignment horizontal="left" wrapText="1"/>
    </xf>
    <xf numFmtId="1" fontId="35" fillId="0" borderId="0" xfId="0" applyNumberFormat="1" applyFont="1" applyAlignment="1">
      <alignment horizontal="left" vertical="center" wrapText="1"/>
    </xf>
    <xf numFmtId="0" fontId="24" fillId="0" borderId="0" xfId="0" applyFont="1" applyAlignment="1">
      <alignment horizontal="left" wrapText="1"/>
    </xf>
    <xf numFmtId="0" fontId="25" fillId="0" borderId="0" xfId="0" applyFont="1" applyAlignment="1">
      <alignment wrapText="1"/>
    </xf>
    <xf numFmtId="0" fontId="36" fillId="0" borderId="3" xfId="0" applyFont="1" applyBorder="1" applyAlignment="1">
      <alignment horizontal="center" wrapText="1"/>
    </xf>
    <xf numFmtId="0" fontId="25" fillId="0" borderId="0" xfId="0" applyFont="1" applyAlignment="1">
      <alignment horizontal="center" wrapText="1"/>
    </xf>
    <xf numFmtId="0" fontId="53" fillId="0" borderId="0" xfId="0" applyNumberFormat="1" applyFont="1" applyFill="1" applyBorder="1" applyAlignment="1">
      <alignment horizontal="left"/>
    </xf>
    <xf numFmtId="0" fontId="25" fillId="0" borderId="0" xfId="0" applyNumberFormat="1" applyFont="1" applyFill="1" applyBorder="1" applyAlignment="1">
      <alignment horizontal="center"/>
    </xf>
    <xf numFmtId="0" fontId="53" fillId="0" borderId="0" xfId="0" applyFont="1" applyFill="1" applyBorder="1"/>
    <xf numFmtId="0" fontId="25" fillId="0" borderId="38" xfId="0" applyFont="1" applyBorder="1" applyAlignment="1">
      <alignment horizontal="center" wrapText="1"/>
    </xf>
    <xf numFmtId="2" fontId="25" fillId="0" borderId="36" xfId="0" applyNumberFormat="1" applyFont="1" applyFill="1" applyBorder="1" applyAlignment="1">
      <alignment horizontal="center"/>
    </xf>
    <xf numFmtId="0" fontId="25" fillId="0" borderId="38" xfId="0" applyNumberFormat="1" applyFont="1" applyFill="1" applyBorder="1" applyAlignment="1">
      <alignment horizontal="center"/>
    </xf>
    <xf numFmtId="0" fontId="39" fillId="0" borderId="0" xfId="0" applyFont="1" applyAlignment="1">
      <alignment horizontal="left"/>
    </xf>
    <xf numFmtId="0" fontId="25" fillId="0" borderId="11" xfId="0" applyFont="1" applyBorder="1" applyAlignment="1">
      <alignment wrapText="1"/>
    </xf>
    <xf numFmtId="0" fontId="25" fillId="0" borderId="12" xfId="0" applyFont="1" applyFill="1" applyBorder="1" applyAlignment="1">
      <alignment horizontal="center"/>
    </xf>
    <xf numFmtId="0" fontId="24" fillId="0" borderId="0" xfId="0" applyFont="1" applyAlignment="1">
      <alignment wrapText="1"/>
    </xf>
    <xf numFmtId="0" fontId="1" fillId="0" borderId="10" xfId="0" applyFont="1" applyFill="1" applyBorder="1" applyAlignment="1">
      <alignment horizontal="center"/>
    </xf>
    <xf numFmtId="0" fontId="1" fillId="0" borderId="0" xfId="0" applyFont="1" applyFill="1" applyBorder="1" applyAlignment="1">
      <alignment horizontal="center"/>
    </xf>
    <xf numFmtId="0" fontId="24" fillId="0" borderId="10" xfId="0" applyFont="1" applyFill="1" applyBorder="1" applyAlignment="1">
      <alignment horizontal="center"/>
    </xf>
    <xf numFmtId="166" fontId="35" fillId="0" borderId="10" xfId="0" applyNumberFormat="1" applyFont="1" applyFill="1" applyBorder="1" applyAlignment="1" applyProtection="1">
      <alignment horizontal="right"/>
    </xf>
    <xf numFmtId="166" fontId="35" fillId="0" borderId="8" xfId="0" applyNumberFormat="1" applyFont="1" applyFill="1" applyBorder="1" applyAlignment="1" applyProtection="1">
      <alignment horizontal="center"/>
    </xf>
    <xf numFmtId="0" fontId="16" fillId="0" borderId="0" xfId="0" applyFont="1" applyFill="1" applyAlignment="1">
      <alignment horizontal="left" vertical="center"/>
    </xf>
    <xf numFmtId="0" fontId="0" fillId="0" borderId="0" xfId="0" applyFont="1" applyFill="1"/>
    <xf numFmtId="0" fontId="0" fillId="0" borderId="0" xfId="0" applyFont="1" applyAlignment="1">
      <alignment vertical="center" wrapText="1"/>
    </xf>
    <xf numFmtId="2" fontId="6" fillId="0" borderId="0" xfId="0" applyNumberFormat="1" applyFont="1" applyFill="1" applyBorder="1" applyAlignment="1">
      <alignment horizontal="center" vertical="center"/>
    </xf>
    <xf numFmtId="0" fontId="16" fillId="0" borderId="0" xfId="0" applyFont="1" applyFill="1" applyBorder="1"/>
    <xf numFmtId="2" fontId="35" fillId="0" borderId="0" xfId="0" applyNumberFormat="1" applyFont="1" applyFill="1" applyAlignment="1">
      <alignment horizontal="right"/>
    </xf>
    <xf numFmtId="0" fontId="0" fillId="0" borderId="11" xfId="0" applyFont="1" applyFill="1" applyBorder="1" applyAlignment="1">
      <alignment horizontal="center"/>
    </xf>
    <xf numFmtId="0" fontId="0" fillId="0" borderId="5" xfId="0" applyFont="1" applyFill="1" applyBorder="1" applyAlignment="1">
      <alignment horizontal="center"/>
    </xf>
    <xf numFmtId="0" fontId="0" fillId="0" borderId="12" xfId="0" applyFont="1" applyBorder="1"/>
    <xf numFmtId="0" fontId="46" fillId="0" borderId="0" xfId="0" applyFont="1" applyFill="1" applyAlignment="1">
      <alignment horizontal="left" vertical="center"/>
    </xf>
    <xf numFmtId="0" fontId="46" fillId="0" borderId="0" xfId="0" applyFont="1" applyAlignment="1">
      <alignment horizontal="center" vertical="center" wrapText="1"/>
    </xf>
    <xf numFmtId="2" fontId="24" fillId="0" borderId="0" xfId="0" applyNumberFormat="1" applyFont="1" applyAlignment="1">
      <alignment horizontal="right"/>
    </xf>
    <xf numFmtId="49" fontId="46" fillId="0" borderId="0" xfId="0" applyNumberFormat="1" applyFont="1" applyFill="1" applyBorder="1"/>
    <xf numFmtId="2" fontId="24" fillId="0" borderId="0" xfId="0" applyNumberFormat="1" applyFont="1" applyFill="1" applyAlignment="1">
      <alignment horizontal="right"/>
    </xf>
    <xf numFmtId="49" fontId="24" fillId="0" borderId="0" xfId="0" applyNumberFormat="1" applyFont="1"/>
    <xf numFmtId="2" fontId="24" fillId="0" borderId="8" xfId="0" applyNumberFormat="1" applyFont="1" applyFill="1" applyBorder="1" applyAlignment="1">
      <alignment horizontal="center" vertical="center"/>
    </xf>
    <xf numFmtId="0" fontId="24" fillId="0" borderId="12" xfId="0" applyFont="1" applyFill="1" applyBorder="1"/>
    <xf numFmtId="0" fontId="24" fillId="6" borderId="0" xfId="0" applyFont="1" applyFill="1" applyBorder="1" applyAlignment="1">
      <alignment horizontal="center"/>
    </xf>
    <xf numFmtId="0" fontId="4" fillId="0" borderId="0" xfId="0" applyFont="1" applyAlignment="1">
      <alignment horizontal="left"/>
    </xf>
    <xf numFmtId="2" fontId="43" fillId="0" borderId="8" xfId="0" applyNumberFormat="1" applyFont="1" applyFill="1" applyBorder="1" applyAlignment="1">
      <alignment horizontal="center"/>
    </xf>
    <xf numFmtId="0" fontId="25" fillId="0" borderId="8" xfId="0" applyFont="1" applyFill="1" applyBorder="1" applyAlignment="1">
      <alignment horizontal="center"/>
    </xf>
    <xf numFmtId="0" fontId="40" fillId="0" borderId="9" xfId="0" applyFont="1" applyBorder="1"/>
    <xf numFmtId="0" fontId="40" fillId="0" borderId="37" xfId="0" applyFont="1" applyBorder="1"/>
    <xf numFmtId="2" fontId="24" fillId="6" borderId="36" xfId="0" applyNumberFormat="1" applyFont="1" applyFill="1" applyBorder="1" applyAlignment="1">
      <alignment horizontal="center"/>
    </xf>
    <xf numFmtId="0" fontId="35" fillId="0" borderId="0" xfId="0" applyNumberFormat="1" applyFont="1" applyFill="1" applyBorder="1" applyAlignment="1" applyProtection="1">
      <alignment horizontal="center"/>
    </xf>
    <xf numFmtId="2" fontId="35" fillId="0" borderId="0" xfId="0" applyNumberFormat="1" applyFont="1" applyFill="1" applyBorder="1" applyAlignment="1" applyProtection="1">
      <alignment horizontal="center"/>
    </xf>
    <xf numFmtId="2" fontId="35" fillId="0" borderId="8" xfId="0" applyNumberFormat="1" applyFont="1" applyFill="1" applyBorder="1" applyAlignment="1" applyProtection="1">
      <alignment horizontal="center"/>
    </xf>
    <xf numFmtId="165" fontId="25" fillId="0" borderId="0" xfId="0" applyNumberFormat="1" applyFont="1" applyFill="1" applyBorder="1" applyAlignment="1">
      <alignment horizontal="center"/>
    </xf>
    <xf numFmtId="0" fontId="24" fillId="0" borderId="8" xfId="0" applyFont="1" applyFill="1" applyBorder="1" applyAlignment="1">
      <alignment horizontal="center"/>
    </xf>
    <xf numFmtId="0" fontId="19" fillId="0" borderId="0" xfId="0" applyFont="1"/>
    <xf numFmtId="0" fontId="4" fillId="0" borderId="0" xfId="0" applyFont="1"/>
    <xf numFmtId="164" fontId="1" fillId="0" borderId="0" xfId="0" applyNumberFormat="1" applyFont="1" applyFill="1" applyBorder="1" applyAlignment="1">
      <alignment horizontal="center"/>
    </xf>
    <xf numFmtId="164" fontId="1" fillId="0" borderId="8" xfId="0" applyNumberFormat="1" applyFont="1" applyBorder="1" applyAlignment="1">
      <alignment horizontal="center"/>
    </xf>
    <xf numFmtId="0" fontId="1" fillId="0" borderId="0" xfId="0" applyFont="1" applyFill="1" applyBorder="1"/>
    <xf numFmtId="0" fontId="7" fillId="0" borderId="0" xfId="0" applyFont="1" applyFill="1" applyBorder="1" applyAlignment="1">
      <alignment horizontal="left" vertical="top"/>
    </xf>
    <xf numFmtId="2" fontId="6" fillId="0" borderId="24" xfId="0" applyNumberFormat="1" applyFont="1" applyFill="1" applyBorder="1" applyAlignment="1">
      <alignment horizontal="center" vertical="center" wrapText="1"/>
    </xf>
    <xf numFmtId="2" fontId="7" fillId="0" borderId="0" xfId="0" applyNumberFormat="1" applyFont="1" applyFill="1" applyBorder="1" applyAlignment="1">
      <alignment horizontal="center" vertical="center"/>
    </xf>
    <xf numFmtId="2" fontId="27" fillId="7" borderId="8" xfId="0" applyNumberFormat="1" applyFont="1" applyFill="1" applyBorder="1" applyAlignment="1">
      <alignment horizontal="center"/>
    </xf>
    <xf numFmtId="0" fontId="4" fillId="0" borderId="0" xfId="0" applyFont="1" applyBorder="1"/>
    <xf numFmtId="2" fontId="0" fillId="0" borderId="24" xfId="0" applyNumberFormat="1" applyFont="1" applyFill="1" applyBorder="1" applyAlignment="1">
      <alignment horizontal="center" vertical="center"/>
    </xf>
    <xf numFmtId="0" fontId="0" fillId="0" borderId="12" xfId="0" applyFont="1" applyFill="1" applyBorder="1"/>
    <xf numFmtId="0" fontId="38" fillId="0" borderId="0" xfId="0" applyFont="1" applyAlignment="1">
      <alignment horizontal="center"/>
    </xf>
    <xf numFmtId="2" fontId="39" fillId="0" borderId="8" xfId="0" applyNumberFormat="1" applyFont="1" applyBorder="1" applyAlignment="1">
      <alignment horizontal="center"/>
    </xf>
    <xf numFmtId="0" fontId="46" fillId="0" borderId="0" xfId="0" applyFont="1" applyAlignment="1">
      <alignment vertical="center"/>
    </xf>
    <xf numFmtId="2" fontId="38" fillId="0" borderId="24" xfId="0" applyNumberFormat="1" applyFont="1" applyFill="1" applyBorder="1" applyAlignment="1">
      <alignment horizontal="center" vertical="center" wrapText="1"/>
    </xf>
    <xf numFmtId="2" fontId="24" fillId="0" borderId="8" xfId="0" applyNumberFormat="1" applyFont="1" applyFill="1" applyBorder="1" applyAlignment="1">
      <alignment horizontal="center"/>
    </xf>
    <xf numFmtId="49" fontId="46" fillId="0" borderId="0" xfId="0" applyNumberFormat="1" applyFont="1" applyFill="1" applyBorder="1" applyAlignment="1">
      <alignment horizontal="center"/>
    </xf>
    <xf numFmtId="0" fontId="39" fillId="0" borderId="9" xfId="0" applyFont="1" applyFill="1" applyBorder="1" applyAlignment="1">
      <alignment horizontal="center"/>
    </xf>
    <xf numFmtId="0" fontId="24" fillId="0" borderId="4" xfId="0" applyFont="1" applyFill="1" applyBorder="1"/>
    <xf numFmtId="0" fontId="19" fillId="0" borderId="0" xfId="0" applyFont="1" applyAlignment="1">
      <alignment horizontal="left" vertical="center" wrapText="1"/>
    </xf>
    <xf numFmtId="0" fontId="55" fillId="0" borderId="0" xfId="0" applyFont="1" applyAlignment="1">
      <alignment horizontal="left" vertical="center"/>
    </xf>
    <xf numFmtId="0" fontId="19" fillId="0" borderId="0" xfId="0" applyFont="1" applyAlignment="1">
      <alignment horizontal="left"/>
    </xf>
    <xf numFmtId="0" fontId="54" fillId="0" borderId="0" xfId="0" applyFont="1" applyAlignment="1">
      <alignment horizontal="left" vertical="center"/>
    </xf>
    <xf numFmtId="2" fontId="24" fillId="0" borderId="5" xfId="0" applyNumberFormat="1" applyFont="1" applyBorder="1" applyAlignment="1">
      <alignment horizontal="center"/>
    </xf>
    <xf numFmtId="0" fontId="24" fillId="11" borderId="2" xfId="0" applyFont="1" applyFill="1" applyBorder="1" applyAlignment="1">
      <alignment horizontal="center"/>
    </xf>
    <xf numFmtId="0" fontId="24" fillId="11" borderId="3" xfId="0" applyFont="1" applyFill="1" applyBorder="1" applyAlignment="1">
      <alignment horizontal="center"/>
    </xf>
    <xf numFmtId="0" fontId="24" fillId="11" borderId="7" xfId="0" applyFont="1" applyFill="1" applyBorder="1" applyAlignment="1">
      <alignment horizontal="center"/>
    </xf>
    <xf numFmtId="0" fontId="24" fillId="11" borderId="9" xfId="0" applyFont="1" applyFill="1" applyBorder="1" applyAlignment="1">
      <alignment horizontal="center"/>
    </xf>
    <xf numFmtId="0" fontId="24" fillId="11" borderId="0" xfId="0" applyFont="1" applyFill="1" applyBorder="1" applyAlignment="1">
      <alignment horizontal="center"/>
    </xf>
    <xf numFmtId="2" fontId="24" fillId="11" borderId="0" xfId="0" applyNumberFormat="1" applyFont="1" applyFill="1" applyBorder="1" applyAlignment="1">
      <alignment horizontal="center"/>
    </xf>
    <xf numFmtId="2" fontId="24" fillId="11" borderId="10" xfId="0" applyNumberFormat="1" applyFont="1" applyFill="1" applyBorder="1" applyAlignment="1">
      <alignment horizontal="center"/>
    </xf>
    <xf numFmtId="0" fontId="24" fillId="11" borderId="4" xfId="0" applyFont="1" applyFill="1" applyBorder="1" applyAlignment="1">
      <alignment horizontal="center"/>
    </xf>
    <xf numFmtId="0" fontId="24" fillId="11" borderId="11" xfId="0" applyFont="1" applyFill="1" applyBorder="1" applyAlignment="1">
      <alignment horizontal="center"/>
    </xf>
    <xf numFmtId="2" fontId="24" fillId="11" borderId="11" xfId="0" applyNumberFormat="1" applyFont="1" applyFill="1" applyBorder="1" applyAlignment="1">
      <alignment horizontal="center"/>
    </xf>
    <xf numFmtId="2" fontId="24" fillId="11" borderId="5" xfId="0" applyNumberFormat="1" applyFont="1" applyFill="1" applyBorder="1" applyAlignment="1">
      <alignment horizontal="center"/>
    </xf>
    <xf numFmtId="0" fontId="24" fillId="11" borderId="10" xfId="0" applyFont="1" applyFill="1" applyBorder="1" applyAlignment="1">
      <alignment horizontal="center"/>
    </xf>
    <xf numFmtId="0" fontId="24" fillId="11" borderId="5" xfId="0" applyFont="1" applyFill="1" applyBorder="1" applyAlignment="1">
      <alignment horizontal="center"/>
    </xf>
    <xf numFmtId="2" fontId="24" fillId="11" borderId="8" xfId="0" applyNumberFormat="1" applyFont="1" applyFill="1" applyBorder="1" applyAlignment="1">
      <alignment horizontal="center"/>
    </xf>
    <xf numFmtId="9" fontId="24" fillId="11" borderId="3" xfId="0" applyNumberFormat="1" applyFont="1" applyFill="1" applyBorder="1" applyAlignment="1">
      <alignment horizontal="center"/>
    </xf>
    <xf numFmtId="0" fontId="29" fillId="0" borderId="2" xfId="0" applyFont="1" applyBorder="1" applyAlignment="1">
      <alignment horizontal="center"/>
    </xf>
    <xf numFmtId="0" fontId="29" fillId="0" borderId="9" xfId="0" applyFont="1" applyBorder="1" applyAlignment="1">
      <alignment horizontal="center"/>
    </xf>
    <xf numFmtId="0" fontId="0" fillId="0" borderId="0" xfId="0" applyAlignment="1">
      <alignment horizontal="center"/>
    </xf>
    <xf numFmtId="0" fontId="30" fillId="0" borderId="8" xfId="0" applyFont="1" applyFill="1" applyBorder="1" applyAlignment="1">
      <alignment vertical="center"/>
    </xf>
    <xf numFmtId="0" fontId="29" fillId="9" borderId="9" xfId="0" applyFont="1" applyFill="1" applyBorder="1" applyAlignment="1">
      <alignment horizontal="center"/>
    </xf>
    <xf numFmtId="0" fontId="29" fillId="9" borderId="4" xfId="0" applyFont="1" applyFill="1" applyBorder="1" applyAlignment="1">
      <alignment horizontal="center"/>
    </xf>
    <xf numFmtId="0" fontId="30" fillId="0" borderId="20" xfId="0" applyFont="1" applyFill="1" applyBorder="1" applyAlignment="1">
      <alignment horizontal="center"/>
    </xf>
    <xf numFmtId="0" fontId="30" fillId="0" borderId="34" xfId="0" applyFont="1" applyFill="1" applyBorder="1" applyAlignment="1">
      <alignment horizontal="center"/>
    </xf>
    <xf numFmtId="0" fontId="30" fillId="0" borderId="35" xfId="0" applyFont="1" applyFill="1" applyBorder="1" applyAlignment="1">
      <alignment horizontal="center"/>
    </xf>
    <xf numFmtId="0" fontId="30" fillId="0" borderId="29" xfId="0" applyFont="1" applyFill="1" applyBorder="1" applyAlignment="1">
      <alignment horizontal="center"/>
    </xf>
    <xf numFmtId="0" fontId="30" fillId="0" borderId="28" xfId="0" applyFont="1" applyFill="1" applyBorder="1" applyAlignment="1">
      <alignment horizontal="center"/>
    </xf>
    <xf numFmtId="0" fontId="30" fillId="0" borderId="30" xfId="0" applyFont="1" applyFill="1" applyBorder="1" applyAlignment="1">
      <alignment horizontal="center"/>
    </xf>
    <xf numFmtId="0" fontId="30" fillId="0" borderId="21" xfId="0" applyFont="1" applyFill="1" applyBorder="1" applyAlignment="1">
      <alignment horizontal="center"/>
    </xf>
    <xf numFmtId="0" fontId="30" fillId="0" borderId="22" xfId="0" applyFont="1" applyFill="1" applyBorder="1" applyAlignment="1">
      <alignment horizontal="center"/>
    </xf>
    <xf numFmtId="0" fontId="30" fillId="0" borderId="23" xfId="0" applyFont="1" applyFill="1" applyBorder="1" applyAlignment="1">
      <alignment horizontal="center"/>
    </xf>
    <xf numFmtId="0" fontId="30" fillId="0" borderId="31" xfId="0" applyFont="1" applyFill="1" applyBorder="1" applyAlignment="1">
      <alignment horizontal="center"/>
    </xf>
    <xf numFmtId="0" fontId="30" fillId="0" borderId="32" xfId="0" applyFont="1" applyFill="1" applyBorder="1" applyAlignment="1">
      <alignment horizontal="center"/>
    </xf>
    <xf numFmtId="0" fontId="30" fillId="0" borderId="33" xfId="0" applyFont="1" applyFill="1" applyBorder="1" applyAlignment="1">
      <alignment horizontal="center"/>
    </xf>
    <xf numFmtId="2" fontId="35" fillId="0" borderId="24" xfId="0" applyNumberFormat="1" applyFont="1" applyBorder="1" applyAlignment="1">
      <alignment horizontal="center" vertical="center"/>
    </xf>
    <xf numFmtId="2" fontId="35" fillId="0" borderId="12" xfId="0" applyNumberFormat="1" applyFont="1" applyBorder="1" applyAlignment="1">
      <alignment horizontal="center" vertical="center"/>
    </xf>
    <xf numFmtId="0" fontId="25" fillId="0" borderId="24" xfId="0" applyFont="1" applyBorder="1"/>
    <xf numFmtId="0" fontId="25" fillId="0" borderId="2" xfId="0" applyFont="1" applyBorder="1" applyAlignment="1">
      <alignment horizontal="center"/>
    </xf>
    <xf numFmtId="2" fontId="24" fillId="0" borderId="3" xfId="0" applyNumberFormat="1" applyFont="1" applyBorder="1" applyAlignment="1">
      <alignment horizontal="center"/>
    </xf>
    <xf numFmtId="165" fontId="24" fillId="0" borderId="3" xfId="0" applyNumberFormat="1" applyFont="1" applyFill="1" applyBorder="1" applyAlignment="1">
      <alignment horizontal="center"/>
    </xf>
    <xf numFmtId="2" fontId="24" fillId="0" borderId="24" xfId="0" applyNumberFormat="1" applyFont="1" applyBorder="1" applyAlignment="1">
      <alignment horizontal="center"/>
    </xf>
    <xf numFmtId="1" fontId="35" fillId="0" borderId="3" xfId="0" applyNumberFormat="1" applyFont="1" applyBorder="1" applyAlignment="1">
      <alignment horizontal="center" vertical="center"/>
    </xf>
    <xf numFmtId="1" fontId="35" fillId="0" borderId="7" xfId="0" applyNumberFormat="1" applyFont="1" applyBorder="1" applyAlignment="1">
      <alignment horizontal="center" vertical="center"/>
    </xf>
    <xf numFmtId="1" fontId="35" fillId="0" borderId="2" xfId="0" applyNumberFormat="1" applyFont="1" applyBorder="1" applyAlignment="1">
      <alignment horizontal="center" vertical="center"/>
    </xf>
    <xf numFmtId="1" fontId="35" fillId="0" borderId="7" xfId="0" applyNumberFormat="1" applyFont="1" applyBorder="1" applyAlignment="1">
      <alignment horizontal="left" vertical="center"/>
    </xf>
    <xf numFmtId="0" fontId="36" fillId="0" borderId="11" xfId="0" applyFont="1" applyBorder="1" applyAlignment="1">
      <alignment horizontal="center"/>
    </xf>
    <xf numFmtId="165" fontId="24" fillId="0" borderId="11" xfId="0" applyNumberFormat="1" applyFont="1" applyFill="1" applyBorder="1" applyAlignment="1">
      <alignment horizontal="center"/>
    </xf>
    <xf numFmtId="2" fontId="24" fillId="0" borderId="12" xfId="0" applyNumberFormat="1" applyFont="1" applyBorder="1" applyAlignment="1">
      <alignment horizontal="center"/>
    </xf>
    <xf numFmtId="2" fontId="38" fillId="0" borderId="11" xfId="0" applyNumberFormat="1" applyFont="1" applyBorder="1" applyAlignment="1">
      <alignment horizontal="center" vertical="center"/>
    </xf>
    <xf numFmtId="2" fontId="24" fillId="4" borderId="12" xfId="0" applyNumberFormat="1" applyFont="1" applyFill="1" applyBorder="1" applyAlignment="1">
      <alignment horizontal="center"/>
    </xf>
    <xf numFmtId="1" fontId="39" fillId="0" borderId="11" xfId="0" applyNumberFormat="1" applyFont="1" applyFill="1" applyBorder="1" applyAlignment="1">
      <alignment horizontal="center" vertical="center"/>
    </xf>
    <xf numFmtId="1" fontId="35" fillId="0" borderId="11" xfId="0" applyNumberFormat="1" applyFont="1" applyBorder="1" applyAlignment="1">
      <alignment horizontal="center" vertical="center"/>
    </xf>
    <xf numFmtId="1" fontId="35" fillId="0" borderId="5" xfId="0" applyNumberFormat="1" applyFont="1" applyBorder="1" applyAlignment="1">
      <alignment horizontal="center" vertical="center"/>
    </xf>
    <xf numFmtId="1" fontId="35" fillId="0" borderId="4" xfId="0" applyNumberFormat="1" applyFont="1" applyBorder="1" applyAlignment="1">
      <alignment horizontal="center" vertical="center"/>
    </xf>
    <xf numFmtId="1" fontId="35" fillId="0" borderId="5" xfId="0" applyNumberFormat="1" applyFont="1" applyBorder="1" applyAlignment="1">
      <alignment horizontal="left" vertical="center"/>
    </xf>
    <xf numFmtId="0" fontId="36" fillId="0" borderId="24" xfId="0" applyFont="1" applyBorder="1" applyAlignment="1">
      <alignment horizontal="center" vertical="center" wrapText="1"/>
    </xf>
    <xf numFmtId="165" fontId="24" fillId="0" borderId="3" xfId="0" applyNumberFormat="1" applyFont="1" applyBorder="1" applyAlignment="1">
      <alignment horizontal="center"/>
    </xf>
    <xf numFmtId="165" fontId="24" fillId="0" borderId="0" xfId="0" applyNumberFormat="1" applyFont="1" applyBorder="1" applyAlignment="1">
      <alignment horizontal="center"/>
    </xf>
    <xf numFmtId="165" fontId="24" fillId="0" borderId="11" xfId="0" applyNumberFormat="1" applyFont="1" applyBorder="1" applyAlignment="1">
      <alignment horizontal="center"/>
    </xf>
    <xf numFmtId="0" fontId="39" fillId="0" borderId="11" xfId="0" applyFont="1" applyBorder="1" applyAlignment="1">
      <alignment horizontal="center"/>
    </xf>
    <xf numFmtId="0" fontId="24" fillId="11" borderId="1" xfId="0" applyFont="1" applyFill="1" applyBorder="1" applyAlignment="1">
      <alignment horizontal="center"/>
    </xf>
    <xf numFmtId="0" fontId="24" fillId="11" borderId="18" xfId="0" applyFont="1" applyFill="1" applyBorder="1" applyAlignment="1">
      <alignment horizontal="center"/>
    </xf>
    <xf numFmtId="9" fontId="24" fillId="11" borderId="18" xfId="0" applyNumberFormat="1" applyFont="1" applyFill="1" applyBorder="1" applyAlignment="1">
      <alignment horizontal="center"/>
    </xf>
    <xf numFmtId="0" fontId="24" fillId="11" borderId="27" xfId="0" applyFont="1" applyFill="1" applyBorder="1" applyAlignment="1">
      <alignment horizontal="center"/>
    </xf>
    <xf numFmtId="0" fontId="24" fillId="0" borderId="1" xfId="0" applyFont="1" applyBorder="1" applyAlignment="1">
      <alignment horizontal="center"/>
    </xf>
    <xf numFmtId="0" fontId="25" fillId="0" borderId="3" xfId="0" applyFont="1" applyBorder="1"/>
    <xf numFmtId="0" fontId="48" fillId="0" borderId="0" xfId="0" applyFont="1" applyBorder="1" applyAlignment="1">
      <alignment horizontal="center"/>
    </xf>
    <xf numFmtId="2" fontId="29" fillId="0" borderId="24" xfId="0" applyNumberFormat="1" applyFont="1" applyFill="1" applyBorder="1" applyAlignment="1">
      <alignment horizontal="center" vertical="center"/>
    </xf>
    <xf numFmtId="2" fontId="47" fillId="0" borderId="8" xfId="0" applyNumberFormat="1" applyFont="1" applyFill="1" applyBorder="1" applyAlignment="1">
      <alignment horizontal="center"/>
    </xf>
    <xf numFmtId="2" fontId="47" fillId="5" borderId="8" xfId="0" applyNumberFormat="1" applyFont="1" applyFill="1" applyBorder="1" applyAlignment="1">
      <alignment horizontal="center"/>
    </xf>
    <xf numFmtId="2" fontId="47" fillId="4" borderId="8" xfId="0" applyNumberFormat="1" applyFont="1" applyFill="1" applyBorder="1" applyAlignment="1">
      <alignment horizontal="center"/>
    </xf>
    <xf numFmtId="2" fontId="25" fillId="0" borderId="0" xfId="0" applyNumberFormat="1" applyFont="1" applyBorder="1" applyAlignment="1">
      <alignment horizontal="left"/>
    </xf>
    <xf numFmtId="164" fontId="24" fillId="0" borderId="3" xfId="0" applyNumberFormat="1" applyFont="1" applyBorder="1" applyAlignment="1">
      <alignment horizontal="center"/>
    </xf>
    <xf numFmtId="2" fontId="35" fillId="0" borderId="3" xfId="0" applyNumberFormat="1" applyFont="1" applyBorder="1" applyAlignment="1">
      <alignment horizontal="center" vertical="center"/>
    </xf>
    <xf numFmtId="0" fontId="35" fillId="0" borderId="7" xfId="0" applyFont="1" applyBorder="1" applyAlignment="1">
      <alignment horizontal="center" vertical="center"/>
    </xf>
    <xf numFmtId="0" fontId="35" fillId="0" borderId="2" xfId="0" applyFont="1" applyBorder="1" applyAlignment="1">
      <alignment horizontal="center" vertical="center"/>
    </xf>
    <xf numFmtId="2" fontId="25" fillId="0" borderId="7" xfId="0" applyNumberFormat="1" applyFont="1" applyBorder="1" applyAlignment="1">
      <alignment horizontal="left"/>
    </xf>
    <xf numFmtId="164" fontId="24" fillId="0" borderId="0" xfId="0" applyNumberFormat="1" applyFont="1" applyBorder="1" applyAlignment="1">
      <alignment horizontal="center"/>
    </xf>
    <xf numFmtId="0" fontId="35" fillId="0" borderId="11" xfId="0" applyFont="1" applyFill="1" applyBorder="1" applyAlignment="1">
      <alignment horizontal="center"/>
    </xf>
    <xf numFmtId="0" fontId="24" fillId="0" borderId="4" xfId="0" applyFont="1" applyFill="1" applyBorder="1" applyAlignment="1">
      <alignment horizontal="center"/>
    </xf>
    <xf numFmtId="0" fontId="35" fillId="0" borderId="11" xfId="0" applyFont="1" applyBorder="1" applyAlignment="1">
      <alignment horizontal="center" vertical="center"/>
    </xf>
    <xf numFmtId="0" fontId="35" fillId="0" borderId="5" xfId="0" applyFont="1" applyFill="1" applyBorder="1" applyAlignment="1">
      <alignment horizontal="center" vertical="center"/>
    </xf>
    <xf numFmtId="0" fontId="35" fillId="0" borderId="4" xfId="0" applyFont="1" applyBorder="1" applyAlignment="1">
      <alignment horizontal="center" vertical="center"/>
    </xf>
    <xf numFmtId="2" fontId="25" fillId="0" borderId="5" xfId="0" applyNumberFormat="1" applyFont="1" applyBorder="1" applyAlignment="1">
      <alignment horizontal="left"/>
    </xf>
    <xf numFmtId="0" fontId="40" fillId="0" borderId="0" xfId="0" applyFont="1" applyFill="1" applyBorder="1" applyAlignment="1">
      <alignment horizontal="left"/>
    </xf>
    <xf numFmtId="0" fontId="40" fillId="0" borderId="38" xfId="0" applyFont="1" applyFill="1" applyBorder="1" applyAlignment="1">
      <alignment horizontal="left"/>
    </xf>
    <xf numFmtId="0" fontId="25" fillId="0" borderId="3" xfId="0" applyFont="1" applyBorder="1" applyAlignment="1">
      <alignment horizontal="center" vertical="center" wrapText="1"/>
    </xf>
    <xf numFmtId="2" fontId="24" fillId="0" borderId="0" xfId="0" applyNumberFormat="1" applyFont="1" applyFill="1" applyBorder="1" applyAlignment="1">
      <alignment horizontal="center"/>
    </xf>
    <xf numFmtId="2" fontId="24" fillId="0" borderId="10" xfId="0" applyNumberFormat="1" applyFont="1" applyFill="1" applyBorder="1" applyAlignment="1">
      <alignment horizontal="center"/>
    </xf>
    <xf numFmtId="2" fontId="24" fillId="0" borderId="11" xfId="0" applyNumberFormat="1" applyFont="1" applyFill="1" applyBorder="1" applyAlignment="1">
      <alignment horizontal="center"/>
    </xf>
    <xf numFmtId="2" fontId="24" fillId="0" borderId="5" xfId="0" applyNumberFormat="1" applyFont="1" applyFill="1" applyBorder="1" applyAlignment="1">
      <alignment horizontal="center"/>
    </xf>
    <xf numFmtId="0" fontId="24" fillId="0" borderId="1" xfId="0" applyFont="1" applyFill="1" applyBorder="1" applyAlignment="1">
      <alignment horizontal="center"/>
    </xf>
    <xf numFmtId="0" fontId="24" fillId="0" borderId="18" xfId="0" applyFont="1" applyFill="1" applyBorder="1" applyAlignment="1">
      <alignment horizontal="center"/>
    </xf>
    <xf numFmtId="9" fontId="24" fillId="0" borderId="18" xfId="0" applyNumberFormat="1" applyFont="1" applyFill="1" applyBorder="1" applyAlignment="1">
      <alignment horizontal="center"/>
    </xf>
    <xf numFmtId="0" fontId="24" fillId="0" borderId="27" xfId="0" applyFont="1" applyFill="1" applyBorder="1" applyAlignment="1">
      <alignment horizontal="center"/>
    </xf>
    <xf numFmtId="166" fontId="24" fillId="0" borderId="8" xfId="0" applyNumberFormat="1" applyFont="1" applyFill="1" applyBorder="1" applyAlignment="1" applyProtection="1">
      <alignment horizontal="center"/>
    </xf>
    <xf numFmtId="0" fontId="25" fillId="0" borderId="11" xfId="0" applyFont="1" applyFill="1" applyBorder="1" applyAlignment="1">
      <alignment horizontal="center"/>
    </xf>
    <xf numFmtId="0" fontId="25" fillId="0" borderId="5" xfId="0" applyFont="1" applyFill="1" applyBorder="1" applyAlignment="1">
      <alignment horizontal="center"/>
    </xf>
    <xf numFmtId="0" fontId="40" fillId="0" borderId="0" xfId="0" applyFont="1" applyFill="1" applyAlignment="1">
      <alignment horizontal="left"/>
    </xf>
    <xf numFmtId="0" fontId="40" fillId="0" borderId="9" xfId="0" applyFont="1" applyFill="1" applyBorder="1"/>
    <xf numFmtId="2" fontId="29" fillId="0" borderId="3" xfId="0" applyNumberFormat="1" applyFont="1" applyBorder="1" applyAlignment="1">
      <alignment horizontal="center"/>
    </xf>
    <xf numFmtId="2" fontId="29" fillId="0" borderId="7" xfId="0" applyNumberFormat="1" applyFont="1" applyBorder="1" applyAlignment="1">
      <alignment horizontal="center"/>
    </xf>
    <xf numFmtId="2" fontId="29" fillId="9" borderId="0" xfId="0" applyNumberFormat="1" applyFont="1" applyFill="1" applyBorder="1" applyAlignment="1">
      <alignment horizontal="center"/>
    </xf>
    <xf numFmtId="2" fontId="47" fillId="9" borderId="0" xfId="0" applyNumberFormat="1" applyFont="1" applyFill="1" applyBorder="1" applyAlignment="1">
      <alignment horizontal="center"/>
    </xf>
    <xf numFmtId="2" fontId="29" fillId="9" borderId="10" xfId="0" applyNumberFormat="1" applyFont="1" applyFill="1" applyBorder="1" applyAlignment="1">
      <alignment horizontal="center"/>
    </xf>
    <xf numFmtId="2" fontId="47" fillId="0" borderId="0" xfId="0" applyNumberFormat="1" applyFont="1" applyBorder="1" applyAlignment="1">
      <alignment horizontal="center"/>
    </xf>
    <xf numFmtId="2" fontId="29" fillId="9" borderId="11" xfId="0" applyNumberFormat="1" applyFont="1" applyFill="1" applyBorder="1" applyAlignment="1">
      <alignment horizontal="center"/>
    </xf>
    <xf numFmtId="2" fontId="47" fillId="9" borderId="11" xfId="0" applyNumberFormat="1" applyFont="1" applyFill="1" applyBorder="1" applyAlignment="1">
      <alignment horizontal="center"/>
    </xf>
    <xf numFmtId="2" fontId="29" fillId="9" borderId="5" xfId="0" applyNumberFormat="1" applyFont="1" applyFill="1" applyBorder="1" applyAlignment="1">
      <alignment horizontal="center"/>
    </xf>
    <xf numFmtId="2" fontId="47" fillId="0" borderId="3" xfId="0" applyNumberFormat="1" applyFont="1" applyBorder="1" applyAlignment="1">
      <alignment horizontal="center"/>
    </xf>
    <xf numFmtId="2" fontId="29" fillId="0" borderId="2" xfId="0" applyNumberFormat="1" applyFont="1" applyBorder="1" applyAlignment="1">
      <alignment horizontal="center"/>
    </xf>
    <xf numFmtId="2" fontId="27" fillId="8" borderId="8" xfId="0" applyNumberFormat="1" applyFont="1" applyFill="1" applyBorder="1" applyAlignment="1">
      <alignment horizontal="center"/>
    </xf>
    <xf numFmtId="2" fontId="27" fillId="0" borderId="24" xfId="0" applyNumberFormat="1" applyFont="1" applyFill="1" applyBorder="1" applyAlignment="1">
      <alignment horizontal="center"/>
    </xf>
    <xf numFmtId="2" fontId="58" fillId="6" borderId="8" xfId="0" applyNumberFormat="1" applyFont="1" applyFill="1" applyBorder="1" applyAlignment="1">
      <alignment horizontal="center"/>
    </xf>
    <xf numFmtId="2" fontId="35" fillId="0" borderId="24" xfId="0" applyNumberFormat="1" applyFont="1" applyBorder="1" applyAlignment="1">
      <alignment horizontal="center"/>
    </xf>
    <xf numFmtId="2" fontId="35" fillId="0" borderId="12" xfId="0" applyNumberFormat="1" applyFont="1" applyBorder="1" applyAlignment="1">
      <alignment horizontal="center"/>
    </xf>
    <xf numFmtId="2" fontId="24" fillId="0" borderId="7" xfId="0" applyNumberFormat="1" applyFont="1" applyFill="1" applyBorder="1" applyAlignment="1">
      <alignment horizontal="center" vertical="center"/>
    </xf>
    <xf numFmtId="2" fontId="27" fillId="0" borderId="23" xfId="0" applyNumberFormat="1" applyFont="1" applyFill="1" applyBorder="1" applyAlignment="1">
      <alignment horizontal="center"/>
    </xf>
    <xf numFmtId="2" fontId="27" fillId="5" borderId="10" xfId="0" applyNumberFormat="1" applyFont="1" applyFill="1" applyBorder="1" applyAlignment="1">
      <alignment horizontal="center"/>
    </xf>
    <xf numFmtId="2" fontId="24" fillId="0" borderId="36" xfId="0" applyNumberFormat="1" applyFont="1" applyFill="1" applyBorder="1" applyAlignment="1">
      <alignment horizontal="center"/>
    </xf>
    <xf numFmtId="2" fontId="26" fillId="0" borderId="8" xfId="0" applyNumberFormat="1" applyFont="1" applyFill="1" applyBorder="1" applyAlignment="1">
      <alignment horizontal="center"/>
    </xf>
    <xf numFmtId="2" fontId="26" fillId="0" borderId="36" xfId="0" applyNumberFormat="1" applyFont="1" applyFill="1" applyBorder="1" applyAlignment="1">
      <alignment horizontal="center"/>
    </xf>
    <xf numFmtId="2" fontId="24" fillId="0" borderId="23" xfId="0" applyNumberFormat="1" applyFont="1" applyFill="1" applyBorder="1" applyAlignment="1">
      <alignment horizontal="center"/>
    </xf>
    <xf numFmtId="0" fontId="53" fillId="0" borderId="38" xfId="0" applyNumberFormat="1" applyFont="1" applyFill="1" applyBorder="1" applyAlignment="1">
      <alignment horizontal="left"/>
    </xf>
    <xf numFmtId="0" fontId="45" fillId="0" borderId="0" xfId="0" applyFont="1" applyAlignment="1">
      <alignment horizontal="left" vertical="center" wrapText="1"/>
    </xf>
    <xf numFmtId="0" fontId="24" fillId="0" borderId="12" xfId="0" applyFont="1" applyBorder="1" applyAlignment="1">
      <alignment horizontal="left"/>
    </xf>
    <xf numFmtId="0" fontId="48" fillId="0" borderId="0" xfId="0" applyFont="1" applyFill="1" applyBorder="1" applyAlignment="1">
      <alignment horizontal="center"/>
    </xf>
    <xf numFmtId="0" fontId="27" fillId="0" borderId="0" xfId="0" applyFont="1" applyFill="1" applyAlignment="1">
      <alignment horizontal="left"/>
    </xf>
    <xf numFmtId="0" fontId="35" fillId="0" borderId="0" xfId="0" applyFont="1" applyFill="1" applyBorder="1" applyAlignment="1">
      <alignment horizontal="left" vertical="top" wrapText="1"/>
    </xf>
    <xf numFmtId="0" fontId="46" fillId="0" borderId="0" xfId="0" applyFont="1" applyAlignment="1"/>
    <xf numFmtId="2" fontId="25" fillId="0" borderId="8" xfId="0" applyNumberFormat="1" applyFont="1" applyFill="1" applyBorder="1" applyAlignment="1">
      <alignment horizontal="left"/>
    </xf>
    <xf numFmtId="2" fontId="25" fillId="0" borderId="10" xfId="0" applyNumberFormat="1" applyFont="1" applyFill="1" applyBorder="1" applyAlignment="1">
      <alignment horizontal="center"/>
    </xf>
    <xf numFmtId="16" fontId="25" fillId="0" borderId="0" xfId="0" applyNumberFormat="1" applyFont="1" applyFill="1" applyBorder="1" applyAlignment="1">
      <alignment horizontal="center"/>
    </xf>
    <xf numFmtId="0" fontId="39" fillId="0" borderId="0" xfId="0" applyFont="1" applyFill="1" applyBorder="1" applyAlignment="1">
      <alignment horizontal="left"/>
    </xf>
    <xf numFmtId="0" fontId="39" fillId="0" borderId="38" xfId="0" applyFont="1" applyFill="1" applyBorder="1" applyAlignment="1">
      <alignment horizontal="left"/>
    </xf>
    <xf numFmtId="0" fontId="39" fillId="0" borderId="3" xfId="0" applyFont="1" applyFill="1" applyBorder="1" applyAlignment="1">
      <alignment horizontal="center"/>
    </xf>
    <xf numFmtId="0" fontId="35" fillId="0" borderId="3" xfId="0" applyFont="1" applyFill="1" applyBorder="1" applyAlignment="1">
      <alignment horizontal="center" vertical="center"/>
    </xf>
    <xf numFmtId="2" fontId="27" fillId="0" borderId="12" xfId="0" applyNumberFormat="1" applyFont="1" applyFill="1" applyBorder="1" applyAlignment="1">
      <alignment horizontal="center"/>
    </xf>
    <xf numFmtId="0" fontId="39" fillId="0" borderId="11" xfId="0" applyFont="1" applyFill="1" applyBorder="1" applyAlignment="1">
      <alignment horizontal="center"/>
    </xf>
    <xf numFmtId="0" fontId="29" fillId="0" borderId="12" xfId="0" applyFont="1" applyFill="1" applyBorder="1"/>
    <xf numFmtId="2" fontId="38" fillId="0" borderId="0" xfId="0" applyNumberFormat="1" applyFont="1" applyFill="1" applyAlignment="1">
      <alignment horizontal="center" vertical="center"/>
    </xf>
    <xf numFmtId="1" fontId="39" fillId="0" borderId="9" xfId="0" applyNumberFormat="1" applyFont="1" applyFill="1" applyBorder="1" applyAlignment="1">
      <alignment horizontal="center" vertical="center"/>
    </xf>
    <xf numFmtId="0" fontId="25" fillId="0" borderId="4" xfId="0" applyFont="1" applyFill="1" applyBorder="1" applyAlignment="1">
      <alignment horizontal="center"/>
    </xf>
    <xf numFmtId="1" fontId="39" fillId="0" borderId="3" xfId="0" applyNumberFormat="1" applyFont="1" applyFill="1" applyBorder="1" applyAlignment="1">
      <alignment horizontal="center" vertical="center"/>
    </xf>
    <xf numFmtId="0" fontId="27" fillId="0" borderId="3" xfId="0" applyFont="1" applyBorder="1" applyAlignment="1">
      <alignment horizontal="center" vertical="center" wrapText="1"/>
    </xf>
    <xf numFmtId="0" fontId="24" fillId="0" borderId="0" xfId="0" applyFont="1" applyBorder="1" applyAlignment="1">
      <alignment horizontal="left"/>
    </xf>
    <xf numFmtId="2" fontId="24" fillId="0" borderId="24" xfId="0" applyNumberFormat="1" applyFont="1" applyFill="1" applyBorder="1" applyAlignment="1">
      <alignment horizontal="center"/>
    </xf>
    <xf numFmtId="0" fontId="24" fillId="0" borderId="40" xfId="0" applyFont="1" applyBorder="1" applyAlignment="1">
      <alignment horizontal="center"/>
    </xf>
    <xf numFmtId="0" fontId="24" fillId="0" borderId="3" xfId="0" applyFont="1" applyBorder="1" applyAlignment="1">
      <alignment horizontal="left"/>
    </xf>
    <xf numFmtId="0" fontId="25" fillId="0" borderId="38" xfId="0" applyFont="1" applyBorder="1" applyAlignment="1">
      <alignment horizontal="left"/>
    </xf>
    <xf numFmtId="2" fontId="24" fillId="12" borderId="8" xfId="0" applyNumberFormat="1" applyFont="1" applyFill="1" applyBorder="1" applyAlignment="1">
      <alignment horizontal="center"/>
    </xf>
    <xf numFmtId="0" fontId="25" fillId="12" borderId="0" xfId="0" applyFont="1" applyFill="1" applyAlignment="1">
      <alignment horizontal="center"/>
    </xf>
    <xf numFmtId="2" fontId="35" fillId="12" borderId="8" xfId="0" applyNumberFormat="1" applyFont="1" applyFill="1" applyBorder="1" applyAlignment="1">
      <alignment horizontal="center" vertical="center"/>
    </xf>
    <xf numFmtId="2" fontId="35" fillId="12" borderId="10" xfId="0" applyNumberFormat="1" applyFont="1" applyFill="1" applyBorder="1" applyAlignment="1">
      <alignment horizontal="center" vertical="center"/>
    </xf>
    <xf numFmtId="49" fontId="24" fillId="0" borderId="0" xfId="0" applyNumberFormat="1" applyFont="1" applyAlignment="1">
      <alignment horizontal="center"/>
    </xf>
    <xf numFmtId="49" fontId="25" fillId="0" borderId="11" xfId="0" applyNumberFormat="1" applyFont="1" applyBorder="1" applyAlignment="1">
      <alignment horizontal="center"/>
    </xf>
    <xf numFmtId="49" fontId="36" fillId="0" borderId="3" xfId="0" applyNumberFormat="1" applyFont="1" applyBorder="1" applyAlignment="1">
      <alignment horizontal="center"/>
    </xf>
    <xf numFmtId="49" fontId="36" fillId="0" borderId="3" xfId="0" applyNumberFormat="1" applyFont="1" applyBorder="1" applyAlignment="1">
      <alignment horizontal="center" vertical="center" wrapText="1"/>
    </xf>
    <xf numFmtId="49" fontId="25" fillId="0" borderId="0" xfId="0" applyNumberFormat="1" applyFont="1" applyFill="1" applyAlignment="1">
      <alignment horizontal="center"/>
    </xf>
    <xf numFmtId="49" fontId="17" fillId="0" borderId="0" xfId="0" applyNumberFormat="1" applyFont="1" applyAlignment="1">
      <alignment horizontal="center"/>
    </xf>
    <xf numFmtId="0" fontId="25" fillId="4" borderId="0" xfId="0" applyFont="1" applyFill="1" applyAlignment="1">
      <alignment horizontal="center"/>
    </xf>
    <xf numFmtId="2" fontId="35" fillId="4" borderId="8" xfId="0" applyNumberFormat="1" applyFont="1" applyFill="1" applyBorder="1" applyAlignment="1">
      <alignment horizontal="center" vertical="center"/>
    </xf>
    <xf numFmtId="2" fontId="35" fillId="4" borderId="10" xfId="0" applyNumberFormat="1" applyFont="1" applyFill="1" applyBorder="1" applyAlignment="1">
      <alignment horizontal="center" vertical="center"/>
    </xf>
    <xf numFmtId="1" fontId="29" fillId="0" borderId="9" xfId="0" applyNumberFormat="1" applyFont="1" applyBorder="1" applyAlignment="1">
      <alignment horizontal="center"/>
    </xf>
    <xf numFmtId="1" fontId="29" fillId="9" borderId="9" xfId="0" applyNumberFormat="1" applyFont="1" applyFill="1" applyBorder="1" applyAlignment="1">
      <alignment horizontal="center"/>
    </xf>
    <xf numFmtId="1" fontId="29" fillId="9" borderId="4" xfId="0" applyNumberFormat="1" applyFont="1" applyFill="1" applyBorder="1" applyAlignment="1">
      <alignment horizontal="center"/>
    </xf>
    <xf numFmtId="0" fontId="0" fillId="0" borderId="0" xfId="0"/>
    <xf numFmtId="0" fontId="0" fillId="0" borderId="0" xfId="0" applyAlignment="1">
      <alignment horizontal="center"/>
    </xf>
    <xf numFmtId="0" fontId="0" fillId="0" borderId="28"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17" fillId="0" borderId="41" xfId="0" applyFont="1" applyBorder="1" applyAlignment="1">
      <alignment horizontal="center"/>
    </xf>
    <xf numFmtId="0" fontId="17" fillId="0" borderId="42" xfId="0" applyFont="1" applyBorder="1" applyAlignment="1">
      <alignment horizontal="center"/>
    </xf>
    <xf numFmtId="0" fontId="4" fillId="0" borderId="41" xfId="0" applyFont="1" applyBorder="1" applyAlignment="1">
      <alignment horizontal="center"/>
    </xf>
    <xf numFmtId="0" fontId="0" fillId="0" borderId="0" xfId="0" applyBorder="1" applyAlignment="1">
      <alignment horizontal="center"/>
    </xf>
    <xf numFmtId="2" fontId="4" fillId="0" borderId="0" xfId="0" applyNumberFormat="1" applyFont="1" applyBorder="1" applyAlignment="1">
      <alignment horizontal="center"/>
    </xf>
    <xf numFmtId="2" fontId="0" fillId="0" borderId="41" xfId="0" applyNumberFormat="1" applyBorder="1" applyAlignment="1">
      <alignment horizontal="center"/>
    </xf>
    <xf numFmtId="2" fontId="0" fillId="0" borderId="0" xfId="0" applyNumberFormat="1" applyBorder="1" applyAlignment="1">
      <alignment horizontal="center"/>
    </xf>
    <xf numFmtId="0" fontId="19" fillId="0" borderId="41" xfId="0" applyFont="1" applyBorder="1" applyAlignment="1">
      <alignment horizontal="center"/>
    </xf>
    <xf numFmtId="0" fontId="0" fillId="0" borderId="44" xfId="0" applyFont="1" applyBorder="1" applyAlignment="1">
      <alignment horizontal="center"/>
    </xf>
    <xf numFmtId="0" fontId="0" fillId="0" borderId="43" xfId="0" applyFont="1" applyBorder="1" applyAlignment="1">
      <alignment horizontal="center"/>
    </xf>
    <xf numFmtId="0" fontId="0" fillId="0" borderId="45" xfId="0" applyFont="1" applyBorder="1" applyAlignment="1">
      <alignment horizontal="center"/>
    </xf>
    <xf numFmtId="164" fontId="0" fillId="0" borderId="44" xfId="0" applyNumberFormat="1" applyFont="1" applyBorder="1" applyAlignment="1">
      <alignment horizontal="center"/>
    </xf>
    <xf numFmtId="164" fontId="0" fillId="0" borderId="45" xfId="0" applyNumberFormat="1" applyFont="1" applyBorder="1" applyAlignment="1">
      <alignment horizontal="center"/>
    </xf>
    <xf numFmtId="1" fontId="0" fillId="0" borderId="45" xfId="0" applyNumberFormat="1" applyFont="1" applyBorder="1" applyAlignment="1">
      <alignment horizontal="center"/>
    </xf>
    <xf numFmtId="2" fontId="0" fillId="0" borderId="0" xfId="0" applyNumberFormat="1"/>
    <xf numFmtId="2" fontId="30" fillId="0" borderId="0" xfId="0" applyNumberFormat="1" applyFont="1" applyAlignment="1">
      <alignment horizontal="center"/>
    </xf>
    <xf numFmtId="0" fontId="32" fillId="10" borderId="24" xfId="0" applyFont="1" applyFill="1" applyBorder="1" applyAlignment="1">
      <alignment horizontal="center" wrapText="1"/>
    </xf>
    <xf numFmtId="164" fontId="32" fillId="10" borderId="12" xfId="3255" applyNumberFormat="1" applyFont="1" applyFill="1" applyBorder="1" applyAlignment="1">
      <alignment horizontal="center"/>
    </xf>
    <xf numFmtId="2" fontId="30" fillId="0" borderId="24" xfId="0" applyNumberFormat="1" applyFont="1" applyBorder="1" applyAlignment="1">
      <alignment horizontal="center"/>
    </xf>
    <xf numFmtId="2" fontId="30" fillId="0" borderId="12" xfId="0" applyNumberFormat="1" applyFont="1" applyBorder="1" applyAlignment="1">
      <alignment horizontal="center"/>
    </xf>
    <xf numFmtId="0" fontId="0" fillId="0" borderId="39" xfId="0" applyBorder="1"/>
    <xf numFmtId="0" fontId="0" fillId="0" borderId="46" xfId="0" applyBorder="1"/>
    <xf numFmtId="0" fontId="0" fillId="0" borderId="21" xfId="0" applyFont="1" applyBorder="1"/>
    <xf numFmtId="164" fontId="0" fillId="0" borderId="47" xfId="0" applyNumberFormat="1" applyFont="1" applyBorder="1" applyAlignment="1">
      <alignment horizontal="center"/>
    </xf>
    <xf numFmtId="0" fontId="0" fillId="0" borderId="48" xfId="0" applyBorder="1"/>
    <xf numFmtId="2" fontId="0" fillId="0" borderId="10" xfId="0" applyNumberFormat="1" applyBorder="1" applyAlignment="1">
      <alignment horizontal="center"/>
    </xf>
    <xf numFmtId="0" fontId="0" fillId="0" borderId="49" xfId="0" applyBorder="1"/>
    <xf numFmtId="0" fontId="0" fillId="0" borderId="50" xfId="0" applyBorder="1" applyAlignment="1">
      <alignment horizontal="center"/>
    </xf>
    <xf numFmtId="0" fontId="0" fillId="0" borderId="51" xfId="0" applyBorder="1" applyAlignment="1">
      <alignment horizontal="center"/>
    </xf>
    <xf numFmtId="0" fontId="0" fillId="0" borderId="11" xfId="0" applyBorder="1" applyAlignment="1">
      <alignment horizontal="center"/>
    </xf>
    <xf numFmtId="0" fontId="4" fillId="0" borderId="50" xfId="0" applyFont="1" applyBorder="1" applyAlignment="1">
      <alignment horizontal="center"/>
    </xf>
    <xf numFmtId="2" fontId="0" fillId="0" borderId="50" xfId="0" applyNumberFormat="1" applyBorder="1" applyAlignment="1">
      <alignment horizontal="center"/>
    </xf>
    <xf numFmtId="2" fontId="0" fillId="0" borderId="11" xfId="0" applyNumberFormat="1" applyBorder="1" applyAlignment="1">
      <alignment horizontal="center"/>
    </xf>
    <xf numFmtId="2" fontId="4" fillId="0" borderId="11" xfId="0" applyNumberFormat="1" applyFont="1" applyBorder="1" applyAlignment="1">
      <alignment horizontal="center"/>
    </xf>
    <xf numFmtId="2" fontId="0" fillId="0" borderId="5" xfId="0" applyNumberFormat="1" applyBorder="1" applyAlignment="1">
      <alignment horizontal="center"/>
    </xf>
    <xf numFmtId="0" fontId="29" fillId="0" borderId="38" xfId="0" applyFont="1" applyFill="1" applyBorder="1"/>
    <xf numFmtId="2" fontId="29" fillId="0" borderId="38" xfId="0" applyNumberFormat="1" applyFont="1" applyBorder="1" applyAlignment="1">
      <alignment horizontal="center"/>
    </xf>
    <xf numFmtId="0" fontId="29" fillId="0" borderId="38" xfId="0" applyFont="1" applyBorder="1" applyAlignment="1">
      <alignment horizontal="center"/>
    </xf>
    <xf numFmtId="165" fontId="29" fillId="0" borderId="23" xfId="0" applyNumberFormat="1" applyFont="1" applyBorder="1" applyAlignment="1">
      <alignment horizontal="center"/>
    </xf>
    <xf numFmtId="2" fontId="29" fillId="0" borderId="36" xfId="0" applyNumberFormat="1" applyFont="1" applyBorder="1" applyAlignment="1">
      <alignment horizontal="center"/>
    </xf>
    <xf numFmtId="2" fontId="42" fillId="0" borderId="38" xfId="0" applyNumberFormat="1" applyFont="1" applyFill="1" applyBorder="1" applyAlignment="1">
      <alignment horizontal="center" vertical="center"/>
    </xf>
    <xf numFmtId="2" fontId="47" fillId="5" borderId="36" xfId="0" applyNumberFormat="1" applyFont="1" applyFill="1" applyBorder="1" applyAlignment="1">
      <alignment horizontal="center"/>
    </xf>
    <xf numFmtId="0" fontId="48" fillId="0" borderId="38" xfId="0" applyFont="1" applyBorder="1" applyAlignment="1">
      <alignment horizontal="center"/>
    </xf>
    <xf numFmtId="0" fontId="28" fillId="0" borderId="38" xfId="0" applyFont="1" applyBorder="1" applyAlignment="1">
      <alignment horizontal="center" vertical="center"/>
    </xf>
    <xf numFmtId="0" fontId="28" fillId="0" borderId="38" xfId="0" applyFont="1" applyFill="1" applyBorder="1" applyAlignment="1">
      <alignment horizontal="center" vertical="center"/>
    </xf>
    <xf numFmtId="0" fontId="28" fillId="0" borderId="23" xfId="0" applyFont="1" applyFill="1" applyBorder="1" applyAlignment="1">
      <alignment horizontal="center" vertical="center"/>
    </xf>
    <xf numFmtId="0" fontId="28" fillId="0" borderId="37" xfId="0" applyFont="1" applyBorder="1" applyAlignment="1">
      <alignment horizontal="center" vertical="center"/>
    </xf>
    <xf numFmtId="0" fontId="28" fillId="0" borderId="23" xfId="0" applyFont="1" applyBorder="1" applyAlignment="1">
      <alignment horizontal="center" vertical="center"/>
    </xf>
    <xf numFmtId="0" fontId="45" fillId="0" borderId="37" xfId="0" applyFont="1" applyBorder="1" applyAlignment="1">
      <alignment horizontal="center"/>
    </xf>
    <xf numFmtId="0" fontId="45" fillId="0" borderId="38" xfId="0" applyFont="1" applyFill="1" applyBorder="1" applyAlignment="1">
      <alignment horizontal="center"/>
    </xf>
    <xf numFmtId="0" fontId="29" fillId="0" borderId="38" xfId="0" applyFont="1" applyFill="1" applyBorder="1" applyAlignment="1">
      <alignment horizontal="center"/>
    </xf>
    <xf numFmtId="0" fontId="29" fillId="0" borderId="36" xfId="0" applyFont="1" applyFill="1" applyBorder="1" applyAlignment="1">
      <alignment horizontal="center"/>
    </xf>
    <xf numFmtId="0" fontId="30" fillId="0" borderId="38" xfId="0" applyFont="1" applyBorder="1"/>
    <xf numFmtId="0" fontId="29" fillId="0" borderId="37" xfId="0" applyFont="1" applyFill="1" applyBorder="1" applyAlignment="1">
      <alignment horizontal="center"/>
    </xf>
    <xf numFmtId="0" fontId="29" fillId="0" borderId="38" xfId="0" applyFont="1" applyBorder="1"/>
    <xf numFmtId="0" fontId="30" fillId="0" borderId="38" xfId="0" applyFont="1" applyBorder="1" applyAlignment="1">
      <alignment horizontal="center"/>
    </xf>
    <xf numFmtId="165" fontId="30" fillId="0" borderId="23" xfId="0" applyNumberFormat="1" applyFont="1" applyBorder="1" applyAlignment="1">
      <alignment horizontal="center"/>
    </xf>
    <xf numFmtId="0" fontId="29" fillId="0" borderId="36" xfId="0" applyFont="1" applyBorder="1" applyAlignment="1">
      <alignment horizontal="center"/>
    </xf>
    <xf numFmtId="0" fontId="28" fillId="0" borderId="37" xfId="0" applyFont="1" applyFill="1" applyBorder="1" applyAlignment="1">
      <alignment horizontal="center" vertical="center"/>
    </xf>
    <xf numFmtId="0" fontId="30" fillId="0" borderId="37" xfId="0" applyFont="1" applyBorder="1" applyAlignment="1">
      <alignment horizontal="center"/>
    </xf>
    <xf numFmtId="2" fontId="47" fillId="0" borderId="36" xfId="0" applyNumberFormat="1" applyFont="1" applyFill="1" applyBorder="1" applyAlignment="1">
      <alignment horizontal="center"/>
    </xf>
    <xf numFmtId="0" fontId="30" fillId="0" borderId="36" xfId="0" applyFont="1" applyBorder="1" applyAlignment="1">
      <alignment horizontal="center"/>
    </xf>
    <xf numFmtId="2" fontId="30" fillId="0" borderId="36" xfId="0" applyNumberFormat="1" applyFont="1" applyBorder="1" applyAlignment="1">
      <alignment horizontal="center"/>
    </xf>
    <xf numFmtId="0" fontId="29" fillId="0" borderId="36" xfId="0" applyFont="1" applyBorder="1"/>
    <xf numFmtId="0" fontId="48" fillId="0" borderId="38" xfId="0" applyFont="1" applyFill="1" applyBorder="1" applyAlignment="1">
      <alignment horizontal="center"/>
    </xf>
    <xf numFmtId="0" fontId="25" fillId="0" borderId="36" xfId="0" applyFont="1" applyBorder="1"/>
    <xf numFmtId="2" fontId="29" fillId="0" borderId="38" xfId="0" applyNumberFormat="1" applyFont="1" applyFill="1" applyBorder="1" applyAlignment="1">
      <alignment horizontal="center"/>
    </xf>
    <xf numFmtId="2" fontId="30" fillId="0" borderId="38" xfId="0" applyNumberFormat="1" applyFont="1" applyBorder="1" applyAlignment="1">
      <alignment horizontal="center"/>
    </xf>
    <xf numFmtId="2" fontId="45" fillId="0" borderId="36" xfId="0" applyNumberFormat="1" applyFont="1" applyBorder="1" applyAlignment="1">
      <alignment horizontal="center"/>
    </xf>
    <xf numFmtId="2" fontId="60" fillId="6" borderId="8" xfId="0" applyNumberFormat="1" applyFont="1" applyFill="1" applyBorder="1" applyAlignment="1">
      <alignment horizontal="center"/>
    </xf>
    <xf numFmtId="2" fontId="60" fillId="5" borderId="8" xfId="0" applyNumberFormat="1" applyFont="1" applyFill="1" applyBorder="1" applyAlignment="1">
      <alignment horizontal="center"/>
    </xf>
    <xf numFmtId="2" fontId="60" fillId="5" borderId="36" xfId="0" applyNumberFormat="1" applyFont="1" applyFill="1" applyBorder="1" applyAlignment="1">
      <alignment horizontal="center"/>
    </xf>
    <xf numFmtId="0" fontId="47" fillId="0" borderId="0" xfId="0" applyFont="1"/>
    <xf numFmtId="0" fontId="29" fillId="0" borderId="9" xfId="0" applyNumberFormat="1" applyFont="1" applyFill="1" applyBorder="1" applyAlignment="1">
      <alignment horizontal="center"/>
    </xf>
    <xf numFmtId="2" fontId="47" fillId="0" borderId="0" xfId="0" applyNumberFormat="1" applyFont="1" applyFill="1" applyBorder="1" applyAlignment="1">
      <alignment horizontal="center"/>
    </xf>
    <xf numFmtId="2" fontId="29" fillId="0" borderId="10" xfId="0" applyNumberFormat="1" applyFont="1" applyFill="1" applyBorder="1" applyAlignment="1">
      <alignment horizontal="center"/>
    </xf>
    <xf numFmtId="0" fontId="29" fillId="0" borderId="0" xfId="0" applyFont="1" applyAlignment="1">
      <alignment horizontal="left"/>
    </xf>
    <xf numFmtId="2" fontId="24" fillId="0" borderId="23" xfId="0" applyNumberFormat="1" applyFont="1" applyBorder="1" applyAlignment="1">
      <alignment horizontal="center"/>
    </xf>
    <xf numFmtId="1" fontId="39" fillId="0" borderId="37" xfId="0" applyNumberFormat="1" applyFont="1" applyBorder="1" applyAlignment="1">
      <alignment horizontal="center" vertical="center"/>
    </xf>
    <xf numFmtId="2" fontId="35" fillId="0" borderId="36" xfId="0" applyNumberFormat="1" applyFont="1" applyBorder="1" applyAlignment="1">
      <alignment horizontal="center" vertical="center"/>
    </xf>
    <xf numFmtId="2" fontId="25" fillId="0" borderId="0" xfId="0" applyNumberFormat="1" applyFont="1" applyFill="1" applyAlignment="1">
      <alignment horizontal="center"/>
    </xf>
    <xf numFmtId="2" fontId="25" fillId="0" borderId="38" xfId="0" applyNumberFormat="1" applyFont="1" applyFill="1" applyBorder="1" applyAlignment="1">
      <alignment horizontal="center"/>
    </xf>
    <xf numFmtId="2" fontId="35" fillId="0" borderId="23" xfId="0" applyNumberFormat="1" applyFont="1" applyBorder="1" applyAlignment="1">
      <alignment horizontal="center" vertical="center"/>
    </xf>
    <xf numFmtId="1" fontId="39" fillId="0" borderId="38" xfId="0" applyNumberFormat="1" applyFont="1" applyFill="1" applyBorder="1" applyAlignment="1">
      <alignment horizontal="left" vertical="center"/>
    </xf>
    <xf numFmtId="2" fontId="35" fillId="12" borderId="23" xfId="0" applyNumberFormat="1" applyFont="1" applyFill="1" applyBorder="1" applyAlignment="1">
      <alignment horizontal="center" vertical="center"/>
    </xf>
    <xf numFmtId="2" fontId="35" fillId="12" borderId="36" xfId="0" applyNumberFormat="1" applyFont="1" applyFill="1" applyBorder="1" applyAlignment="1">
      <alignment horizontal="center" vertical="center"/>
    </xf>
    <xf numFmtId="0" fontId="25" fillId="12" borderId="38" xfId="0" applyFont="1" applyFill="1" applyBorder="1" applyAlignment="1">
      <alignment horizontal="center"/>
    </xf>
    <xf numFmtId="2" fontId="24" fillId="12" borderId="36" xfId="0" applyNumberFormat="1" applyFont="1" applyFill="1" applyBorder="1" applyAlignment="1">
      <alignment horizontal="center"/>
    </xf>
    <xf numFmtId="2" fontId="35" fillId="4" borderId="23" xfId="0" applyNumberFormat="1" applyFont="1" applyFill="1" applyBorder="1" applyAlignment="1">
      <alignment horizontal="center" vertical="center"/>
    </xf>
    <xf numFmtId="2" fontId="35" fillId="4" borderId="36" xfId="0" applyNumberFormat="1" applyFont="1" applyFill="1" applyBorder="1" applyAlignment="1">
      <alignment horizontal="center" vertical="center"/>
    </xf>
    <xf numFmtId="0" fontId="25" fillId="4" borderId="38" xfId="0" applyFont="1" applyFill="1" applyBorder="1" applyAlignment="1">
      <alignment horizontal="center"/>
    </xf>
    <xf numFmtId="1" fontId="38" fillId="0" borderId="24" xfId="0" applyNumberFormat="1" applyFont="1" applyBorder="1" applyAlignment="1">
      <alignment horizontal="center" vertical="center" wrapText="1"/>
    </xf>
    <xf numFmtId="0" fontId="35" fillId="0" borderId="24" xfId="0" applyFont="1" applyBorder="1" applyAlignment="1">
      <alignment horizontal="left" vertical="center"/>
    </xf>
    <xf numFmtId="2" fontId="25" fillId="0" borderId="24" xfId="0" applyNumberFormat="1" applyFont="1" applyBorder="1" applyAlignment="1">
      <alignment horizontal="center"/>
    </xf>
    <xf numFmtId="2" fontId="25" fillId="0" borderId="12" xfId="0" applyNumberFormat="1" applyFont="1" applyBorder="1" applyAlignment="1">
      <alignment horizontal="center"/>
    </xf>
    <xf numFmtId="49" fontId="47" fillId="10" borderId="4" xfId="0" applyNumberFormat="1" applyFont="1" applyFill="1" applyBorder="1" applyAlignment="1">
      <alignment horizontal="center"/>
    </xf>
    <xf numFmtId="49" fontId="47" fillId="10" borderId="11" xfId="0" applyNumberFormat="1" applyFont="1" applyFill="1" applyBorder="1" applyAlignment="1">
      <alignment horizontal="center"/>
    </xf>
    <xf numFmtId="49" fontId="47" fillId="10" borderId="5" xfId="0" applyNumberFormat="1" applyFont="1" applyFill="1" applyBorder="1" applyAlignment="1">
      <alignment horizontal="center"/>
    </xf>
    <xf numFmtId="0" fontId="47" fillId="10" borderId="11" xfId="3255" applyNumberFormat="1" applyFont="1" applyFill="1" applyBorder="1" applyAlignment="1">
      <alignment horizontal="center"/>
    </xf>
    <xf numFmtId="2" fontId="35" fillId="0" borderId="38" xfId="0" applyNumberFormat="1" applyFont="1" applyFill="1" applyBorder="1" applyAlignment="1">
      <alignment horizontal="center"/>
    </xf>
    <xf numFmtId="0" fontId="39" fillId="0" borderId="37" xfId="0" applyFont="1" applyBorder="1" applyAlignment="1">
      <alignment horizontal="center"/>
    </xf>
    <xf numFmtId="0" fontId="35" fillId="0" borderId="37" xfId="0" applyFont="1" applyFill="1" applyBorder="1" applyAlignment="1">
      <alignment horizontal="center" vertical="center"/>
    </xf>
    <xf numFmtId="0" fontId="24" fillId="0" borderId="36" xfId="0" applyFont="1" applyBorder="1"/>
    <xf numFmtId="0" fontId="25" fillId="0" borderId="36" xfId="0" applyFont="1" applyBorder="1" applyAlignment="1">
      <alignment horizontal="center"/>
    </xf>
    <xf numFmtId="2" fontId="46" fillId="0" borderId="36" xfId="0" applyNumberFormat="1" applyFont="1" applyBorder="1" applyAlignment="1">
      <alignment horizontal="center"/>
    </xf>
    <xf numFmtId="0" fontId="46" fillId="0" borderId="38" xfId="0" applyFont="1" applyFill="1" applyBorder="1" applyAlignment="1">
      <alignment horizontal="center"/>
    </xf>
    <xf numFmtId="2" fontId="24" fillId="0" borderId="38" xfId="0" applyNumberFormat="1" applyFont="1" applyFill="1" applyBorder="1" applyAlignment="1">
      <alignment horizontal="center"/>
    </xf>
    <xf numFmtId="0" fontId="38" fillId="0" borderId="38" xfId="0" applyFont="1" applyBorder="1" applyAlignment="1">
      <alignment horizontal="center"/>
    </xf>
    <xf numFmtId="0" fontId="35" fillId="0" borderId="36" xfId="0" applyFont="1" applyBorder="1" applyAlignment="1">
      <alignment horizontal="left" vertical="center"/>
    </xf>
    <xf numFmtId="0" fontId="24" fillId="0" borderId="36" xfId="0" applyFont="1" applyBorder="1" applyAlignment="1">
      <alignment horizontal="left"/>
    </xf>
    <xf numFmtId="0" fontId="16" fillId="0" borderId="37" xfId="0" applyFont="1" applyBorder="1" applyAlignment="1">
      <alignment horizontal="center"/>
    </xf>
    <xf numFmtId="0" fontId="16" fillId="0" borderId="38" xfId="0" applyFont="1" applyFill="1" applyBorder="1" applyAlignment="1">
      <alignment horizontal="center"/>
    </xf>
    <xf numFmtId="0" fontId="0" fillId="0" borderId="38" xfId="0" applyFont="1" applyFill="1" applyBorder="1"/>
    <xf numFmtId="164" fontId="1" fillId="0" borderId="38" xfId="0" applyNumberFormat="1" applyFont="1" applyFill="1" applyBorder="1" applyAlignment="1">
      <alignment horizontal="center"/>
    </xf>
    <xf numFmtId="0" fontId="0" fillId="0" borderId="38" xfId="0" applyFont="1" applyFill="1" applyBorder="1" applyAlignment="1">
      <alignment horizontal="center"/>
    </xf>
    <xf numFmtId="164" fontId="1" fillId="0" borderId="36" xfId="0" applyNumberFormat="1" applyFont="1" applyBorder="1" applyAlignment="1">
      <alignment horizontal="center"/>
    </xf>
    <xf numFmtId="2" fontId="7" fillId="0" borderId="38" xfId="0" applyNumberFormat="1" applyFont="1" applyFill="1" applyBorder="1" applyAlignment="1">
      <alignment horizontal="center"/>
    </xf>
    <xf numFmtId="2" fontId="27" fillId="7" borderId="36" xfId="0" applyNumberFormat="1" applyFont="1" applyFill="1" applyBorder="1" applyAlignment="1">
      <alignment horizontal="center"/>
    </xf>
    <xf numFmtId="0" fontId="14" fillId="0" borderId="37" xfId="0" applyFont="1" applyBorder="1"/>
    <xf numFmtId="0" fontId="7" fillId="0" borderId="38" xfId="0" applyFont="1" applyBorder="1" applyAlignment="1">
      <alignment horizontal="center" vertical="center"/>
    </xf>
    <xf numFmtId="0" fontId="7" fillId="0" borderId="38" xfId="0" applyFont="1" applyFill="1" applyBorder="1" applyAlignment="1">
      <alignment horizontal="center" vertical="center"/>
    </xf>
    <xf numFmtId="0" fontId="7" fillId="0" borderId="23" xfId="0" applyFont="1" applyFill="1" applyBorder="1" applyAlignment="1">
      <alignment horizontal="center" vertical="center"/>
    </xf>
    <xf numFmtId="0" fontId="7" fillId="0" borderId="37" xfId="0" applyFont="1" applyBorder="1" applyAlignment="1">
      <alignment horizontal="center" vertical="center"/>
    </xf>
    <xf numFmtId="0" fontId="7" fillId="0" borderId="23" xfId="0" applyFont="1" applyBorder="1" applyAlignment="1">
      <alignment horizontal="center" vertical="center"/>
    </xf>
    <xf numFmtId="2" fontId="16" fillId="0" borderId="36" xfId="0" applyNumberFormat="1" applyFont="1" applyBorder="1" applyAlignment="1">
      <alignment horizontal="center"/>
    </xf>
    <xf numFmtId="0" fontId="7" fillId="0" borderId="36" xfId="0" applyFont="1" applyFill="1" applyBorder="1" applyAlignment="1">
      <alignment horizontal="left" vertical="center"/>
    </xf>
    <xf numFmtId="2" fontId="1" fillId="0" borderId="38" xfId="0" applyNumberFormat="1" applyFont="1" applyBorder="1" applyAlignment="1">
      <alignment horizontal="center"/>
    </xf>
    <xf numFmtId="0" fontId="1" fillId="0" borderId="38" xfId="0" applyFont="1" applyFill="1" applyBorder="1" applyAlignment="1">
      <alignment horizontal="center"/>
    </xf>
    <xf numFmtId="2" fontId="1" fillId="0" borderId="36" xfId="0" applyNumberFormat="1" applyFont="1" applyBorder="1" applyAlignment="1">
      <alignment horizontal="center"/>
    </xf>
    <xf numFmtId="0" fontId="1" fillId="0" borderId="23" xfId="0" applyFont="1" applyFill="1" applyBorder="1" applyAlignment="1">
      <alignment horizontal="center"/>
    </xf>
    <xf numFmtId="165" fontId="25" fillId="0" borderId="38" xfId="0" applyNumberFormat="1" applyFont="1" applyFill="1" applyBorder="1" applyAlignment="1">
      <alignment horizontal="center"/>
    </xf>
    <xf numFmtId="0" fontId="24" fillId="0" borderId="36" xfId="0" applyFont="1" applyFill="1" applyBorder="1" applyAlignment="1">
      <alignment horizontal="center"/>
    </xf>
    <xf numFmtId="0" fontId="25" fillId="0" borderId="38" xfId="0" applyFont="1" applyBorder="1"/>
    <xf numFmtId="2" fontId="35" fillId="0" borderId="36" xfId="0" applyNumberFormat="1" applyFont="1" applyFill="1" applyBorder="1" applyAlignment="1" applyProtection="1">
      <alignment horizontal="center"/>
    </xf>
    <xf numFmtId="1" fontId="29" fillId="0" borderId="0" xfId="0" applyNumberFormat="1" applyFont="1" applyAlignment="1">
      <alignment horizontal="center"/>
    </xf>
    <xf numFmtId="0" fontId="47" fillId="10" borderId="1" xfId="0" applyFont="1" applyFill="1" applyBorder="1" applyAlignment="1">
      <alignment horizontal="center"/>
    </xf>
    <xf numFmtId="0" fontId="47" fillId="10" borderId="18" xfId="0" applyFont="1" applyFill="1" applyBorder="1" applyAlignment="1">
      <alignment horizontal="center"/>
    </xf>
    <xf numFmtId="0" fontId="47" fillId="10" borderId="27" xfId="0" applyFont="1" applyFill="1" applyBorder="1" applyAlignment="1">
      <alignment horizontal="center"/>
    </xf>
    <xf numFmtId="0" fontId="10" fillId="0" borderId="1" xfId="0" applyFont="1" applyBorder="1" applyAlignment="1">
      <alignment horizontal="left"/>
    </xf>
    <xf numFmtId="0" fontId="10" fillId="0" borderId="18" xfId="0" applyFont="1" applyBorder="1" applyAlignment="1">
      <alignment horizontal="left"/>
    </xf>
    <xf numFmtId="0" fontId="10" fillId="0" borderId="27" xfId="0" applyFont="1" applyBorder="1" applyAlignment="1">
      <alignment horizontal="left"/>
    </xf>
    <xf numFmtId="0" fontId="30" fillId="0" borderId="2" xfId="0" applyFont="1" applyBorder="1" applyAlignment="1">
      <alignment horizontal="left" vertical="center" wrapText="1"/>
    </xf>
    <xf numFmtId="0" fontId="30" fillId="0" borderId="3" xfId="0" applyFont="1" applyBorder="1" applyAlignment="1">
      <alignment horizontal="left" vertical="center" wrapText="1"/>
    </xf>
    <xf numFmtId="0" fontId="30" fillId="0" borderId="13" xfId="0" applyFont="1" applyBorder="1" applyAlignment="1">
      <alignment horizontal="left" vertical="center" wrapText="1"/>
    </xf>
    <xf numFmtId="0" fontId="30" fillId="0" borderId="9" xfId="0" applyFont="1" applyBorder="1" applyAlignment="1">
      <alignment horizontal="left" vertical="center" wrapText="1"/>
    </xf>
    <xf numFmtId="0" fontId="30" fillId="0" borderId="0" xfId="0" applyFont="1" applyBorder="1" applyAlignment="1">
      <alignment horizontal="left" vertical="center" wrapText="1"/>
    </xf>
    <xf numFmtId="0" fontId="30" fillId="0" borderId="14" xfId="0" applyFont="1" applyBorder="1" applyAlignment="1">
      <alignment horizontal="left" vertical="center" wrapText="1"/>
    </xf>
    <xf numFmtId="0" fontId="30" fillId="0" borderId="15" xfId="0" applyFont="1" applyBorder="1" applyAlignment="1">
      <alignment horizontal="left" vertical="center" wrapText="1"/>
    </xf>
    <xf numFmtId="0" fontId="30" fillId="0" borderId="16" xfId="0" applyFont="1" applyBorder="1" applyAlignment="1">
      <alignment horizontal="left" vertical="center" wrapText="1"/>
    </xf>
    <xf numFmtId="0" fontId="30" fillId="0" borderId="17" xfId="0" applyFont="1" applyBorder="1" applyAlignment="1">
      <alignment horizontal="left" vertical="center" wrapText="1"/>
    </xf>
    <xf numFmtId="0" fontId="30" fillId="2" borderId="2" xfId="0" applyFont="1" applyFill="1" applyBorder="1" applyAlignment="1">
      <alignment horizontal="left" vertical="center" wrapText="1"/>
    </xf>
    <xf numFmtId="0" fontId="32" fillId="2" borderId="3" xfId="0" applyFont="1" applyFill="1" applyBorder="1" applyAlignment="1">
      <alignment horizontal="left" vertical="center" wrapText="1"/>
    </xf>
    <xf numFmtId="0" fontId="32" fillId="2" borderId="13" xfId="0" applyFont="1" applyFill="1" applyBorder="1" applyAlignment="1">
      <alignment horizontal="left" vertical="center" wrapText="1"/>
    </xf>
    <xf numFmtId="0" fontId="32" fillId="2" borderId="9" xfId="0" applyFont="1" applyFill="1" applyBorder="1" applyAlignment="1">
      <alignment horizontal="left" vertical="center" wrapText="1"/>
    </xf>
    <xf numFmtId="0" fontId="32" fillId="2" borderId="0" xfId="0" applyFont="1" applyFill="1" applyBorder="1" applyAlignment="1">
      <alignment horizontal="left" vertical="center" wrapText="1"/>
    </xf>
    <xf numFmtId="0" fontId="32" fillId="2" borderId="14" xfId="0" applyFont="1" applyFill="1" applyBorder="1" applyAlignment="1">
      <alignment horizontal="left" vertical="center" wrapText="1"/>
    </xf>
    <xf numFmtId="0" fontId="32" fillId="2" borderId="15" xfId="0" applyFont="1" applyFill="1" applyBorder="1" applyAlignment="1">
      <alignment horizontal="left" vertical="center" wrapText="1"/>
    </xf>
    <xf numFmtId="0" fontId="32" fillId="2" borderId="16" xfId="0" applyFont="1" applyFill="1" applyBorder="1" applyAlignment="1">
      <alignment horizontal="left" vertical="center" wrapText="1"/>
    </xf>
    <xf numFmtId="0" fontId="32" fillId="2" borderId="17" xfId="0" applyFont="1" applyFill="1" applyBorder="1" applyAlignment="1">
      <alignment horizontal="left" vertical="center" wrapText="1"/>
    </xf>
    <xf numFmtId="0" fontId="32" fillId="2" borderId="1" xfId="0" applyFont="1" applyFill="1" applyBorder="1" applyAlignment="1">
      <alignment horizontal="center"/>
    </xf>
    <xf numFmtId="0" fontId="32" fillId="2" borderId="18" xfId="0" applyFont="1" applyFill="1" applyBorder="1" applyAlignment="1">
      <alignment horizontal="center"/>
    </xf>
    <xf numFmtId="0" fontId="32" fillId="2" borderId="19" xfId="0" applyFont="1" applyFill="1" applyBorder="1" applyAlignment="1">
      <alignment horizontal="center"/>
    </xf>
    <xf numFmtId="0" fontId="32" fillId="2" borderId="2" xfId="0" applyFont="1" applyFill="1" applyBorder="1" applyAlignment="1">
      <alignment horizontal="center"/>
    </xf>
    <xf numFmtId="0" fontId="32" fillId="2" borderId="13" xfId="0" applyFont="1" applyFill="1" applyBorder="1" applyAlignment="1">
      <alignment horizontal="center"/>
    </xf>
    <xf numFmtId="0" fontId="30" fillId="3" borderId="1" xfId="0" applyFont="1" applyFill="1" applyBorder="1" applyAlignment="1">
      <alignment horizontal="center"/>
    </xf>
    <xf numFmtId="0" fontId="30" fillId="3" borderId="18" xfId="0" applyFont="1" applyFill="1" applyBorder="1" applyAlignment="1">
      <alignment horizontal="center"/>
    </xf>
    <xf numFmtId="0" fontId="30" fillId="3" borderId="19" xfId="0" applyFont="1" applyFill="1" applyBorder="1" applyAlignment="1">
      <alignment horizontal="center"/>
    </xf>
    <xf numFmtId="0" fontId="0" fillId="0" borderId="0" xfId="0" applyAlignment="1">
      <alignment horizontal="left" vertical="top" wrapText="1"/>
    </xf>
    <xf numFmtId="0" fontId="0" fillId="0" borderId="34" xfId="0" applyBorder="1" applyAlignment="1">
      <alignment horizontal="center"/>
    </xf>
    <xf numFmtId="0" fontId="0" fillId="0" borderId="34" xfId="0" applyBorder="1" applyAlignment="1">
      <alignment horizontal="center" wrapText="1"/>
    </xf>
    <xf numFmtId="0" fontId="0" fillId="0" borderId="28" xfId="0" applyBorder="1" applyAlignment="1">
      <alignment horizontal="center"/>
    </xf>
    <xf numFmtId="0" fontId="0" fillId="0" borderId="35" xfId="0" applyBorder="1" applyAlignment="1">
      <alignment horizontal="center"/>
    </xf>
    <xf numFmtId="0" fontId="0" fillId="0" borderId="44" xfId="0" applyBorder="1" applyAlignment="1">
      <alignment horizontal="center"/>
    </xf>
    <xf numFmtId="0" fontId="0" fillId="0" borderId="30" xfId="0" applyBorder="1" applyAlignment="1">
      <alignment horizontal="center"/>
    </xf>
    <xf numFmtId="0" fontId="45" fillId="0" borderId="0" xfId="0" applyFont="1" applyAlignment="1">
      <alignment horizontal="left" vertical="center" wrapText="1"/>
    </xf>
    <xf numFmtId="1" fontId="38" fillId="0" borderId="1" xfId="0" applyNumberFormat="1" applyFont="1" applyBorder="1" applyAlignment="1">
      <alignment horizontal="center" vertical="center" wrapText="1"/>
    </xf>
    <xf numFmtId="1" fontId="38" fillId="0" borderId="27" xfId="0" applyNumberFormat="1" applyFont="1" applyBorder="1" applyAlignment="1">
      <alignment horizontal="center" vertical="center" wrapText="1"/>
    </xf>
  </cellXfs>
  <cellStyles count="3382">
    <cellStyle name="Comma 2" xfId="3381" xr:uid="{00000000-0005-0000-0000-0000610D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7"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Hyperlink" xfId="1651"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6" builtinId="8" hidden="1"/>
    <cellStyle name="Hyperlink" xfId="3258"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Normal" xfId="0" builtinId="0"/>
    <cellStyle name="Normal 2" xfId="1" xr:uid="{00000000-0005-0000-0000-00002F0D0000}"/>
    <cellStyle name="Normal 3" xfId="805" xr:uid="{00000000-0005-0000-0000-0000300D0000}"/>
    <cellStyle name="Normal 4" xfId="3380" xr:uid="{00000000-0005-0000-0000-0000620D0000}"/>
    <cellStyle name="Normal 5" xfId="804" xr:uid="{00000000-0005-0000-0000-0000310D0000}"/>
    <cellStyle name="Normal 6" xfId="806" xr:uid="{00000000-0005-0000-0000-0000320D0000}"/>
    <cellStyle name="Percent" xfId="325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P45"/>
  <sheetViews>
    <sheetView workbookViewId="0">
      <selection activeCell="T19" sqref="T19"/>
    </sheetView>
  </sheetViews>
  <sheetFormatPr defaultColWidth="10.625" defaultRowHeight="15.75"/>
  <cols>
    <col min="1" max="1" width="4.5" customWidth="1"/>
    <col min="2" max="2" width="19.375" bestFit="1" customWidth="1"/>
    <col min="3" max="3" width="3.625" customWidth="1"/>
    <col min="7" max="7" width="3.625" customWidth="1"/>
    <col min="10" max="10" width="3.625" customWidth="1"/>
    <col min="13" max="13" width="3.625" customWidth="1"/>
    <col min="14" max="14" width="10.625" customWidth="1"/>
    <col min="15" max="15" width="3.625" customWidth="1"/>
    <col min="16" max="16" width="10.625" customWidth="1"/>
    <col min="17" max="17" width="3.625" customWidth="1"/>
    <col min="18" max="18" width="54" customWidth="1"/>
    <col min="19" max="19" width="3.625" customWidth="1"/>
    <col min="20" max="20" width="24.25" customWidth="1"/>
    <col min="21" max="21" width="14.5" customWidth="1"/>
    <col min="22" max="22" width="7.625" customWidth="1"/>
    <col min="23" max="23" width="10.75" customWidth="1"/>
    <col min="24" max="41" width="7.625" style="687" customWidth="1"/>
    <col min="42" max="42" width="10.625" style="687"/>
  </cols>
  <sheetData>
    <row r="1" spans="1:42" ht="16.5" thickBot="1">
      <c r="A1" s="2"/>
      <c r="B1" s="978" t="s">
        <v>648</v>
      </c>
      <c r="C1" s="979"/>
      <c r="D1" s="979"/>
      <c r="E1" s="979"/>
      <c r="F1" s="979"/>
      <c r="G1" s="979"/>
      <c r="H1" s="979"/>
      <c r="I1" s="979"/>
      <c r="J1" s="979"/>
      <c r="K1" s="979"/>
      <c r="L1" s="979"/>
      <c r="M1" s="979"/>
      <c r="N1" s="979"/>
      <c r="O1" s="979"/>
      <c r="P1" s="979"/>
      <c r="Q1" s="979"/>
      <c r="R1" s="979"/>
      <c r="S1" s="979"/>
      <c r="T1" s="979"/>
      <c r="U1" s="980"/>
    </row>
    <row r="2" spans="1:42" ht="16.5" thickBot="1">
      <c r="A2" s="2"/>
      <c r="B2" s="2"/>
      <c r="C2" s="2"/>
      <c r="D2" s="2"/>
      <c r="E2" s="2"/>
      <c r="F2" s="2"/>
      <c r="G2" s="2"/>
      <c r="H2" s="2"/>
      <c r="I2" s="2"/>
      <c r="J2" s="2"/>
      <c r="K2" s="2"/>
      <c r="L2" s="2"/>
      <c r="M2" s="2"/>
      <c r="N2" s="2"/>
      <c r="O2" s="2"/>
      <c r="P2" s="2"/>
      <c r="Q2" s="2"/>
      <c r="R2" s="2"/>
      <c r="S2" s="2"/>
      <c r="T2" s="2"/>
      <c r="U2" s="2"/>
    </row>
    <row r="3" spans="1:42" s="109" customFormat="1" ht="12.75">
      <c r="A3" s="89"/>
      <c r="B3" s="990" t="s">
        <v>765</v>
      </c>
      <c r="C3" s="991"/>
      <c r="D3" s="991"/>
      <c r="E3" s="991"/>
      <c r="F3" s="991"/>
      <c r="G3" s="991"/>
      <c r="H3" s="991"/>
      <c r="I3" s="991"/>
      <c r="J3" s="991"/>
      <c r="K3" s="991"/>
      <c r="L3" s="991"/>
      <c r="M3" s="991"/>
      <c r="N3" s="991"/>
      <c r="O3" s="991"/>
      <c r="P3" s="991"/>
      <c r="Q3" s="991"/>
      <c r="R3" s="991"/>
      <c r="S3" s="991"/>
      <c r="T3" s="991"/>
      <c r="U3" s="992"/>
      <c r="X3" s="323"/>
      <c r="Y3" s="323"/>
      <c r="Z3" s="323"/>
      <c r="AA3" s="323"/>
      <c r="AB3" s="323"/>
      <c r="AC3" s="323"/>
      <c r="AD3" s="323"/>
      <c r="AE3" s="323"/>
      <c r="AF3" s="323"/>
      <c r="AG3" s="323"/>
      <c r="AH3" s="323"/>
      <c r="AI3" s="323"/>
      <c r="AJ3" s="323"/>
      <c r="AK3" s="323"/>
      <c r="AL3" s="323"/>
      <c r="AM3" s="323"/>
      <c r="AN3" s="323"/>
      <c r="AO3" s="323"/>
      <c r="AP3" s="323"/>
    </row>
    <row r="4" spans="1:42" s="109" customFormat="1" ht="12.75">
      <c r="A4" s="89"/>
      <c r="B4" s="993"/>
      <c r="C4" s="994"/>
      <c r="D4" s="994"/>
      <c r="E4" s="994"/>
      <c r="F4" s="994"/>
      <c r="G4" s="994"/>
      <c r="H4" s="994"/>
      <c r="I4" s="994"/>
      <c r="J4" s="994"/>
      <c r="K4" s="994"/>
      <c r="L4" s="994"/>
      <c r="M4" s="994"/>
      <c r="N4" s="994"/>
      <c r="O4" s="994"/>
      <c r="P4" s="994"/>
      <c r="Q4" s="994"/>
      <c r="R4" s="994"/>
      <c r="S4" s="994"/>
      <c r="T4" s="994"/>
      <c r="U4" s="995"/>
      <c r="X4" s="323"/>
      <c r="Y4" s="323"/>
      <c r="Z4" s="323"/>
      <c r="AA4" s="323"/>
      <c r="AB4" s="323"/>
      <c r="AC4" s="323"/>
      <c r="AD4" s="323"/>
      <c r="AE4" s="323"/>
      <c r="AF4" s="323"/>
      <c r="AG4" s="323"/>
      <c r="AH4" s="323"/>
      <c r="AI4" s="323"/>
      <c r="AJ4" s="323"/>
      <c r="AK4" s="323"/>
      <c r="AL4" s="323"/>
      <c r="AM4" s="323"/>
      <c r="AN4" s="323"/>
      <c r="AO4" s="323"/>
      <c r="AP4" s="323"/>
    </row>
    <row r="5" spans="1:42" s="109" customFormat="1" ht="12.75">
      <c r="A5" s="89"/>
      <c r="B5" s="993"/>
      <c r="C5" s="994"/>
      <c r="D5" s="994"/>
      <c r="E5" s="994"/>
      <c r="F5" s="994"/>
      <c r="G5" s="994"/>
      <c r="H5" s="994"/>
      <c r="I5" s="994"/>
      <c r="J5" s="994"/>
      <c r="K5" s="994"/>
      <c r="L5" s="994"/>
      <c r="M5" s="994"/>
      <c r="N5" s="994"/>
      <c r="O5" s="994"/>
      <c r="P5" s="994"/>
      <c r="Q5" s="994"/>
      <c r="R5" s="994"/>
      <c r="S5" s="994"/>
      <c r="T5" s="994"/>
      <c r="U5" s="995"/>
      <c r="X5" s="323"/>
      <c r="Y5" s="323"/>
      <c r="Z5" s="323"/>
      <c r="AA5" s="323"/>
      <c r="AB5" s="323"/>
      <c r="AC5" s="323"/>
      <c r="AD5" s="323"/>
      <c r="AE5" s="323"/>
      <c r="AF5" s="323"/>
      <c r="AG5" s="323"/>
      <c r="AH5" s="323"/>
      <c r="AI5" s="323"/>
      <c r="AJ5" s="323"/>
      <c r="AK5" s="323"/>
      <c r="AL5" s="323"/>
      <c r="AM5" s="323"/>
      <c r="AN5" s="323"/>
      <c r="AO5" s="323"/>
      <c r="AP5" s="323"/>
    </row>
    <row r="6" spans="1:42" s="109" customFormat="1" ht="13.5" thickBot="1">
      <c r="A6" s="89"/>
      <c r="B6" s="996"/>
      <c r="C6" s="997"/>
      <c r="D6" s="997"/>
      <c r="E6" s="997"/>
      <c r="F6" s="997"/>
      <c r="G6" s="997"/>
      <c r="H6" s="997"/>
      <c r="I6" s="997"/>
      <c r="J6" s="997"/>
      <c r="K6" s="997"/>
      <c r="L6" s="997"/>
      <c r="M6" s="997"/>
      <c r="N6" s="997"/>
      <c r="O6" s="997"/>
      <c r="P6" s="997"/>
      <c r="Q6" s="997"/>
      <c r="R6" s="997"/>
      <c r="S6" s="997"/>
      <c r="T6" s="997"/>
      <c r="U6" s="998"/>
      <c r="X6" s="323"/>
      <c r="Y6" s="323"/>
      <c r="Z6" s="323"/>
      <c r="AA6" s="323"/>
      <c r="AB6" s="323"/>
      <c r="AC6" s="323"/>
      <c r="AD6" s="323"/>
      <c r="AE6" s="323"/>
      <c r="AF6" s="323"/>
      <c r="AG6" s="323"/>
      <c r="AH6" s="323"/>
      <c r="AI6" s="323"/>
      <c r="AJ6" s="323"/>
      <c r="AK6" s="323"/>
      <c r="AL6" s="323"/>
      <c r="AM6" s="323"/>
      <c r="AN6" s="323"/>
      <c r="AO6" s="323"/>
      <c r="AP6" s="323"/>
    </row>
    <row r="7" spans="1:42" s="109" customFormat="1" ht="13.5" thickBot="1">
      <c r="A7" s="89"/>
      <c r="B7" s="110"/>
      <c r="C7" s="110"/>
      <c r="D7" s="110"/>
      <c r="E7" s="110"/>
      <c r="F7" s="110"/>
      <c r="G7" s="110"/>
      <c r="H7" s="110"/>
      <c r="I7" s="110"/>
      <c r="J7" s="110"/>
      <c r="K7" s="110"/>
      <c r="L7" s="110"/>
      <c r="M7" s="110"/>
      <c r="N7" s="110"/>
      <c r="O7" s="110"/>
      <c r="P7" s="110"/>
      <c r="Q7" s="110"/>
      <c r="R7" s="110"/>
      <c r="S7" s="110"/>
      <c r="T7" s="110"/>
      <c r="U7" s="110"/>
      <c r="X7" s="323"/>
      <c r="Y7" s="323"/>
      <c r="Z7" s="323"/>
      <c r="AA7" s="323"/>
      <c r="AB7" s="323"/>
      <c r="AC7" s="323"/>
      <c r="AD7" s="323"/>
      <c r="AE7" s="323"/>
      <c r="AF7" s="323"/>
      <c r="AG7" s="323"/>
      <c r="AH7" s="323"/>
      <c r="AI7" s="323"/>
      <c r="AJ7" s="323"/>
      <c r="AK7" s="323"/>
      <c r="AL7" s="323"/>
      <c r="AM7" s="323"/>
      <c r="AN7" s="323"/>
      <c r="AO7" s="323"/>
      <c r="AP7" s="323"/>
    </row>
    <row r="8" spans="1:42" s="109" customFormat="1" ht="14.25" customHeight="1" thickBot="1">
      <c r="A8" s="89"/>
      <c r="B8" s="111"/>
      <c r="C8" s="112"/>
      <c r="D8" s="999" t="s">
        <v>17</v>
      </c>
      <c r="E8" s="1000"/>
      <c r="F8" s="1001"/>
      <c r="G8" s="112"/>
      <c r="H8" s="1002" t="s">
        <v>627</v>
      </c>
      <c r="I8" s="1003"/>
      <c r="J8" s="94"/>
      <c r="K8" s="999" t="s">
        <v>764</v>
      </c>
      <c r="L8" s="1001"/>
      <c r="M8" s="94"/>
      <c r="N8" s="856" t="s">
        <v>775</v>
      </c>
      <c r="O8" s="112"/>
      <c r="P8" s="112"/>
      <c r="Q8" s="89"/>
      <c r="R8" s="112"/>
      <c r="S8" s="112"/>
      <c r="T8" s="89"/>
      <c r="V8" s="975" t="s">
        <v>692</v>
      </c>
      <c r="W8" s="976"/>
      <c r="X8" s="976"/>
      <c r="Y8" s="976"/>
      <c r="Z8" s="976"/>
      <c r="AA8" s="977"/>
      <c r="AB8" s="975" t="s">
        <v>693</v>
      </c>
      <c r="AC8" s="976"/>
      <c r="AD8" s="976"/>
      <c r="AE8" s="976"/>
      <c r="AF8" s="976"/>
      <c r="AG8" s="977"/>
      <c r="AH8" s="975" t="s">
        <v>694</v>
      </c>
      <c r="AI8" s="976"/>
      <c r="AJ8" s="976"/>
      <c r="AK8" s="976"/>
      <c r="AL8" s="976"/>
      <c r="AM8" s="977"/>
      <c r="AN8" s="323"/>
    </row>
    <row r="9" spans="1:42" s="109" customFormat="1" ht="13.5" thickBot="1">
      <c r="A9" s="89"/>
      <c r="B9" s="113" t="s">
        <v>18</v>
      </c>
      <c r="C9" s="111"/>
      <c r="D9" s="114" t="s">
        <v>601</v>
      </c>
      <c r="E9" s="115" t="s">
        <v>20</v>
      </c>
      <c r="F9" s="116" t="s">
        <v>21</v>
      </c>
      <c r="G9" s="111"/>
      <c r="H9" s="114" t="s">
        <v>22</v>
      </c>
      <c r="I9" s="116" t="s">
        <v>23</v>
      </c>
      <c r="J9" s="117"/>
      <c r="K9" s="114" t="s">
        <v>22</v>
      </c>
      <c r="L9" s="116" t="s">
        <v>23</v>
      </c>
      <c r="M9" s="117"/>
      <c r="N9" s="857" t="s">
        <v>777</v>
      </c>
      <c r="O9" s="112"/>
      <c r="P9" s="118" t="s">
        <v>24</v>
      </c>
      <c r="Q9" s="112"/>
      <c r="R9" s="119" t="s">
        <v>15</v>
      </c>
      <c r="S9" s="112"/>
      <c r="T9" s="119" t="s">
        <v>25</v>
      </c>
      <c r="V9" s="935" t="s">
        <v>607</v>
      </c>
      <c r="W9" s="936" t="s">
        <v>605</v>
      </c>
      <c r="X9" s="938">
        <v>5</v>
      </c>
      <c r="Y9" s="936" t="s">
        <v>602</v>
      </c>
      <c r="Z9" s="938">
        <v>95</v>
      </c>
      <c r="AA9" s="937" t="s">
        <v>606</v>
      </c>
      <c r="AB9" s="935" t="s">
        <v>607</v>
      </c>
      <c r="AC9" s="936" t="s">
        <v>605</v>
      </c>
      <c r="AD9" s="938">
        <v>5</v>
      </c>
      <c r="AE9" s="936" t="s">
        <v>602</v>
      </c>
      <c r="AF9" s="938">
        <v>95</v>
      </c>
      <c r="AG9" s="937" t="s">
        <v>606</v>
      </c>
      <c r="AH9" s="935" t="s">
        <v>607</v>
      </c>
      <c r="AI9" s="936" t="s">
        <v>605</v>
      </c>
      <c r="AJ9" s="938">
        <v>5</v>
      </c>
      <c r="AK9" s="936" t="s">
        <v>602</v>
      </c>
      <c r="AL9" s="938">
        <v>95</v>
      </c>
      <c r="AM9" s="937" t="s">
        <v>606</v>
      </c>
      <c r="AN9" s="323"/>
    </row>
    <row r="10" spans="1:42" s="109" customFormat="1" ht="12.75">
      <c r="A10" s="94"/>
      <c r="B10" s="120" t="s">
        <v>374</v>
      </c>
      <c r="C10" s="89"/>
      <c r="D10" s="691" t="s">
        <v>28</v>
      </c>
      <c r="E10" s="692" t="s">
        <v>449</v>
      </c>
      <c r="F10" s="693" t="s">
        <v>28</v>
      </c>
      <c r="G10" s="89"/>
      <c r="H10" s="87">
        <v>36.32</v>
      </c>
      <c r="I10" s="88">
        <v>-120.38</v>
      </c>
      <c r="J10" s="89"/>
      <c r="K10" s="81">
        <v>42.03420242</v>
      </c>
      <c r="L10" s="82">
        <v>-93.716959395800004</v>
      </c>
      <c r="M10" s="89"/>
      <c r="N10" s="858">
        <v>-1.7411633443832399</v>
      </c>
      <c r="O10" s="855"/>
      <c r="P10" s="121" t="s">
        <v>190</v>
      </c>
      <c r="Q10" s="89"/>
      <c r="R10" s="122" t="s">
        <v>81</v>
      </c>
      <c r="S10" s="89"/>
      <c r="T10" s="123" t="s">
        <v>58</v>
      </c>
      <c r="V10" s="685"/>
      <c r="W10" s="769"/>
      <c r="X10" s="769"/>
      <c r="Y10" s="769"/>
      <c r="Z10" s="769"/>
      <c r="AA10" s="770"/>
      <c r="AB10" s="685">
        <v>6</v>
      </c>
      <c r="AC10" s="769">
        <v>22.381616000000001</v>
      </c>
      <c r="AD10" s="769">
        <v>22.406013000000002</v>
      </c>
      <c r="AE10" s="778">
        <v>23.132913666666667</v>
      </c>
      <c r="AF10" s="769">
        <v>23.828401000000003</v>
      </c>
      <c r="AG10" s="770">
        <v>23.902321000000004</v>
      </c>
      <c r="AH10" s="779"/>
      <c r="AI10" s="769"/>
      <c r="AJ10" s="769"/>
      <c r="AK10" s="778"/>
      <c r="AL10" s="769"/>
      <c r="AM10" s="770"/>
      <c r="AN10" s="323"/>
    </row>
    <row r="11" spans="1:42" s="109" customFormat="1" ht="12.75">
      <c r="A11" s="94"/>
      <c r="B11" s="124" t="s">
        <v>369</v>
      </c>
      <c r="C11" s="89"/>
      <c r="D11" s="694" t="s">
        <v>28</v>
      </c>
      <c r="E11" s="695" t="s">
        <v>449</v>
      </c>
      <c r="F11" s="696" t="s">
        <v>449</v>
      </c>
      <c r="G11" s="89"/>
      <c r="H11" s="90">
        <v>36.590000000000003</v>
      </c>
      <c r="I11" s="91">
        <v>-120.64</v>
      </c>
      <c r="J11" s="89"/>
      <c r="K11" s="85">
        <v>38.940311182199999</v>
      </c>
      <c r="L11" s="86">
        <v>-107.208229399</v>
      </c>
      <c r="M11" s="89"/>
      <c r="N11" s="316">
        <v>-1.7411633443832399</v>
      </c>
      <c r="O11" s="855"/>
      <c r="P11" s="125" t="s">
        <v>190</v>
      </c>
      <c r="Q11" s="89"/>
      <c r="R11" s="122" t="s">
        <v>81</v>
      </c>
      <c r="S11" s="89"/>
      <c r="T11" s="123" t="s">
        <v>58</v>
      </c>
      <c r="V11" s="686"/>
      <c r="W11" s="303"/>
      <c r="X11" s="303"/>
      <c r="Y11" s="303"/>
      <c r="Z11" s="303"/>
      <c r="AA11" s="86"/>
      <c r="AB11" s="686">
        <v>44</v>
      </c>
      <c r="AC11" s="303">
        <v>19.243662904532464</v>
      </c>
      <c r="AD11" s="303">
        <v>19.415171966060857</v>
      </c>
      <c r="AE11" s="774">
        <v>21.485089094378949</v>
      </c>
      <c r="AF11" s="303">
        <v>23.03607702397111</v>
      </c>
      <c r="AG11" s="86">
        <v>23.600914442742376</v>
      </c>
      <c r="AH11" s="832">
        <v>6</v>
      </c>
      <c r="AI11" s="303">
        <v>17.026160323467284</v>
      </c>
      <c r="AJ11" s="303">
        <v>17.461751203783304</v>
      </c>
      <c r="AK11" s="774">
        <v>19.057867280612022</v>
      </c>
      <c r="AL11" s="303">
        <v>20.235604203619751</v>
      </c>
      <c r="AM11" s="86">
        <v>20.39134064805511</v>
      </c>
      <c r="AN11" s="323"/>
    </row>
    <row r="12" spans="1:42" s="109" customFormat="1" ht="12.75">
      <c r="A12" s="94"/>
      <c r="B12" s="124" t="s">
        <v>26</v>
      </c>
      <c r="C12" s="89"/>
      <c r="D12" s="697" t="s">
        <v>27</v>
      </c>
      <c r="E12" s="698" t="s">
        <v>27</v>
      </c>
      <c r="F12" s="699" t="s">
        <v>28</v>
      </c>
      <c r="G12" s="89"/>
      <c r="H12" s="90">
        <v>39.659999999999997</v>
      </c>
      <c r="I12" s="91">
        <v>-75.040000000000006</v>
      </c>
      <c r="J12" s="94"/>
      <c r="K12" s="85">
        <v>34.407473309300002</v>
      </c>
      <c r="L12" s="86">
        <v>-49.027804683500001</v>
      </c>
      <c r="M12" s="94"/>
      <c r="N12" s="316">
        <v>-1.0783713352680211</v>
      </c>
      <c r="O12" s="855"/>
      <c r="P12" s="125" t="s">
        <v>190</v>
      </c>
      <c r="Q12" s="89"/>
      <c r="R12" s="122" t="s">
        <v>413</v>
      </c>
      <c r="S12" s="89"/>
      <c r="T12" s="123" t="s">
        <v>58</v>
      </c>
      <c r="V12" s="686">
        <v>1</v>
      </c>
      <c r="W12" s="303"/>
      <c r="X12" s="303"/>
      <c r="Y12" s="774">
        <v>18.781765344087276</v>
      </c>
      <c r="Z12" s="303"/>
      <c r="AA12" s="86"/>
      <c r="AB12" s="686">
        <v>30</v>
      </c>
      <c r="AC12" s="303">
        <v>25.998383220371874</v>
      </c>
      <c r="AD12" s="303">
        <v>26.334490062068543</v>
      </c>
      <c r="AE12" s="774">
        <v>28.514277491945695</v>
      </c>
      <c r="AF12" s="303">
        <v>30.639505285394449</v>
      </c>
      <c r="AG12" s="86">
        <v>31.669587627585329</v>
      </c>
      <c r="AH12" s="832">
        <v>1</v>
      </c>
      <c r="AI12" s="303"/>
      <c r="AJ12" s="303"/>
      <c r="AK12" s="774">
        <v>23.565438572142519</v>
      </c>
      <c r="AL12" s="303"/>
      <c r="AM12" s="86"/>
      <c r="AN12" s="323"/>
    </row>
    <row r="13" spans="1:42" s="109" customFormat="1" ht="12.75">
      <c r="A13" s="94"/>
      <c r="B13" s="124" t="s">
        <v>29</v>
      </c>
      <c r="C13" s="89"/>
      <c r="D13" s="697" t="s">
        <v>27</v>
      </c>
      <c r="E13" s="698" t="s">
        <v>27</v>
      </c>
      <c r="F13" s="699" t="s">
        <v>28</v>
      </c>
      <c r="G13" s="89"/>
      <c r="H13" s="90">
        <v>39.61</v>
      </c>
      <c r="I13" s="91">
        <v>-74.44</v>
      </c>
      <c r="J13" s="94"/>
      <c r="K13" s="85">
        <v>34.2281028377</v>
      </c>
      <c r="L13" s="86">
        <v>-48.508671471500001</v>
      </c>
      <c r="M13" s="94"/>
      <c r="N13" s="316">
        <v>-1.0783713352680211</v>
      </c>
      <c r="O13" s="855"/>
      <c r="P13" s="125" t="s">
        <v>190</v>
      </c>
      <c r="Q13" s="89"/>
      <c r="R13" s="122" t="s">
        <v>414</v>
      </c>
      <c r="S13" s="89"/>
      <c r="T13" s="123" t="s">
        <v>58</v>
      </c>
      <c r="V13" s="686">
        <v>64</v>
      </c>
      <c r="W13" s="303">
        <v>16.53357562046029</v>
      </c>
      <c r="X13" s="303">
        <v>17.927606329302677</v>
      </c>
      <c r="Y13" s="774">
        <v>22.482696814677475</v>
      </c>
      <c r="Z13" s="303">
        <v>26.42821138587961</v>
      </c>
      <c r="AA13" s="86">
        <v>27.591128024690427</v>
      </c>
      <c r="AB13" s="686">
        <v>67</v>
      </c>
      <c r="AC13" s="303">
        <v>23.793336816900002</v>
      </c>
      <c r="AD13" s="303">
        <v>24.429657787544777</v>
      </c>
      <c r="AE13" s="774">
        <v>27.597344595722646</v>
      </c>
      <c r="AF13" s="303">
        <v>31.473711399999999</v>
      </c>
      <c r="AG13" s="86">
        <v>33.852152477521003</v>
      </c>
      <c r="AH13" s="832"/>
      <c r="AI13" s="303"/>
      <c r="AJ13" s="303"/>
      <c r="AK13" s="774"/>
      <c r="AL13" s="303"/>
      <c r="AM13" s="86"/>
      <c r="AN13" s="323"/>
    </row>
    <row r="14" spans="1:42" s="109" customFormat="1" ht="12.75">
      <c r="A14" s="94"/>
      <c r="B14" s="124" t="s">
        <v>152</v>
      </c>
      <c r="C14" s="89"/>
      <c r="D14" s="697" t="s">
        <v>27</v>
      </c>
      <c r="E14" s="698" t="s">
        <v>27</v>
      </c>
      <c r="F14" s="699" t="s">
        <v>28</v>
      </c>
      <c r="G14" s="89"/>
      <c r="H14" s="95">
        <v>39.24</v>
      </c>
      <c r="I14" s="96">
        <v>-75.05</v>
      </c>
      <c r="J14" s="89"/>
      <c r="K14" s="83">
        <v>34.007030051400001</v>
      </c>
      <c r="L14" s="84">
        <v>-49.181255661500003</v>
      </c>
      <c r="M14" s="89"/>
      <c r="N14" s="316">
        <v>-1.0783713352680211</v>
      </c>
      <c r="O14" s="855"/>
      <c r="P14" s="125" t="s">
        <v>190</v>
      </c>
      <c r="Q14" s="89"/>
      <c r="R14" s="122" t="s">
        <v>412</v>
      </c>
      <c r="S14" s="89"/>
      <c r="T14" s="123" t="s">
        <v>58</v>
      </c>
      <c r="V14" s="686">
        <v>12</v>
      </c>
      <c r="W14" s="303">
        <v>20.444976</v>
      </c>
      <c r="X14" s="303">
        <v>20.63023415</v>
      </c>
      <c r="Y14" s="774">
        <v>23.404737349719497</v>
      </c>
      <c r="Z14" s="303">
        <v>25.821874701274048</v>
      </c>
      <c r="AA14" s="86">
        <v>27.018379780608999</v>
      </c>
      <c r="AB14" s="686">
        <v>56</v>
      </c>
      <c r="AC14" s="303">
        <v>24.747869106564</v>
      </c>
      <c r="AD14" s="303">
        <v>25.29138783537725</v>
      </c>
      <c r="AE14" s="774">
        <v>28.05557083662621</v>
      </c>
      <c r="AF14" s="303">
        <v>31.675143509055999</v>
      </c>
      <c r="AG14" s="86">
        <v>35.351364000000004</v>
      </c>
      <c r="AH14" s="832"/>
      <c r="AI14" s="303"/>
      <c r="AJ14" s="303"/>
      <c r="AK14" s="774"/>
      <c r="AL14" s="303"/>
      <c r="AM14" s="86"/>
      <c r="AN14" s="323"/>
    </row>
    <row r="15" spans="1:42" s="109" customFormat="1" ht="12.75">
      <c r="A15" s="94"/>
      <c r="B15" s="126" t="s">
        <v>93</v>
      </c>
      <c r="C15" s="89"/>
      <c r="D15" s="697" t="s">
        <v>27</v>
      </c>
      <c r="E15" s="698" t="s">
        <v>27</v>
      </c>
      <c r="F15" s="699" t="s">
        <v>27</v>
      </c>
      <c r="G15" s="89"/>
      <c r="H15" s="92">
        <v>18.548999999999999</v>
      </c>
      <c r="I15" s="93">
        <v>-179.64699999999999</v>
      </c>
      <c r="J15" s="89"/>
      <c r="K15" s="85">
        <v>13.663319829000001</v>
      </c>
      <c r="L15" s="86">
        <v>-143.438759742</v>
      </c>
      <c r="M15" s="89"/>
      <c r="N15" s="316">
        <v>-0.99866325974464398</v>
      </c>
      <c r="O15" s="855"/>
      <c r="P15" s="127">
        <v>1500</v>
      </c>
      <c r="Q15" s="89"/>
      <c r="R15" s="122" t="s">
        <v>415</v>
      </c>
      <c r="S15" s="89"/>
      <c r="T15" s="123" t="s">
        <v>807</v>
      </c>
      <c r="V15" s="689">
        <v>7</v>
      </c>
      <c r="W15" s="771">
        <v>27.348591811671668</v>
      </c>
      <c r="X15" s="771">
        <v>27.592046745355827</v>
      </c>
      <c r="Y15" s="772">
        <v>29.508446703651153</v>
      </c>
      <c r="Z15" s="771">
        <v>30.886368361166532</v>
      </c>
      <c r="AA15" s="773">
        <v>30.932996261232311</v>
      </c>
      <c r="AB15" s="689">
        <v>48</v>
      </c>
      <c r="AC15" s="771">
        <v>22.771796249391969</v>
      </c>
      <c r="AD15" s="771">
        <v>23.690734295203168</v>
      </c>
      <c r="AE15" s="772">
        <v>30.8177504505766</v>
      </c>
      <c r="AF15" s="771">
        <v>32.758273486012627</v>
      </c>
      <c r="AG15" s="773">
        <v>32.863241041714367</v>
      </c>
      <c r="AH15" s="833">
        <v>8</v>
      </c>
      <c r="AI15" s="771">
        <v>22.771796249391969</v>
      </c>
      <c r="AJ15" s="771">
        <v>22.960518544117804</v>
      </c>
      <c r="AK15" s="772">
        <v>25.9076843512279</v>
      </c>
      <c r="AL15" s="771">
        <v>27.970775340344776</v>
      </c>
      <c r="AM15" s="773">
        <v>28.414652146539858</v>
      </c>
      <c r="AN15" s="323"/>
    </row>
    <row r="16" spans="1:42" s="109" customFormat="1" ht="12.75">
      <c r="A16" s="94"/>
      <c r="B16" s="128" t="s">
        <v>439</v>
      </c>
      <c r="C16" s="89"/>
      <c r="D16" s="697" t="s">
        <v>27</v>
      </c>
      <c r="E16" s="698" t="s">
        <v>28</v>
      </c>
      <c r="F16" s="699" t="s">
        <v>28</v>
      </c>
      <c r="G16" s="89"/>
      <c r="H16" s="92">
        <v>6.8</v>
      </c>
      <c r="I16" s="93">
        <v>3.63</v>
      </c>
      <c r="J16" s="89"/>
      <c r="K16" s="85">
        <v>-6.8817274092199998</v>
      </c>
      <c r="L16" s="86">
        <v>3.6255988509099999</v>
      </c>
      <c r="M16" s="89"/>
      <c r="N16" s="316">
        <v>-0.84352856397628806</v>
      </c>
      <c r="O16" s="855"/>
      <c r="P16" s="129" t="s">
        <v>190</v>
      </c>
      <c r="Q16" s="89"/>
      <c r="R16" s="122" t="s">
        <v>407</v>
      </c>
      <c r="S16" s="89"/>
      <c r="T16" s="123" t="s">
        <v>58</v>
      </c>
      <c r="V16" s="686">
        <v>2</v>
      </c>
      <c r="W16" s="303">
        <v>28.04111013559006</v>
      </c>
      <c r="X16" s="303">
        <v>28.15073148569931</v>
      </c>
      <c r="Y16" s="774">
        <v>29.137323636682581</v>
      </c>
      <c r="Z16" s="303">
        <v>30.123915787665851</v>
      </c>
      <c r="AA16" s="86">
        <v>30.233537137775102</v>
      </c>
      <c r="AB16" s="686"/>
      <c r="AC16" s="303"/>
      <c r="AD16" s="303"/>
      <c r="AE16" s="774"/>
      <c r="AF16" s="303"/>
      <c r="AG16" s="86"/>
      <c r="AH16" s="832"/>
      <c r="AI16" s="303"/>
      <c r="AJ16" s="303"/>
      <c r="AK16" s="774"/>
      <c r="AL16" s="303"/>
      <c r="AM16" s="86"/>
      <c r="AN16" s="323"/>
    </row>
    <row r="17" spans="1:42" s="109" customFormat="1" ht="12.75">
      <c r="A17" s="94"/>
      <c r="B17" s="124" t="s">
        <v>325</v>
      </c>
      <c r="C17" s="89"/>
      <c r="D17" s="697" t="s">
        <v>28</v>
      </c>
      <c r="E17" s="698" t="s">
        <v>28</v>
      </c>
      <c r="F17" s="699" t="s">
        <v>27</v>
      </c>
      <c r="G17" s="89"/>
      <c r="H17" s="90">
        <v>-8.85</v>
      </c>
      <c r="I17" s="91">
        <v>39.630000000000003</v>
      </c>
      <c r="J17" s="89"/>
      <c r="K17" s="85">
        <v>-23.493405668099999</v>
      </c>
      <c r="L17" s="86">
        <v>40.560350490499999</v>
      </c>
      <c r="M17" s="89"/>
      <c r="N17" s="316">
        <v>-0.681550056934357</v>
      </c>
      <c r="O17" s="855"/>
      <c r="P17" s="125">
        <v>500</v>
      </c>
      <c r="Q17" s="89"/>
      <c r="R17" s="122" t="s">
        <v>341</v>
      </c>
      <c r="S17" s="89"/>
      <c r="T17" s="123" t="s">
        <v>58</v>
      </c>
      <c r="V17" s="686"/>
      <c r="W17" s="303"/>
      <c r="X17" s="303"/>
      <c r="Y17" s="774"/>
      <c r="Z17" s="303"/>
      <c r="AA17" s="86"/>
      <c r="AB17" s="686"/>
      <c r="AC17" s="303"/>
      <c r="AD17" s="303"/>
      <c r="AE17" s="774"/>
      <c r="AF17" s="303"/>
      <c r="AG17" s="86"/>
      <c r="AH17" s="832">
        <v>16</v>
      </c>
      <c r="AI17" s="303">
        <v>28.254610426445012</v>
      </c>
      <c r="AJ17" s="303">
        <v>28.273698567656577</v>
      </c>
      <c r="AK17" s="774">
        <v>29.627541734198495</v>
      </c>
      <c r="AL17" s="303">
        <v>30.961889268044214</v>
      </c>
      <c r="AM17" s="86">
        <v>30.977443551013469</v>
      </c>
      <c r="AN17" s="323"/>
    </row>
    <row r="18" spans="1:42" s="109" customFormat="1" ht="12.75">
      <c r="A18" s="94"/>
      <c r="B18" s="124" t="s">
        <v>340</v>
      </c>
      <c r="C18" s="89"/>
      <c r="D18" s="697" t="s">
        <v>27</v>
      </c>
      <c r="E18" s="698" t="s">
        <v>27</v>
      </c>
      <c r="F18" s="699" t="s">
        <v>28</v>
      </c>
      <c r="G18" s="89"/>
      <c r="H18" s="90">
        <v>-9.2799999999999994</v>
      </c>
      <c r="I18" s="91">
        <v>39.51</v>
      </c>
      <c r="J18" s="89"/>
      <c r="K18" s="85">
        <v>-23.929515996599999</v>
      </c>
      <c r="L18" s="86">
        <v>40.458182558799997</v>
      </c>
      <c r="M18" s="89"/>
      <c r="N18" s="316">
        <v>-0.681550056934357</v>
      </c>
      <c r="O18" s="855"/>
      <c r="P18" s="125">
        <v>500</v>
      </c>
      <c r="Q18" s="89"/>
      <c r="R18" s="122" t="s">
        <v>356</v>
      </c>
      <c r="S18" s="89"/>
      <c r="T18" s="123" t="s">
        <v>58</v>
      </c>
      <c r="V18" s="686">
        <v>54</v>
      </c>
      <c r="W18" s="303">
        <v>24.248100000000001</v>
      </c>
      <c r="X18" s="303">
        <v>25.687528350000001</v>
      </c>
      <c r="Y18" s="774">
        <v>28.987173203703716</v>
      </c>
      <c r="Z18" s="303">
        <v>32.099311</v>
      </c>
      <c r="AA18" s="86">
        <v>33.126624</v>
      </c>
      <c r="AB18" s="686">
        <v>7</v>
      </c>
      <c r="AC18" s="303">
        <v>27.147056000000003</v>
      </c>
      <c r="AD18" s="303">
        <v>27.162209900000004</v>
      </c>
      <c r="AE18" s="774">
        <v>32.397010857142853</v>
      </c>
      <c r="AF18" s="303">
        <v>38.437907099999997</v>
      </c>
      <c r="AG18" s="86">
        <v>38.584643999999997</v>
      </c>
      <c r="AH18" s="832"/>
      <c r="AI18" s="303"/>
      <c r="AJ18" s="303"/>
      <c r="AK18" s="774"/>
      <c r="AL18" s="303"/>
      <c r="AM18" s="86"/>
      <c r="AN18" s="323"/>
    </row>
    <row r="19" spans="1:42" s="109" customFormat="1" ht="12.75">
      <c r="A19" s="94"/>
      <c r="B19" s="688" t="s">
        <v>468</v>
      </c>
      <c r="C19" s="89"/>
      <c r="D19" s="697" t="s">
        <v>28</v>
      </c>
      <c r="E19" s="698" t="s">
        <v>28</v>
      </c>
      <c r="F19" s="699" t="s">
        <v>27</v>
      </c>
      <c r="G19" s="89"/>
      <c r="H19" s="90">
        <v>-43.06</v>
      </c>
      <c r="I19" s="91">
        <v>172.61</v>
      </c>
      <c r="J19" s="94"/>
      <c r="K19" s="85">
        <v>-46.260846917899997</v>
      </c>
      <c r="L19" s="86">
        <v>-161.19010545800001</v>
      </c>
      <c r="M19" s="94"/>
      <c r="N19" s="316">
        <v>-1.29762768752873</v>
      </c>
      <c r="O19" s="855"/>
      <c r="P19" s="130">
        <v>500</v>
      </c>
      <c r="Q19" s="89"/>
      <c r="R19" s="122" t="s">
        <v>466</v>
      </c>
      <c r="S19" s="89"/>
      <c r="T19" s="123" t="s">
        <v>695</v>
      </c>
      <c r="V19" s="686"/>
      <c r="W19" s="303"/>
      <c r="X19" s="303"/>
      <c r="Y19" s="774"/>
      <c r="Z19" s="303"/>
      <c r="AA19" s="86"/>
      <c r="AB19" s="686"/>
      <c r="AC19" s="303"/>
      <c r="AD19" s="303"/>
      <c r="AE19" s="774"/>
      <c r="AF19" s="303"/>
      <c r="AG19" s="86"/>
      <c r="AH19" s="832">
        <v>6</v>
      </c>
      <c r="AI19" s="303">
        <v>23.301093146287048</v>
      </c>
      <c r="AJ19" s="303">
        <v>23.513332650980587</v>
      </c>
      <c r="AK19" s="774">
        <v>28.360484466881903</v>
      </c>
      <c r="AL19" s="303">
        <v>33.480761607997188</v>
      </c>
      <c r="AM19" s="86">
        <v>34.63880180842547</v>
      </c>
      <c r="AN19" s="323"/>
    </row>
    <row r="20" spans="1:42" s="109" customFormat="1" ht="12.75">
      <c r="A20" s="94"/>
      <c r="B20" s="124" t="s">
        <v>467</v>
      </c>
      <c r="C20" s="89"/>
      <c r="D20" s="694" t="s">
        <v>28</v>
      </c>
      <c r="E20" s="695" t="s">
        <v>28</v>
      </c>
      <c r="F20" s="696" t="s">
        <v>449</v>
      </c>
      <c r="G20" s="89"/>
      <c r="H20" s="85">
        <v>-45.32</v>
      </c>
      <c r="I20" s="86">
        <v>107.83</v>
      </c>
      <c r="J20" s="94"/>
      <c r="K20" s="85">
        <v>-48.218527978300003</v>
      </c>
      <c r="L20" s="86">
        <v>-163.70040430200001</v>
      </c>
      <c r="M20" s="94"/>
      <c r="N20" s="316">
        <v>-1.5789515805244401</v>
      </c>
      <c r="O20" s="855"/>
      <c r="P20" s="130" t="s">
        <v>190</v>
      </c>
      <c r="Q20" s="89"/>
      <c r="R20" s="122" t="s">
        <v>446</v>
      </c>
      <c r="S20" s="89"/>
      <c r="T20" s="123" t="s">
        <v>58</v>
      </c>
      <c r="V20" s="686"/>
      <c r="W20" s="303"/>
      <c r="X20" s="303"/>
      <c r="Y20" s="774"/>
      <c r="Z20" s="303"/>
      <c r="AA20" s="86"/>
      <c r="AB20" s="686"/>
      <c r="AC20" s="303"/>
      <c r="AD20" s="303"/>
      <c r="AE20" s="774"/>
      <c r="AF20" s="303"/>
      <c r="AG20" s="86"/>
      <c r="AH20" s="832">
        <v>5</v>
      </c>
      <c r="AI20" s="303">
        <v>17.961204495348831</v>
      </c>
      <c r="AJ20" s="303">
        <v>18.07170347729166</v>
      </c>
      <c r="AK20" s="774">
        <v>18.774663418672692</v>
      </c>
      <c r="AL20" s="303">
        <v>19.543148394841499</v>
      </c>
      <c r="AM20" s="86">
        <v>19.6308562032068</v>
      </c>
      <c r="AN20" s="323"/>
    </row>
    <row r="21" spans="1:42" s="109" customFormat="1" ht="12.75">
      <c r="A21" s="94"/>
      <c r="B21" s="126" t="s">
        <v>488</v>
      </c>
      <c r="C21" s="89"/>
      <c r="D21" s="697" t="s">
        <v>27</v>
      </c>
      <c r="E21" s="698" t="s">
        <v>27</v>
      </c>
      <c r="F21" s="696" t="s">
        <v>28</v>
      </c>
      <c r="G21" s="89"/>
      <c r="H21" s="85">
        <v>49.08</v>
      </c>
      <c r="I21" s="86">
        <v>-13.98</v>
      </c>
      <c r="J21" s="89"/>
      <c r="K21" s="85">
        <v>37.894451680099998</v>
      </c>
      <c r="L21" s="86">
        <v>-8.3974212446200003</v>
      </c>
      <c r="M21" s="89"/>
      <c r="N21" s="316">
        <v>-1.0783713352680211</v>
      </c>
      <c r="O21" s="855"/>
      <c r="P21" s="127">
        <v>2150</v>
      </c>
      <c r="Q21" s="89"/>
      <c r="R21" s="122" t="s">
        <v>487</v>
      </c>
      <c r="S21" s="89"/>
      <c r="T21" s="123" t="s">
        <v>604</v>
      </c>
      <c r="V21" s="689">
        <v>3</v>
      </c>
      <c r="W21" s="771">
        <v>20.444976</v>
      </c>
      <c r="X21" s="771">
        <v>20.526931300000001</v>
      </c>
      <c r="Y21" s="772">
        <v>21.788460333333337</v>
      </c>
      <c r="Z21" s="771">
        <v>23.416741299999998</v>
      </c>
      <c r="AA21" s="773">
        <v>23.655875999999999</v>
      </c>
      <c r="AB21" s="689">
        <v>11</v>
      </c>
      <c r="AC21" s="771">
        <v>19.773956000000002</v>
      </c>
      <c r="AD21" s="771">
        <v>20.157540000000001</v>
      </c>
      <c r="AE21" s="772">
        <v>22.363894272727276</v>
      </c>
      <c r="AF21" s="771">
        <v>25.892997000000001</v>
      </c>
      <c r="AG21" s="773">
        <v>26.793968999999997</v>
      </c>
      <c r="AH21" s="833"/>
      <c r="AI21" s="771"/>
      <c r="AJ21" s="771"/>
      <c r="AK21" s="772"/>
      <c r="AL21" s="771"/>
      <c r="AM21" s="773"/>
      <c r="AN21" s="323"/>
    </row>
    <row r="22" spans="1:42" s="109" customFormat="1" ht="12.75">
      <c r="A22" s="94"/>
      <c r="B22" s="126" t="s">
        <v>193</v>
      </c>
      <c r="C22" s="89"/>
      <c r="D22" s="697" t="s">
        <v>27</v>
      </c>
      <c r="E22" s="698" t="s">
        <v>27</v>
      </c>
      <c r="F22" s="699" t="s">
        <v>27</v>
      </c>
      <c r="G22" s="89"/>
      <c r="H22" s="92">
        <v>47.427500000000002</v>
      </c>
      <c r="I22" s="93">
        <v>-8.8102999999999998</v>
      </c>
      <c r="J22" s="89"/>
      <c r="K22" s="85">
        <v>36.275680190700001</v>
      </c>
      <c r="L22" s="86">
        <v>-4.7881881438300002</v>
      </c>
      <c r="M22" s="89"/>
      <c r="N22" s="316">
        <v>-1.0783713352680211</v>
      </c>
      <c r="O22" s="855"/>
      <c r="P22" s="127">
        <v>2500</v>
      </c>
      <c r="Q22" s="89"/>
      <c r="R22" s="122" t="s">
        <v>389</v>
      </c>
      <c r="S22" s="89"/>
      <c r="T22" s="123" t="s">
        <v>785</v>
      </c>
      <c r="V22" s="913">
        <v>29</v>
      </c>
      <c r="W22" s="313">
        <v>14.769441226786768</v>
      </c>
      <c r="X22" s="313">
        <v>14.953162953172837</v>
      </c>
      <c r="Y22" s="914">
        <v>17.093468178113472</v>
      </c>
      <c r="Z22" s="313">
        <v>20.232275829144601</v>
      </c>
      <c r="AA22" s="915">
        <v>20.985918226838841</v>
      </c>
      <c r="AB22" s="913">
        <v>38</v>
      </c>
      <c r="AC22" s="313">
        <v>18.192198120794668</v>
      </c>
      <c r="AD22" s="313">
        <v>18.261726556295539</v>
      </c>
      <c r="AE22" s="914">
        <v>21.604128438218162</v>
      </c>
      <c r="AF22" s="313">
        <v>23.932569862536571</v>
      </c>
      <c r="AG22" s="915">
        <v>24.058447888107693</v>
      </c>
      <c r="AH22" s="833">
        <v>11</v>
      </c>
      <c r="AI22" s="771">
        <v>15.607455341843387</v>
      </c>
      <c r="AJ22" s="771">
        <v>15.688375397137293</v>
      </c>
      <c r="AK22" s="772">
        <v>16.967527545992642</v>
      </c>
      <c r="AL22" s="771">
        <v>18.514408605566956</v>
      </c>
      <c r="AM22" s="773">
        <v>18.800738356725887</v>
      </c>
      <c r="AN22" s="323"/>
    </row>
    <row r="23" spans="1:42" s="109" customFormat="1" ht="12.75">
      <c r="A23" s="94"/>
      <c r="B23" s="126" t="s">
        <v>84</v>
      </c>
      <c r="C23" s="89"/>
      <c r="D23" s="697" t="s">
        <v>27</v>
      </c>
      <c r="E23" s="695" t="s">
        <v>27</v>
      </c>
      <c r="F23" s="696" t="s">
        <v>28</v>
      </c>
      <c r="G23" s="89"/>
      <c r="H23" s="97">
        <v>32.677999999999997</v>
      </c>
      <c r="I23" s="98">
        <v>158.59899999999999</v>
      </c>
      <c r="J23" s="89"/>
      <c r="K23" s="85">
        <v>30.553815326199999</v>
      </c>
      <c r="L23" s="86">
        <v>-162.085685283</v>
      </c>
      <c r="M23" s="89"/>
      <c r="N23" s="316">
        <v>-0.89012341618537905</v>
      </c>
      <c r="O23" s="855"/>
      <c r="P23" s="127">
        <v>2500</v>
      </c>
      <c r="Q23" s="89"/>
      <c r="R23" s="122" t="s">
        <v>86</v>
      </c>
      <c r="S23" s="89"/>
      <c r="T23" s="123" t="s">
        <v>604</v>
      </c>
      <c r="V23" s="689">
        <v>33</v>
      </c>
      <c r="W23" s="771">
        <v>15.359334904656821</v>
      </c>
      <c r="X23" s="771">
        <v>17.405731130094942</v>
      </c>
      <c r="Y23" s="772">
        <v>18.733260472213185</v>
      </c>
      <c r="Z23" s="771">
        <v>20.252519801146917</v>
      </c>
      <c r="AA23" s="773">
        <v>20.877613913208183</v>
      </c>
      <c r="AB23" s="689">
        <v>122</v>
      </c>
      <c r="AC23" s="771">
        <v>16.984272129437144</v>
      </c>
      <c r="AD23" s="771">
        <v>18.064094020007069</v>
      </c>
      <c r="AE23" s="772">
        <v>20.254936504238675</v>
      </c>
      <c r="AF23" s="771">
        <v>22.04002458162897</v>
      </c>
      <c r="AG23" s="773">
        <v>22.918636582944565</v>
      </c>
      <c r="AH23" s="833"/>
      <c r="AI23" s="771"/>
      <c r="AJ23" s="771"/>
      <c r="AK23" s="772"/>
      <c r="AL23" s="771"/>
      <c r="AM23" s="773"/>
      <c r="AN23" s="323"/>
    </row>
    <row r="24" spans="1:42" s="109" customFormat="1" ht="12.75">
      <c r="A24" s="94"/>
      <c r="B24" s="126" t="s">
        <v>494</v>
      </c>
      <c r="C24" s="89"/>
      <c r="D24" s="697" t="s">
        <v>27</v>
      </c>
      <c r="E24" s="695" t="s">
        <v>28</v>
      </c>
      <c r="F24" s="696" t="s">
        <v>27</v>
      </c>
      <c r="G24" s="89"/>
      <c r="H24" s="85">
        <v>32.26</v>
      </c>
      <c r="I24" s="86">
        <v>157.43</v>
      </c>
      <c r="J24" s="89"/>
      <c r="K24" s="83">
        <v>30.3086610326</v>
      </c>
      <c r="L24" s="84">
        <v>-163.296887258</v>
      </c>
      <c r="M24" s="89"/>
      <c r="N24" s="316">
        <v>-0.89012341618537905</v>
      </c>
      <c r="O24" s="855"/>
      <c r="P24" s="127">
        <v>1950</v>
      </c>
      <c r="Q24" s="89"/>
      <c r="R24" s="122" t="s">
        <v>524</v>
      </c>
      <c r="S24" s="89"/>
      <c r="T24" s="123" t="s">
        <v>604</v>
      </c>
      <c r="V24" s="689">
        <v>25</v>
      </c>
      <c r="W24" s="771">
        <v>16.289817729459237</v>
      </c>
      <c r="X24" s="771">
        <v>16.849849705226646</v>
      </c>
      <c r="Y24" s="772">
        <v>18.08724240479566</v>
      </c>
      <c r="Z24" s="771">
        <v>18.870241858585828</v>
      </c>
      <c r="AA24" s="773">
        <v>19.401044115401497</v>
      </c>
      <c r="AB24" s="689"/>
      <c r="AC24" s="771"/>
      <c r="AD24" s="771"/>
      <c r="AE24" s="772"/>
      <c r="AF24" s="771"/>
      <c r="AG24" s="773"/>
      <c r="AH24" s="833">
        <v>8</v>
      </c>
      <c r="AI24" s="771">
        <v>15.096790180906883</v>
      </c>
      <c r="AJ24" s="771">
        <v>15.982098064918736</v>
      </c>
      <c r="AK24" s="772">
        <v>17.811845487317985</v>
      </c>
      <c r="AL24" s="771">
        <v>19.353734015939885</v>
      </c>
      <c r="AM24" s="773">
        <v>19.854658454984726</v>
      </c>
      <c r="AN24" s="323"/>
    </row>
    <row r="25" spans="1:42" s="109" customFormat="1" ht="12.75">
      <c r="A25" s="94"/>
      <c r="B25" s="126" t="s">
        <v>438</v>
      </c>
      <c r="C25" s="89"/>
      <c r="D25" s="694" t="s">
        <v>27</v>
      </c>
      <c r="E25" s="695" t="s">
        <v>27</v>
      </c>
      <c r="F25" s="696" t="s">
        <v>27</v>
      </c>
      <c r="G25" s="89"/>
      <c r="H25" s="92">
        <v>37.58</v>
      </c>
      <c r="I25" s="93">
        <v>-3.24</v>
      </c>
      <c r="J25" s="94"/>
      <c r="K25" s="85">
        <v>26.1236935887</v>
      </c>
      <c r="L25" s="86">
        <v>0.56517255996500004</v>
      </c>
      <c r="M25" s="94"/>
      <c r="N25" s="316">
        <v>-0.89012341618537905</v>
      </c>
      <c r="O25" s="855"/>
      <c r="P25" s="127">
        <v>1500</v>
      </c>
      <c r="Q25" s="89"/>
      <c r="R25" s="122" t="s">
        <v>436</v>
      </c>
      <c r="S25" s="89"/>
      <c r="T25" s="123" t="s">
        <v>604</v>
      </c>
      <c r="V25" s="689">
        <v>26</v>
      </c>
      <c r="W25" s="771">
        <v>18.963302799173526</v>
      </c>
      <c r="X25" s="771">
        <v>19.486867355533057</v>
      </c>
      <c r="Y25" s="772">
        <v>20.468305733096937</v>
      </c>
      <c r="Z25" s="771">
        <v>21.33650180279141</v>
      </c>
      <c r="AA25" s="773">
        <v>22.137360137330706</v>
      </c>
      <c r="AB25" s="689">
        <v>6</v>
      </c>
      <c r="AC25" s="771">
        <v>19.58229491123479</v>
      </c>
      <c r="AD25" s="771">
        <v>19.665935772473805</v>
      </c>
      <c r="AE25" s="772">
        <v>20.213359819604531</v>
      </c>
      <c r="AF25" s="771">
        <v>20.986232163372627</v>
      </c>
      <c r="AG25" s="773">
        <v>21.070629024611645</v>
      </c>
      <c r="AH25" s="833"/>
      <c r="AI25" s="771"/>
      <c r="AJ25" s="771"/>
      <c r="AK25" s="772"/>
      <c r="AL25" s="771"/>
      <c r="AM25" s="773"/>
      <c r="AN25" s="323"/>
    </row>
    <row r="26" spans="1:42" s="109" customFormat="1" ht="12.75">
      <c r="A26" s="94"/>
      <c r="B26" s="126" t="s">
        <v>117</v>
      </c>
      <c r="C26" s="89"/>
      <c r="D26" s="697" t="s">
        <v>27</v>
      </c>
      <c r="E26" s="698" t="s">
        <v>27</v>
      </c>
      <c r="F26" s="699" t="s">
        <v>28</v>
      </c>
      <c r="G26" s="89"/>
      <c r="H26" s="92">
        <v>-24.042000000000002</v>
      </c>
      <c r="I26" s="93">
        <v>1.7629999999999999</v>
      </c>
      <c r="J26" s="89"/>
      <c r="K26" s="85">
        <v>-37.276042391399997</v>
      </c>
      <c r="L26" s="86">
        <v>-2.4549978880799999</v>
      </c>
      <c r="M26" s="89"/>
      <c r="N26" s="316">
        <v>-0.79817685008049</v>
      </c>
      <c r="O26" s="855"/>
      <c r="P26" s="127">
        <v>3400</v>
      </c>
      <c r="Q26" s="89"/>
      <c r="R26" s="122" t="s">
        <v>148</v>
      </c>
      <c r="S26" s="89"/>
      <c r="T26" s="123" t="s">
        <v>604</v>
      </c>
      <c r="V26" s="689">
        <v>28</v>
      </c>
      <c r="W26" s="771">
        <v>12.6788385895362</v>
      </c>
      <c r="X26" s="771">
        <v>14.788720259017477</v>
      </c>
      <c r="Y26" s="772">
        <v>15.575336312595583</v>
      </c>
      <c r="Z26" s="771">
        <v>16.540796834304988</v>
      </c>
      <c r="AA26" s="773">
        <v>16.899916503162871</v>
      </c>
      <c r="AB26" s="689">
        <v>11</v>
      </c>
      <c r="AC26" s="771">
        <v>18.498436079937946</v>
      </c>
      <c r="AD26" s="771">
        <v>18.5221012207729</v>
      </c>
      <c r="AE26" s="772">
        <v>19.22049599256211</v>
      </c>
      <c r="AF26" s="771">
        <v>20.262544501722584</v>
      </c>
      <c r="AG26" s="773">
        <v>20.742417318421136</v>
      </c>
      <c r="AH26" s="833"/>
      <c r="AI26" s="771"/>
      <c r="AJ26" s="771"/>
      <c r="AK26" s="772"/>
      <c r="AL26" s="771"/>
      <c r="AM26" s="773"/>
      <c r="AN26" s="323"/>
    </row>
    <row r="27" spans="1:42" s="109" customFormat="1" ht="12.75">
      <c r="A27" s="94"/>
      <c r="B27" s="126" t="s">
        <v>416</v>
      </c>
      <c r="C27" s="107"/>
      <c r="D27" s="697" t="s">
        <v>27</v>
      </c>
      <c r="E27" s="698" t="s">
        <v>27</v>
      </c>
      <c r="F27" s="699" t="s">
        <v>27</v>
      </c>
      <c r="G27" s="107"/>
      <c r="H27" s="99">
        <v>-52.22</v>
      </c>
      <c r="I27" s="100">
        <v>166.19</v>
      </c>
      <c r="J27" s="101"/>
      <c r="K27" s="85">
        <v>-54.261738786400002</v>
      </c>
      <c r="L27" s="86">
        <v>-170.93380894399999</v>
      </c>
      <c r="M27" s="101"/>
      <c r="N27" s="316">
        <v>-1.5789515805244401</v>
      </c>
      <c r="O27" s="106"/>
      <c r="P27" s="125">
        <v>1500</v>
      </c>
      <c r="Q27" s="89"/>
      <c r="R27" s="122" t="s">
        <v>434</v>
      </c>
      <c r="S27" s="89"/>
      <c r="T27" s="123" t="s">
        <v>604</v>
      </c>
      <c r="V27" s="689">
        <v>4</v>
      </c>
      <c r="W27" s="771">
        <v>12.937078865800979</v>
      </c>
      <c r="X27" s="771">
        <v>13.191604702374498</v>
      </c>
      <c r="Y27" s="772">
        <v>14.840199375887462</v>
      </c>
      <c r="Z27" s="771">
        <v>16.758492138518697</v>
      </c>
      <c r="AA27" s="773">
        <v>17.128602870428622</v>
      </c>
      <c r="AB27" s="689">
        <v>6</v>
      </c>
      <c r="AC27" s="771">
        <v>18.135484000158421</v>
      </c>
      <c r="AD27" s="771">
        <v>18.223370125689279</v>
      </c>
      <c r="AE27" s="772">
        <v>20.015375948794404</v>
      </c>
      <c r="AF27" s="771">
        <v>22.643144527324541</v>
      </c>
      <c r="AG27" s="773">
        <v>22.728616079845889</v>
      </c>
      <c r="AH27" s="833">
        <v>3</v>
      </c>
      <c r="AI27" s="771">
        <v>14.171861504780754</v>
      </c>
      <c r="AJ27" s="771">
        <v>14.540638942089981</v>
      </c>
      <c r="AK27" s="772">
        <v>16.70037246948641</v>
      </c>
      <c r="AL27" s="771">
        <v>18.048621611012216</v>
      </c>
      <c r="AM27" s="773">
        <v>18.06962002580546</v>
      </c>
      <c r="AN27" s="323"/>
    </row>
    <row r="28" spans="1:42" s="109" customFormat="1" ht="12.75">
      <c r="A28" s="94"/>
      <c r="B28" s="126" t="s">
        <v>278</v>
      </c>
      <c r="C28" s="89"/>
      <c r="D28" s="697" t="s">
        <v>28</v>
      </c>
      <c r="E28" s="698" t="s">
        <v>28</v>
      </c>
      <c r="F28" s="699" t="s">
        <v>27</v>
      </c>
      <c r="G28" s="89"/>
      <c r="H28" s="92">
        <v>-62.715000000000003</v>
      </c>
      <c r="I28" s="93">
        <v>82.79</v>
      </c>
      <c r="J28" s="89"/>
      <c r="K28" s="85">
        <v>-62.594423904899998</v>
      </c>
      <c r="L28" s="86">
        <v>97.240256667300002</v>
      </c>
      <c r="M28" s="89"/>
      <c r="N28" s="316">
        <v>-1.58903141438961</v>
      </c>
      <c r="O28" s="855"/>
      <c r="P28" s="125">
        <v>1800</v>
      </c>
      <c r="Q28" s="89"/>
      <c r="R28" s="122" t="s">
        <v>398</v>
      </c>
      <c r="S28" s="89"/>
      <c r="T28" s="123" t="s">
        <v>604</v>
      </c>
      <c r="V28" s="689"/>
      <c r="W28" s="771"/>
      <c r="X28" s="771"/>
      <c r="Y28" s="772"/>
      <c r="Z28" s="771"/>
      <c r="AA28" s="773"/>
      <c r="AB28" s="689"/>
      <c r="AC28" s="771"/>
      <c r="AD28" s="771"/>
      <c r="AE28" s="772"/>
      <c r="AF28" s="771"/>
      <c r="AG28" s="773"/>
      <c r="AH28" s="833">
        <v>23</v>
      </c>
      <c r="AI28" s="771">
        <v>6.1579840000000008</v>
      </c>
      <c r="AJ28" s="771">
        <v>10.4804329</v>
      </c>
      <c r="AK28" s="772">
        <v>12.288145260869568</v>
      </c>
      <c r="AL28" s="771">
        <v>14.016556099999999</v>
      </c>
      <c r="AM28" s="773">
        <v>14.578601000000001</v>
      </c>
      <c r="AN28" s="323"/>
    </row>
    <row r="29" spans="1:42" s="109" customFormat="1" ht="12.75">
      <c r="A29" s="94"/>
      <c r="B29" s="126" t="s">
        <v>45</v>
      </c>
      <c r="C29" s="89"/>
      <c r="D29" s="697" t="s">
        <v>27</v>
      </c>
      <c r="E29" s="698" t="s">
        <v>27</v>
      </c>
      <c r="F29" s="699" t="s">
        <v>28</v>
      </c>
      <c r="G29" s="89"/>
      <c r="H29" s="95">
        <v>-64.31</v>
      </c>
      <c r="I29" s="96">
        <v>3.06</v>
      </c>
      <c r="J29" s="89"/>
      <c r="K29" s="83">
        <v>-71.302706968799995</v>
      </c>
      <c r="L29" s="84">
        <v>5.9592246041000001</v>
      </c>
      <c r="M29" s="89"/>
      <c r="N29" s="316">
        <v>-1.5490806770324701</v>
      </c>
      <c r="O29" s="855"/>
      <c r="P29" s="125">
        <v>1500</v>
      </c>
      <c r="Q29" s="89"/>
      <c r="R29" s="122" t="s">
        <v>396</v>
      </c>
      <c r="S29" s="89"/>
      <c r="T29" s="123" t="s">
        <v>604</v>
      </c>
      <c r="V29" s="689">
        <v>5</v>
      </c>
      <c r="W29" s="771">
        <v>10.756488932819591</v>
      </c>
      <c r="X29" s="771">
        <v>10.791479364167738</v>
      </c>
      <c r="Y29" s="772">
        <v>12.708079213856102</v>
      </c>
      <c r="Z29" s="771">
        <v>15.711807494622482</v>
      </c>
      <c r="AA29" s="773">
        <v>15.923714160038722</v>
      </c>
      <c r="AB29" s="689">
        <v>2</v>
      </c>
      <c r="AC29" s="771">
        <v>15.702917381671721</v>
      </c>
      <c r="AD29" s="771">
        <v>15.730727280255838</v>
      </c>
      <c r="AE29" s="772">
        <v>15.981016367512881</v>
      </c>
      <c r="AF29" s="771">
        <v>16.231305454769924</v>
      </c>
      <c r="AG29" s="773">
        <v>16.259115353354041</v>
      </c>
      <c r="AH29" s="833"/>
      <c r="AI29" s="771"/>
      <c r="AJ29" s="771"/>
      <c r="AK29" s="772"/>
      <c r="AL29" s="771"/>
      <c r="AM29" s="773"/>
      <c r="AN29" s="323"/>
    </row>
    <row r="30" spans="1:42" s="109" customFormat="1" ht="13.5" thickBot="1">
      <c r="A30" s="94"/>
      <c r="B30" s="131" t="s">
        <v>151</v>
      </c>
      <c r="C30" s="89"/>
      <c r="D30" s="700" t="s">
        <v>27</v>
      </c>
      <c r="E30" s="701" t="s">
        <v>27</v>
      </c>
      <c r="F30" s="702" t="s">
        <v>27</v>
      </c>
      <c r="G30" s="89"/>
      <c r="H30" s="102">
        <v>-65.325000000000003</v>
      </c>
      <c r="I30" s="103">
        <v>1.282</v>
      </c>
      <c r="J30" s="89"/>
      <c r="K30" s="104">
        <v>-72.131958808600004</v>
      </c>
      <c r="L30" s="105">
        <v>3.5662169020499999</v>
      </c>
      <c r="M30" s="89"/>
      <c r="N30" s="859">
        <v>-1.5490806770324701</v>
      </c>
      <c r="O30" s="855"/>
      <c r="P30" s="132">
        <v>2000</v>
      </c>
      <c r="Q30" s="89"/>
      <c r="R30" s="133" t="s">
        <v>393</v>
      </c>
      <c r="S30" s="89"/>
      <c r="T30" s="134" t="s">
        <v>604</v>
      </c>
      <c r="V30" s="690">
        <v>81</v>
      </c>
      <c r="W30" s="775">
        <v>7.4410687070530024</v>
      </c>
      <c r="X30" s="775">
        <v>8.8233936600559328</v>
      </c>
      <c r="Y30" s="776">
        <v>11.106395910618531</v>
      </c>
      <c r="Z30" s="775">
        <v>15.502565222475825</v>
      </c>
      <c r="AA30" s="777">
        <v>16.011498425070581</v>
      </c>
      <c r="AB30" s="690">
        <v>99</v>
      </c>
      <c r="AC30" s="775">
        <v>13.488612412096796</v>
      </c>
      <c r="AD30" s="775">
        <v>14.121073713557443</v>
      </c>
      <c r="AE30" s="776">
        <v>17.446584092805679</v>
      </c>
      <c r="AF30" s="775">
        <v>21.433528532056052</v>
      </c>
      <c r="AG30" s="777">
        <v>21.899223617956935</v>
      </c>
      <c r="AH30" s="834">
        <v>12</v>
      </c>
      <c r="AI30" s="775">
        <v>5.2760853132045851</v>
      </c>
      <c r="AJ30" s="775">
        <v>6.9646156425457111</v>
      </c>
      <c r="AK30" s="776">
        <v>12.867060699506899</v>
      </c>
      <c r="AL30" s="775">
        <v>17.030947166564758</v>
      </c>
      <c r="AM30" s="777">
        <v>18.446848473700342</v>
      </c>
      <c r="AN30" s="323"/>
    </row>
    <row r="31" spans="1:42" s="109" customFormat="1" ht="12.75">
      <c r="A31" s="94"/>
      <c r="B31" s="89"/>
      <c r="C31" s="89"/>
      <c r="D31" s="89"/>
      <c r="E31" s="89"/>
      <c r="F31" s="89"/>
      <c r="G31" s="89"/>
      <c r="H31" s="89"/>
      <c r="I31" s="89"/>
      <c r="J31" s="89"/>
      <c r="K31" s="89"/>
      <c r="L31" s="89"/>
      <c r="M31" s="89"/>
      <c r="N31" s="89"/>
      <c r="O31" s="89"/>
      <c r="P31" s="89"/>
      <c r="Q31" s="89"/>
      <c r="R31" s="107"/>
      <c r="S31" s="89"/>
      <c r="T31" s="89"/>
      <c r="U31" s="89"/>
      <c r="X31" s="323"/>
      <c r="Y31" s="323"/>
      <c r="Z31" s="323"/>
      <c r="AA31" s="323"/>
      <c r="AB31" s="323"/>
      <c r="AC31" s="323"/>
      <c r="AD31" s="323"/>
      <c r="AE31" s="323"/>
      <c r="AF31" s="323"/>
      <c r="AG31" s="323"/>
      <c r="AH31" s="323"/>
      <c r="AI31" s="323"/>
      <c r="AJ31" s="323"/>
      <c r="AK31" s="323"/>
      <c r="AL31" s="323"/>
      <c r="AM31" s="323"/>
      <c r="AN31" s="323"/>
      <c r="AO31" s="323"/>
      <c r="AP31" s="323"/>
    </row>
    <row r="32" spans="1:42" s="109" customFormat="1" ht="13.5" thickBot="1">
      <c r="A32" s="89"/>
      <c r="B32" s="89"/>
      <c r="C32" s="89"/>
      <c r="D32" s="89"/>
      <c r="E32" s="89"/>
      <c r="F32" s="89"/>
      <c r="G32" s="89"/>
      <c r="H32" s="89"/>
      <c r="I32" s="89"/>
      <c r="J32" s="89"/>
      <c r="K32" s="89"/>
      <c r="L32" s="89"/>
      <c r="M32" s="89"/>
      <c r="N32" s="89"/>
      <c r="O32" s="89"/>
      <c r="P32" s="89"/>
      <c r="Q32" s="89"/>
      <c r="R32" s="89"/>
      <c r="S32" s="89"/>
      <c r="T32" s="89"/>
      <c r="U32" s="89"/>
      <c r="V32" s="109" t="s">
        <v>766</v>
      </c>
      <c r="X32" s="323"/>
      <c r="Y32" s="916"/>
      <c r="Z32" s="323"/>
      <c r="AA32" s="323">
        <f>SUM(V10:V30)</f>
        <v>374</v>
      </c>
      <c r="AB32" s="323"/>
      <c r="AC32" s="323"/>
      <c r="AD32" s="323"/>
      <c r="AE32" s="323"/>
      <c r="AF32" s="323"/>
      <c r="AG32" s="323">
        <f>SUM(AB10:AB30)</f>
        <v>553</v>
      </c>
      <c r="AH32" s="323"/>
      <c r="AI32" s="323"/>
      <c r="AJ32" s="323"/>
      <c r="AK32" s="323"/>
      <c r="AL32" s="323"/>
      <c r="AM32" s="323">
        <f>SUM(AH10:AH30)</f>
        <v>99</v>
      </c>
      <c r="AN32" s="323">
        <f>SUM(AM32,AG32,AA32)</f>
        <v>1026</v>
      </c>
      <c r="AO32" s="323"/>
      <c r="AP32" s="323"/>
    </row>
    <row r="33" spans="1:42" s="109" customFormat="1" ht="13.5" thickBot="1">
      <c r="A33" s="89"/>
      <c r="B33" s="1004" t="s">
        <v>30</v>
      </c>
      <c r="C33" s="1005"/>
      <c r="D33" s="1005"/>
      <c r="E33" s="1005"/>
      <c r="F33" s="1005"/>
      <c r="G33" s="1005"/>
      <c r="H33" s="1005"/>
      <c r="I33" s="1005"/>
      <c r="J33" s="1005"/>
      <c r="K33" s="1005"/>
      <c r="L33" s="1005"/>
      <c r="M33" s="1005"/>
      <c r="N33" s="1005"/>
      <c r="O33" s="1005"/>
      <c r="P33" s="1005"/>
      <c r="Q33" s="1005"/>
      <c r="R33" s="1005"/>
      <c r="S33" s="1005"/>
      <c r="T33" s="1005"/>
      <c r="U33" s="1006"/>
      <c r="V33" s="109" t="s">
        <v>767</v>
      </c>
      <c r="X33" s="323"/>
      <c r="Y33" s="323"/>
      <c r="Z33" s="323"/>
      <c r="AA33" s="323">
        <f>SUM(V10:V20,V22)</f>
        <v>169</v>
      </c>
      <c r="AB33" s="323"/>
      <c r="AC33" s="323"/>
      <c r="AD33" s="323"/>
      <c r="AE33" s="323"/>
      <c r="AF33" s="323"/>
      <c r="AG33" s="974">
        <f>SUM(AB10:AB20,AB22)</f>
        <v>296</v>
      </c>
      <c r="AH33" s="323"/>
      <c r="AI33" s="323"/>
      <c r="AJ33" s="323"/>
      <c r="AK33" s="323"/>
      <c r="AL33" s="323"/>
      <c r="AM33" s="974">
        <f>SUM(AH10:AH20)</f>
        <v>42</v>
      </c>
      <c r="AN33" s="323">
        <f>SUM(AM33,AG33,AA33)</f>
        <v>507</v>
      </c>
      <c r="AO33" s="323"/>
      <c r="AP33" s="323"/>
    </row>
    <row r="34" spans="1:42" s="109" customFormat="1" ht="12.75">
      <c r="A34" s="89"/>
      <c r="B34" s="981" t="s">
        <v>776</v>
      </c>
      <c r="C34" s="982"/>
      <c r="D34" s="982"/>
      <c r="E34" s="982"/>
      <c r="F34" s="982"/>
      <c r="G34" s="982"/>
      <c r="H34" s="982"/>
      <c r="I34" s="982"/>
      <c r="J34" s="982"/>
      <c r="K34" s="982"/>
      <c r="L34" s="982"/>
      <c r="M34" s="982"/>
      <c r="N34" s="982"/>
      <c r="O34" s="982"/>
      <c r="P34" s="982"/>
      <c r="Q34" s="982"/>
      <c r="R34" s="982"/>
      <c r="S34" s="982"/>
      <c r="T34" s="982"/>
      <c r="U34" s="983"/>
      <c r="X34" s="323"/>
      <c r="Y34" s="323"/>
      <c r="Z34" s="323"/>
      <c r="AA34" s="323"/>
      <c r="AB34" s="323"/>
      <c r="AC34" s="323"/>
      <c r="AD34" s="323"/>
      <c r="AE34" s="323"/>
      <c r="AF34" s="323"/>
      <c r="AG34" s="323"/>
      <c r="AH34" s="323"/>
      <c r="AI34" s="323"/>
      <c r="AJ34" s="323"/>
      <c r="AK34" s="323"/>
      <c r="AL34" s="323"/>
      <c r="AM34" s="323"/>
      <c r="AN34" s="323"/>
      <c r="AO34" s="323"/>
      <c r="AP34" s="323"/>
    </row>
    <row r="35" spans="1:42" s="109" customFormat="1" ht="12.75">
      <c r="A35" s="89"/>
      <c r="B35" s="984"/>
      <c r="C35" s="985"/>
      <c r="D35" s="985"/>
      <c r="E35" s="985"/>
      <c r="F35" s="985"/>
      <c r="G35" s="985"/>
      <c r="H35" s="985"/>
      <c r="I35" s="985"/>
      <c r="J35" s="985"/>
      <c r="K35" s="985"/>
      <c r="L35" s="985"/>
      <c r="M35" s="985"/>
      <c r="N35" s="985"/>
      <c r="O35" s="985"/>
      <c r="P35" s="985"/>
      <c r="Q35" s="985"/>
      <c r="R35" s="985"/>
      <c r="S35" s="985"/>
      <c r="T35" s="985"/>
      <c r="U35" s="986"/>
      <c r="X35" s="323"/>
      <c r="Y35" s="323"/>
      <c r="Z35" s="323"/>
      <c r="AA35" s="323"/>
      <c r="AB35" s="323"/>
      <c r="AC35" s="323"/>
      <c r="AD35" s="323"/>
      <c r="AE35" s="323"/>
      <c r="AF35" s="323"/>
      <c r="AG35" s="323"/>
      <c r="AH35" s="323"/>
      <c r="AI35" s="323"/>
      <c r="AJ35" s="323"/>
      <c r="AK35" s="323"/>
      <c r="AL35" s="323"/>
      <c r="AM35" s="323"/>
      <c r="AN35" s="323"/>
      <c r="AO35" s="323"/>
      <c r="AP35" s="323"/>
    </row>
    <row r="36" spans="1:42" s="109" customFormat="1" ht="12.75">
      <c r="A36" s="89"/>
      <c r="B36" s="984"/>
      <c r="C36" s="985"/>
      <c r="D36" s="985"/>
      <c r="E36" s="985"/>
      <c r="F36" s="985"/>
      <c r="G36" s="985"/>
      <c r="H36" s="985"/>
      <c r="I36" s="985"/>
      <c r="J36" s="985"/>
      <c r="K36" s="985"/>
      <c r="L36" s="985"/>
      <c r="M36" s="985"/>
      <c r="N36" s="985"/>
      <c r="O36" s="985"/>
      <c r="P36" s="985"/>
      <c r="Q36" s="985"/>
      <c r="R36" s="985"/>
      <c r="S36" s="985"/>
      <c r="T36" s="985"/>
      <c r="U36" s="986"/>
      <c r="X36" s="323"/>
      <c r="Y36" s="323"/>
      <c r="Z36" s="323"/>
      <c r="AA36" s="323"/>
      <c r="AB36" s="323"/>
      <c r="AC36" s="323"/>
      <c r="AD36" s="323"/>
      <c r="AE36" s="323"/>
      <c r="AF36" s="323"/>
      <c r="AG36" s="323"/>
      <c r="AH36" s="323"/>
      <c r="AI36" s="323"/>
      <c r="AJ36" s="323"/>
      <c r="AK36" s="323"/>
      <c r="AL36" s="323"/>
      <c r="AM36" s="323"/>
      <c r="AN36" s="323"/>
      <c r="AO36" s="323"/>
      <c r="AP36" s="323"/>
    </row>
    <row r="37" spans="1:42" s="109" customFormat="1" ht="12.75">
      <c r="A37" s="89"/>
      <c r="B37" s="984"/>
      <c r="C37" s="985"/>
      <c r="D37" s="985"/>
      <c r="E37" s="985"/>
      <c r="F37" s="985"/>
      <c r="G37" s="985"/>
      <c r="H37" s="985"/>
      <c r="I37" s="985"/>
      <c r="J37" s="985"/>
      <c r="K37" s="985"/>
      <c r="L37" s="985"/>
      <c r="M37" s="985"/>
      <c r="N37" s="985"/>
      <c r="O37" s="985"/>
      <c r="P37" s="985"/>
      <c r="Q37" s="985"/>
      <c r="R37" s="985"/>
      <c r="S37" s="985"/>
      <c r="T37" s="985"/>
      <c r="U37" s="986"/>
      <c r="X37" s="323"/>
      <c r="Y37" s="323"/>
      <c r="Z37" s="323"/>
      <c r="AA37" s="323"/>
      <c r="AB37" s="323"/>
      <c r="AC37" s="323"/>
      <c r="AD37" s="323"/>
      <c r="AE37" s="323"/>
      <c r="AF37" s="323"/>
      <c r="AG37" s="323"/>
      <c r="AH37" s="323"/>
      <c r="AI37" s="323"/>
      <c r="AJ37" s="323"/>
      <c r="AK37" s="323"/>
      <c r="AL37" s="323"/>
      <c r="AM37" s="323"/>
      <c r="AN37" s="323"/>
      <c r="AO37" s="323"/>
      <c r="AP37" s="323"/>
    </row>
    <row r="38" spans="1:42" s="109" customFormat="1" ht="13.5" thickBot="1">
      <c r="A38" s="89"/>
      <c r="B38" s="987"/>
      <c r="C38" s="988"/>
      <c r="D38" s="988"/>
      <c r="E38" s="988"/>
      <c r="F38" s="988"/>
      <c r="G38" s="988"/>
      <c r="H38" s="988"/>
      <c r="I38" s="988"/>
      <c r="J38" s="988"/>
      <c r="K38" s="988"/>
      <c r="L38" s="988"/>
      <c r="M38" s="988"/>
      <c r="N38" s="988"/>
      <c r="O38" s="988"/>
      <c r="P38" s="988"/>
      <c r="Q38" s="988"/>
      <c r="R38" s="988"/>
      <c r="S38" s="988"/>
      <c r="T38" s="988"/>
      <c r="U38" s="989"/>
      <c r="X38" s="323"/>
      <c r="Y38" s="323"/>
      <c r="Z38" s="323"/>
      <c r="AA38" s="323"/>
      <c r="AB38" s="323"/>
      <c r="AC38" s="323"/>
      <c r="AD38" s="323"/>
      <c r="AE38" s="323"/>
      <c r="AF38" s="323"/>
      <c r="AG38" s="323"/>
      <c r="AH38" s="323"/>
      <c r="AI38" s="323"/>
      <c r="AJ38" s="323"/>
      <c r="AK38" s="323"/>
      <c r="AL38" s="323"/>
      <c r="AM38" s="323"/>
      <c r="AN38" s="323"/>
      <c r="AO38" s="323"/>
      <c r="AP38" s="323"/>
    </row>
    <row r="40" spans="1:42">
      <c r="G40" s="60"/>
    </row>
    <row r="41" spans="1:42">
      <c r="G41" s="60"/>
      <c r="H41" s="39"/>
    </row>
    <row r="42" spans="1:42">
      <c r="C42" s="37"/>
      <c r="D42" s="45"/>
      <c r="G42" s="16"/>
      <c r="H42" s="39"/>
    </row>
    <row r="43" spans="1:42">
      <c r="C43" s="37"/>
      <c r="H43" s="16"/>
    </row>
    <row r="45" spans="1:42">
      <c r="D45" s="36"/>
    </row>
  </sheetData>
  <sortState xmlns:xlrd2="http://schemas.microsoft.com/office/spreadsheetml/2017/richdata2" ref="A10:AM30">
    <sortCondition descending="1" ref="K10:K30"/>
  </sortState>
  <mergeCells count="10">
    <mergeCell ref="AH8:AM8"/>
    <mergeCell ref="AB8:AG8"/>
    <mergeCell ref="V8:AA8"/>
    <mergeCell ref="B1:U1"/>
    <mergeCell ref="B34:U38"/>
    <mergeCell ref="B3:U6"/>
    <mergeCell ref="D8:F8"/>
    <mergeCell ref="H8:I8"/>
    <mergeCell ref="K8:L8"/>
    <mergeCell ref="B33:U33"/>
  </mergeCells>
  <pageMargins left="0.75" right="0.75" top="1" bottom="1" header="0.5" footer="0.5"/>
  <pageSetup paperSize="9" scale="77" fitToWidth="0" orientation="landscape" horizontalDpi="1200" verticalDpi="1200"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238"/>
  <sheetViews>
    <sheetView zoomScale="85" zoomScaleNormal="85" zoomScalePageLayoutView="70" workbookViewId="0">
      <selection activeCell="B3" sqref="B3"/>
    </sheetView>
  </sheetViews>
  <sheetFormatPr defaultColWidth="10.625" defaultRowHeight="12.75"/>
  <cols>
    <col min="1" max="1" width="15.625" style="69" customWidth="1"/>
    <col min="2" max="2" width="20.625" style="69" customWidth="1"/>
    <col min="3" max="3" width="15.875" style="156" bestFit="1" customWidth="1"/>
    <col min="4" max="6" width="10.625" style="156"/>
    <col min="7" max="7" width="13.5" style="156" bestFit="1" customWidth="1"/>
    <col min="8" max="10" width="10.625" style="156"/>
    <col min="11" max="11" width="15.625" style="156" customWidth="1"/>
    <col min="12" max="12" width="24.875" style="156" bestFit="1" customWidth="1"/>
    <col min="13" max="13" width="13" style="156" bestFit="1" customWidth="1"/>
    <col min="14" max="15" width="10.625" style="156" bestFit="1" customWidth="1"/>
    <col min="16" max="16" width="11.5" style="156" bestFit="1" customWidth="1"/>
    <col min="17" max="17" width="16.875" style="156" bestFit="1" customWidth="1"/>
    <col min="18" max="18" width="20.5" style="69" bestFit="1" customWidth="1"/>
    <col min="19" max="19" width="39.125" style="69" bestFit="1" customWidth="1"/>
    <col min="20" max="16384" width="10.625" style="69"/>
  </cols>
  <sheetData>
    <row r="1" spans="1:21" s="11" customFormat="1" ht="15.75">
      <c r="A1" s="205" t="s">
        <v>62</v>
      </c>
      <c r="B1" s="205" t="s">
        <v>84</v>
      </c>
      <c r="C1" s="207"/>
      <c r="D1" s="20"/>
      <c r="E1" s="20"/>
      <c r="F1" s="20"/>
      <c r="G1" s="20"/>
      <c r="H1" s="20"/>
      <c r="I1" s="20"/>
      <c r="J1" s="20"/>
      <c r="K1" s="20"/>
      <c r="L1" s="20"/>
      <c r="M1" s="20"/>
      <c r="N1" s="20"/>
      <c r="O1" s="20"/>
      <c r="P1" s="20"/>
      <c r="Q1" s="20"/>
      <c r="R1" s="19"/>
      <c r="S1" s="19"/>
      <c r="T1" s="19"/>
      <c r="U1" s="19"/>
    </row>
    <row r="2" spans="1:21">
      <c r="A2" s="141" t="s">
        <v>636</v>
      </c>
      <c r="B2" s="146" t="s">
        <v>750</v>
      </c>
      <c r="C2" s="143"/>
      <c r="D2" s="144"/>
      <c r="E2" s="144"/>
      <c r="F2" s="144"/>
      <c r="G2" s="144"/>
      <c r="H2" s="144"/>
      <c r="I2" s="144"/>
      <c r="J2" s="144"/>
      <c r="K2" s="144"/>
      <c r="L2" s="144"/>
      <c r="M2" s="144"/>
      <c r="N2" s="144"/>
      <c r="O2" s="144"/>
      <c r="P2" s="144"/>
      <c r="Q2" s="144"/>
      <c r="R2" s="145"/>
      <c r="S2" s="145"/>
      <c r="T2" s="145"/>
      <c r="U2" s="145"/>
    </row>
    <row r="3" spans="1:21">
      <c r="A3" s="141" t="s">
        <v>61</v>
      </c>
      <c r="B3" s="146" t="s">
        <v>86</v>
      </c>
      <c r="C3" s="143"/>
      <c r="D3" s="144"/>
      <c r="E3" s="144"/>
      <c r="F3" s="144"/>
      <c r="G3" s="144"/>
      <c r="H3" s="144"/>
      <c r="I3" s="144"/>
      <c r="J3" s="144"/>
      <c r="K3" s="144"/>
      <c r="L3" s="144"/>
      <c r="M3" s="144"/>
      <c r="N3" s="144"/>
      <c r="O3" s="144"/>
      <c r="P3" s="144"/>
      <c r="Q3" s="144"/>
      <c r="R3" s="145"/>
      <c r="S3" s="145"/>
      <c r="T3" s="145"/>
      <c r="U3" s="145"/>
    </row>
    <row r="4" spans="1:21">
      <c r="A4" s="147" t="s">
        <v>621</v>
      </c>
      <c r="B4" s="508">
        <v>32.677999999999997</v>
      </c>
      <c r="C4" s="509"/>
      <c r="D4" s="144"/>
      <c r="E4" s="144"/>
      <c r="F4" s="144"/>
      <c r="G4" s="144"/>
      <c r="H4" s="144"/>
      <c r="I4" s="144"/>
      <c r="J4" s="144"/>
      <c r="K4" s="144"/>
      <c r="L4" s="144"/>
      <c r="M4" s="144"/>
      <c r="N4" s="144"/>
      <c r="O4" s="144"/>
      <c r="P4" s="144"/>
      <c r="Q4" s="144"/>
      <c r="R4" s="145"/>
      <c r="S4" s="145"/>
      <c r="T4" s="145"/>
      <c r="U4" s="145"/>
    </row>
    <row r="5" spans="1:21">
      <c r="A5" s="147" t="s">
        <v>622</v>
      </c>
      <c r="B5" s="508">
        <v>158.59899999999999</v>
      </c>
      <c r="C5" s="142"/>
      <c r="D5" s="144"/>
      <c r="E5" s="144"/>
      <c r="F5" s="144"/>
      <c r="G5" s="144"/>
      <c r="H5" s="144"/>
      <c r="I5" s="144"/>
      <c r="J5" s="144"/>
      <c r="K5" s="144"/>
      <c r="L5" s="144"/>
      <c r="M5" s="144"/>
      <c r="N5" s="144"/>
      <c r="O5" s="144"/>
      <c r="P5" s="144"/>
      <c r="Q5" s="144"/>
      <c r="R5" s="145"/>
      <c r="S5" s="145"/>
      <c r="T5" s="145"/>
      <c r="U5" s="145"/>
    </row>
    <row r="6" spans="1:21">
      <c r="A6" s="149" t="s">
        <v>50</v>
      </c>
      <c r="B6" s="51">
        <v>30.553815326199999</v>
      </c>
      <c r="C6" s="143"/>
      <c r="D6" s="144"/>
      <c r="E6" s="144"/>
      <c r="F6" s="144"/>
      <c r="G6" s="144"/>
      <c r="H6" s="144"/>
      <c r="I6" s="144"/>
      <c r="J6" s="144"/>
      <c r="K6" s="144"/>
      <c r="L6" s="144"/>
      <c r="M6" s="144"/>
      <c r="N6" s="144"/>
      <c r="O6" s="144"/>
      <c r="P6" s="144"/>
      <c r="Q6" s="144"/>
      <c r="R6" s="145"/>
      <c r="S6" s="145"/>
      <c r="T6" s="145"/>
      <c r="U6" s="145"/>
    </row>
    <row r="7" spans="1:21" ht="25.5">
      <c r="A7" s="141" t="s">
        <v>696</v>
      </c>
      <c r="B7" s="510" t="s">
        <v>751</v>
      </c>
      <c r="C7" s="143" t="s">
        <v>752</v>
      </c>
      <c r="D7" s="144"/>
      <c r="E7" s="144"/>
      <c r="F7" s="144"/>
      <c r="G7" s="144"/>
      <c r="H7" s="144"/>
      <c r="I7" s="144"/>
      <c r="J7" s="144"/>
      <c r="K7" s="144"/>
      <c r="L7" s="144"/>
      <c r="M7" s="144"/>
      <c r="N7" s="144"/>
      <c r="O7" s="144"/>
      <c r="P7" s="144"/>
      <c r="Q7" s="144"/>
      <c r="R7" s="145"/>
      <c r="S7" s="145"/>
      <c r="T7" s="145"/>
      <c r="U7" s="145"/>
    </row>
    <row r="8" spans="1:21">
      <c r="A8" s="141" t="s">
        <v>63</v>
      </c>
      <c r="B8" s="146" t="s">
        <v>753</v>
      </c>
      <c r="C8" s="143"/>
      <c r="D8" s="144"/>
      <c r="E8" s="144"/>
      <c r="F8" s="144"/>
      <c r="G8" s="144"/>
      <c r="H8" s="144"/>
      <c r="I8" s="144"/>
      <c r="J8" s="144"/>
      <c r="K8" s="144"/>
      <c r="L8" s="144"/>
      <c r="M8" s="144"/>
      <c r="N8" s="144"/>
      <c r="O8" s="144"/>
      <c r="P8" s="144"/>
      <c r="Q8" s="144"/>
      <c r="R8" s="145"/>
      <c r="S8" s="145"/>
      <c r="T8" s="145"/>
      <c r="U8" s="145"/>
    </row>
    <row r="9" spans="1:21">
      <c r="A9" s="141" t="s">
        <v>64</v>
      </c>
      <c r="B9" s="146" t="s">
        <v>197</v>
      </c>
      <c r="C9" s="143"/>
      <c r="D9" s="144"/>
      <c r="E9" s="144"/>
      <c r="F9" s="144"/>
      <c r="G9" s="144"/>
      <c r="H9" s="144"/>
      <c r="I9" s="144"/>
      <c r="J9" s="144"/>
      <c r="K9" s="144"/>
      <c r="L9" s="144"/>
      <c r="M9" s="144"/>
      <c r="N9" s="144"/>
      <c r="O9" s="144"/>
      <c r="P9" s="144"/>
      <c r="Q9" s="144"/>
      <c r="R9" s="145"/>
      <c r="S9" s="145"/>
      <c r="T9" s="145"/>
      <c r="U9" s="145"/>
    </row>
    <row r="10" spans="1:21">
      <c r="A10" s="141" t="s">
        <v>65</v>
      </c>
      <c r="B10" s="152" t="s">
        <v>87</v>
      </c>
      <c r="C10" s="144"/>
      <c r="D10" s="144"/>
      <c r="E10" s="144"/>
      <c r="F10" s="144"/>
      <c r="G10" s="144"/>
      <c r="H10" s="144"/>
      <c r="I10" s="144"/>
      <c r="J10" s="144"/>
      <c r="K10" s="144"/>
      <c r="L10" s="144"/>
      <c r="M10" s="144"/>
      <c r="N10" s="144"/>
      <c r="O10" s="144"/>
      <c r="P10" s="144"/>
      <c r="Q10" s="144"/>
      <c r="R10" s="145"/>
      <c r="S10" s="145"/>
      <c r="T10" s="145"/>
      <c r="U10" s="145"/>
    </row>
    <row r="11" spans="1:21" ht="13.5" thickBot="1">
      <c r="A11" s="145"/>
      <c r="B11" s="145"/>
      <c r="C11" s="144"/>
      <c r="D11" s="144"/>
      <c r="E11" s="144"/>
      <c r="F11" s="144"/>
      <c r="G11" s="154"/>
      <c r="H11" s="144"/>
      <c r="I11" s="144"/>
      <c r="J11" s="144"/>
      <c r="K11" s="168"/>
      <c r="L11" s="144"/>
      <c r="M11" s="144"/>
      <c r="N11" s="144"/>
      <c r="O11" s="144"/>
      <c r="P11" s="144"/>
      <c r="Q11" s="144"/>
      <c r="R11" s="145"/>
      <c r="S11" s="145"/>
      <c r="T11" s="145"/>
      <c r="U11" s="145"/>
    </row>
    <row r="12" spans="1:21" ht="64.5" thickBot="1">
      <c r="A12" s="211" t="s">
        <v>18</v>
      </c>
      <c r="B12" s="212" t="s">
        <v>66</v>
      </c>
      <c r="C12" s="212" t="s">
        <v>67</v>
      </c>
      <c r="D12" s="212" t="s">
        <v>68</v>
      </c>
      <c r="E12" s="212" t="s">
        <v>69</v>
      </c>
      <c r="F12" s="755" t="s">
        <v>43</v>
      </c>
      <c r="G12" s="212" t="s">
        <v>31</v>
      </c>
      <c r="H12" s="235" t="s">
        <v>10</v>
      </c>
      <c r="I12" s="160" t="s">
        <v>725</v>
      </c>
      <c r="J12" s="215" t="s">
        <v>664</v>
      </c>
      <c r="K12" s="216" t="s">
        <v>659</v>
      </c>
      <c r="L12" s="217" t="s">
        <v>70</v>
      </c>
      <c r="M12" s="217" t="s">
        <v>71</v>
      </c>
      <c r="N12" s="217" t="s">
        <v>36</v>
      </c>
      <c r="O12" s="218" t="s">
        <v>34</v>
      </c>
      <c r="P12" s="217" t="s">
        <v>72</v>
      </c>
      <c r="Q12" s="218" t="s">
        <v>73</v>
      </c>
      <c r="R12" s="160" t="s">
        <v>15</v>
      </c>
      <c r="S12" s="166" t="s">
        <v>38</v>
      </c>
      <c r="T12" s="145"/>
      <c r="U12" s="145"/>
    </row>
    <row r="13" spans="1:21">
      <c r="A13" s="236"/>
      <c r="B13" s="237"/>
      <c r="C13" s="237"/>
      <c r="D13" s="237"/>
      <c r="E13" s="237"/>
      <c r="F13" s="193"/>
      <c r="G13" s="237"/>
      <c r="H13" s="238"/>
      <c r="I13" s="499"/>
      <c r="J13" s="170"/>
      <c r="K13" s="512"/>
      <c r="L13" s="241"/>
      <c r="M13" s="241"/>
      <c r="N13" s="241"/>
      <c r="O13" s="242"/>
      <c r="P13" s="240"/>
      <c r="Q13" s="242"/>
      <c r="R13" s="500"/>
      <c r="S13" s="176"/>
      <c r="T13" s="145"/>
      <c r="U13" s="145"/>
    </row>
    <row r="14" spans="1:21">
      <c r="A14" s="167">
        <v>1209</v>
      </c>
      <c r="B14" s="144" t="s">
        <v>89</v>
      </c>
      <c r="C14" s="156" t="s">
        <v>90</v>
      </c>
      <c r="D14" s="156">
        <v>1</v>
      </c>
      <c r="E14" s="156">
        <v>89</v>
      </c>
      <c r="F14" s="396">
        <v>210.8</v>
      </c>
      <c r="G14" s="270"/>
      <c r="H14" s="245"/>
      <c r="I14" s="248">
        <v>-1.46</v>
      </c>
      <c r="J14" s="450">
        <v>-0.89012341618537905</v>
      </c>
      <c r="K14" s="491">
        <f t="shared" ref="K14" si="0">16.1-4.64*($I14-J14)+0.09*($I14-J14)^2</f>
        <v>18.77345568777006</v>
      </c>
      <c r="L14" s="228" t="s">
        <v>33</v>
      </c>
      <c r="M14" s="317" t="s">
        <v>74</v>
      </c>
      <c r="N14" s="317" t="s">
        <v>88</v>
      </c>
      <c r="O14" s="307" t="s">
        <v>35</v>
      </c>
      <c r="P14" s="314" t="s">
        <v>91</v>
      </c>
      <c r="Q14" s="501" t="s">
        <v>92</v>
      </c>
      <c r="R14" s="315" t="s">
        <v>86</v>
      </c>
      <c r="S14" s="380"/>
      <c r="T14" s="145"/>
      <c r="U14" s="145"/>
    </row>
    <row r="15" spans="1:21">
      <c r="A15" s="167">
        <v>1209</v>
      </c>
      <c r="B15" s="144" t="s">
        <v>89</v>
      </c>
      <c r="C15" s="156" t="s">
        <v>90</v>
      </c>
      <c r="D15" s="156">
        <v>1</v>
      </c>
      <c r="E15" s="156">
        <v>89</v>
      </c>
      <c r="F15" s="396">
        <v>210.8</v>
      </c>
      <c r="G15" s="270"/>
      <c r="H15" s="502"/>
      <c r="I15" s="248">
        <v>-1.07</v>
      </c>
      <c r="J15" s="450">
        <v>-0.89012341618537905</v>
      </c>
      <c r="K15" s="491">
        <f t="shared" ref="K15:K78" si="1">16.1-4.64*($I15-J15)+0.09*($I15-J15)^2</f>
        <v>16.937539351586274</v>
      </c>
      <c r="L15" s="228" t="s">
        <v>33</v>
      </c>
      <c r="M15" s="317" t="s">
        <v>74</v>
      </c>
      <c r="N15" s="317" t="s">
        <v>88</v>
      </c>
      <c r="O15" s="307" t="s">
        <v>35</v>
      </c>
      <c r="P15" s="314" t="s">
        <v>91</v>
      </c>
      <c r="Q15" s="501" t="s">
        <v>92</v>
      </c>
      <c r="R15" s="315" t="s">
        <v>86</v>
      </c>
      <c r="S15" s="176"/>
      <c r="T15" s="145"/>
      <c r="U15" s="145"/>
    </row>
    <row r="16" spans="1:21">
      <c r="A16" s="167">
        <v>1209</v>
      </c>
      <c r="B16" s="144" t="s">
        <v>89</v>
      </c>
      <c r="C16" s="156" t="s">
        <v>90</v>
      </c>
      <c r="D16" s="156">
        <v>1</v>
      </c>
      <c r="E16" s="156">
        <v>94</v>
      </c>
      <c r="F16" s="248">
        <v>210.85</v>
      </c>
      <c r="G16" s="270"/>
      <c r="H16" s="502"/>
      <c r="I16" s="248">
        <v>-1.51</v>
      </c>
      <c r="J16" s="450">
        <v>-0.89012341618537905</v>
      </c>
      <c r="K16" s="491">
        <f t="shared" si="1"/>
        <v>19.010809577024396</v>
      </c>
      <c r="L16" s="228" t="s">
        <v>33</v>
      </c>
      <c r="M16" s="317" t="s">
        <v>74</v>
      </c>
      <c r="N16" s="317" t="s">
        <v>88</v>
      </c>
      <c r="O16" s="307" t="s">
        <v>35</v>
      </c>
      <c r="P16" s="314" t="s">
        <v>91</v>
      </c>
      <c r="Q16" s="501" t="s">
        <v>92</v>
      </c>
      <c r="R16" s="315" t="s">
        <v>86</v>
      </c>
      <c r="S16" s="176"/>
      <c r="T16" s="145"/>
      <c r="U16" s="145"/>
    </row>
    <row r="17" spans="1:21">
      <c r="A17" s="167">
        <v>1209</v>
      </c>
      <c r="B17" s="144" t="s">
        <v>89</v>
      </c>
      <c r="C17" s="156" t="s">
        <v>90</v>
      </c>
      <c r="D17" s="156">
        <v>1</v>
      </c>
      <c r="E17" s="156">
        <v>94</v>
      </c>
      <c r="F17" s="248">
        <v>210.85</v>
      </c>
      <c r="G17" s="270"/>
      <c r="H17" s="502"/>
      <c r="I17" s="248">
        <v>-1.39</v>
      </c>
      <c r="J17" s="450">
        <v>-0.89012341618537905</v>
      </c>
      <c r="K17" s="491">
        <f t="shared" si="1"/>
        <v>18.441916242813996</v>
      </c>
      <c r="L17" s="228" t="s">
        <v>33</v>
      </c>
      <c r="M17" s="317" t="s">
        <v>74</v>
      </c>
      <c r="N17" s="317" t="s">
        <v>88</v>
      </c>
      <c r="O17" s="307" t="s">
        <v>35</v>
      </c>
      <c r="P17" s="314" t="s">
        <v>91</v>
      </c>
      <c r="Q17" s="501" t="s">
        <v>92</v>
      </c>
      <c r="R17" s="315" t="s">
        <v>86</v>
      </c>
      <c r="S17" s="176"/>
      <c r="T17" s="145"/>
      <c r="U17" s="145"/>
    </row>
    <row r="18" spans="1:21">
      <c r="A18" s="167">
        <v>1209</v>
      </c>
      <c r="B18" s="144" t="s">
        <v>89</v>
      </c>
      <c r="C18" s="156" t="s">
        <v>90</v>
      </c>
      <c r="D18" s="156">
        <v>1</v>
      </c>
      <c r="E18" s="156">
        <v>99</v>
      </c>
      <c r="F18" s="248">
        <v>210.9</v>
      </c>
      <c r="G18" s="270"/>
      <c r="H18" s="502"/>
      <c r="I18" s="248">
        <v>-1.43</v>
      </c>
      <c r="J18" s="450">
        <v>-0.89012341618537905</v>
      </c>
      <c r="K18" s="491">
        <f t="shared" si="1"/>
        <v>18.631259354217462</v>
      </c>
      <c r="L18" s="228" t="s">
        <v>33</v>
      </c>
      <c r="M18" s="317" t="s">
        <v>74</v>
      </c>
      <c r="N18" s="317" t="s">
        <v>88</v>
      </c>
      <c r="O18" s="307" t="s">
        <v>35</v>
      </c>
      <c r="P18" s="314" t="s">
        <v>91</v>
      </c>
      <c r="Q18" s="501" t="s">
        <v>92</v>
      </c>
      <c r="R18" s="315" t="s">
        <v>86</v>
      </c>
      <c r="S18" s="176"/>
      <c r="T18" s="145"/>
      <c r="U18" s="145"/>
    </row>
    <row r="19" spans="1:21">
      <c r="A19" s="167">
        <v>1209</v>
      </c>
      <c r="B19" s="144" t="s">
        <v>89</v>
      </c>
      <c r="C19" s="156" t="s">
        <v>90</v>
      </c>
      <c r="D19" s="156">
        <v>1</v>
      </c>
      <c r="E19" s="156">
        <v>99</v>
      </c>
      <c r="F19" s="248">
        <v>210.9</v>
      </c>
      <c r="G19" s="270"/>
      <c r="H19" s="502"/>
      <c r="I19" s="248">
        <v>-1.27</v>
      </c>
      <c r="J19" s="450">
        <v>-0.89012341618537905</v>
      </c>
      <c r="K19" s="491">
        <f t="shared" si="1"/>
        <v>17.875614908603602</v>
      </c>
      <c r="L19" s="228" t="s">
        <v>33</v>
      </c>
      <c r="M19" s="317" t="s">
        <v>74</v>
      </c>
      <c r="N19" s="317" t="s">
        <v>88</v>
      </c>
      <c r="O19" s="307" t="s">
        <v>35</v>
      </c>
      <c r="P19" s="314" t="s">
        <v>91</v>
      </c>
      <c r="Q19" s="501" t="s">
        <v>92</v>
      </c>
      <c r="R19" s="315" t="s">
        <v>86</v>
      </c>
      <c r="S19" s="176"/>
      <c r="T19" s="145"/>
      <c r="U19" s="145"/>
    </row>
    <row r="20" spans="1:21">
      <c r="A20" s="167">
        <v>1209</v>
      </c>
      <c r="B20" s="144" t="s">
        <v>89</v>
      </c>
      <c r="C20" s="156" t="s">
        <v>90</v>
      </c>
      <c r="D20" s="156">
        <v>1</v>
      </c>
      <c r="E20" s="156">
        <v>104</v>
      </c>
      <c r="F20" s="248">
        <v>210.95</v>
      </c>
      <c r="G20" s="270"/>
      <c r="H20" s="502"/>
      <c r="I20" s="248">
        <v>-1.38</v>
      </c>
      <c r="J20" s="450">
        <v>-0.89012341618537905</v>
      </c>
      <c r="K20" s="491">
        <f t="shared" si="1"/>
        <v>18.394625464963131</v>
      </c>
      <c r="L20" s="228" t="s">
        <v>33</v>
      </c>
      <c r="M20" s="317" t="s">
        <v>74</v>
      </c>
      <c r="N20" s="317" t="s">
        <v>88</v>
      </c>
      <c r="O20" s="307" t="s">
        <v>35</v>
      </c>
      <c r="P20" s="314" t="s">
        <v>91</v>
      </c>
      <c r="Q20" s="501" t="s">
        <v>92</v>
      </c>
      <c r="R20" s="315" t="s">
        <v>86</v>
      </c>
      <c r="S20" s="176"/>
      <c r="T20" s="145"/>
      <c r="U20" s="145"/>
    </row>
    <row r="21" spans="1:21">
      <c r="A21" s="167">
        <v>1209</v>
      </c>
      <c r="B21" s="144" t="s">
        <v>89</v>
      </c>
      <c r="C21" s="156" t="s">
        <v>90</v>
      </c>
      <c r="D21" s="156">
        <v>1</v>
      </c>
      <c r="E21" s="156">
        <v>104</v>
      </c>
      <c r="F21" s="248">
        <v>210.95</v>
      </c>
      <c r="G21" s="270"/>
      <c r="H21" s="502"/>
      <c r="I21" s="248">
        <v>-1.26</v>
      </c>
      <c r="J21" s="450">
        <v>-0.89012341618537905</v>
      </c>
      <c r="K21" s="491">
        <f t="shared" si="1"/>
        <v>17.828540130752739</v>
      </c>
      <c r="L21" s="228" t="s">
        <v>33</v>
      </c>
      <c r="M21" s="317" t="s">
        <v>74</v>
      </c>
      <c r="N21" s="317" t="s">
        <v>88</v>
      </c>
      <c r="O21" s="307" t="s">
        <v>35</v>
      </c>
      <c r="P21" s="314" t="s">
        <v>91</v>
      </c>
      <c r="Q21" s="501" t="s">
        <v>92</v>
      </c>
      <c r="R21" s="315" t="s">
        <v>86</v>
      </c>
      <c r="S21" s="176"/>
      <c r="T21" s="145"/>
      <c r="U21" s="145"/>
    </row>
    <row r="22" spans="1:21">
      <c r="A22" s="167">
        <v>1209</v>
      </c>
      <c r="B22" s="144" t="s">
        <v>89</v>
      </c>
      <c r="C22" s="156" t="s">
        <v>90</v>
      </c>
      <c r="D22" s="156">
        <v>1</v>
      </c>
      <c r="E22" s="156">
        <v>104</v>
      </c>
      <c r="F22" s="248">
        <v>210.95</v>
      </c>
      <c r="G22" s="270"/>
      <c r="H22" s="502"/>
      <c r="I22" s="248">
        <v>-1.23</v>
      </c>
      <c r="J22" s="450">
        <v>-0.89012341618537905</v>
      </c>
      <c r="K22" s="491">
        <f t="shared" si="1"/>
        <v>17.687423797200136</v>
      </c>
      <c r="L22" s="228" t="s">
        <v>33</v>
      </c>
      <c r="M22" s="317" t="s">
        <v>74</v>
      </c>
      <c r="N22" s="317" t="s">
        <v>88</v>
      </c>
      <c r="O22" s="307" t="s">
        <v>35</v>
      </c>
      <c r="P22" s="314" t="s">
        <v>91</v>
      </c>
      <c r="Q22" s="501" t="s">
        <v>92</v>
      </c>
      <c r="R22" s="315" t="s">
        <v>86</v>
      </c>
      <c r="S22" s="176"/>
      <c r="T22" s="145"/>
      <c r="U22" s="145"/>
    </row>
    <row r="23" spans="1:21">
      <c r="A23" s="167">
        <v>1209</v>
      </c>
      <c r="B23" s="144" t="s">
        <v>89</v>
      </c>
      <c r="C23" s="156" t="s">
        <v>90</v>
      </c>
      <c r="D23" s="156">
        <v>1</v>
      </c>
      <c r="E23" s="156">
        <v>109</v>
      </c>
      <c r="F23" s="248">
        <v>211</v>
      </c>
      <c r="G23" s="270"/>
      <c r="H23" s="502"/>
      <c r="I23" s="248">
        <v>-1.21</v>
      </c>
      <c r="J23" s="450">
        <v>-0.89012341618537905</v>
      </c>
      <c r="K23" s="491">
        <f t="shared" si="1"/>
        <v>17.593436241498402</v>
      </c>
      <c r="L23" s="228" t="s">
        <v>33</v>
      </c>
      <c r="M23" s="317" t="s">
        <v>74</v>
      </c>
      <c r="N23" s="317" t="s">
        <v>88</v>
      </c>
      <c r="O23" s="307" t="s">
        <v>35</v>
      </c>
      <c r="P23" s="314" t="s">
        <v>91</v>
      </c>
      <c r="Q23" s="501" t="s">
        <v>92</v>
      </c>
      <c r="R23" s="315" t="s">
        <v>86</v>
      </c>
      <c r="S23" s="176"/>
      <c r="T23" s="145"/>
      <c r="U23" s="145"/>
    </row>
    <row r="24" spans="1:21">
      <c r="A24" s="167">
        <v>1209</v>
      </c>
      <c r="B24" s="144" t="s">
        <v>89</v>
      </c>
      <c r="C24" s="156" t="s">
        <v>90</v>
      </c>
      <c r="D24" s="156">
        <v>1</v>
      </c>
      <c r="E24" s="156">
        <v>109</v>
      </c>
      <c r="F24" s="248">
        <v>211</v>
      </c>
      <c r="G24" s="270"/>
      <c r="H24" s="502"/>
      <c r="I24" s="248">
        <v>-1.1200000000000001</v>
      </c>
      <c r="J24" s="450">
        <v>-0.89012341618537905</v>
      </c>
      <c r="K24" s="491">
        <f t="shared" si="1"/>
        <v>17.171383240840608</v>
      </c>
      <c r="L24" s="228" t="s">
        <v>33</v>
      </c>
      <c r="M24" s="317" t="s">
        <v>74</v>
      </c>
      <c r="N24" s="317" t="s">
        <v>88</v>
      </c>
      <c r="O24" s="307" t="s">
        <v>35</v>
      </c>
      <c r="P24" s="314" t="s">
        <v>91</v>
      </c>
      <c r="Q24" s="501" t="s">
        <v>92</v>
      </c>
      <c r="R24" s="315" t="s">
        <v>86</v>
      </c>
      <c r="S24" s="176"/>
      <c r="T24" s="145"/>
      <c r="U24" s="145"/>
    </row>
    <row r="25" spans="1:21">
      <c r="A25" s="167">
        <v>1209</v>
      </c>
      <c r="B25" s="144" t="s">
        <v>89</v>
      </c>
      <c r="C25" s="156" t="s">
        <v>90</v>
      </c>
      <c r="D25" s="156">
        <v>1</v>
      </c>
      <c r="E25" s="156">
        <v>109</v>
      </c>
      <c r="F25" s="248">
        <v>211</v>
      </c>
      <c r="G25" s="270"/>
      <c r="H25" s="502"/>
      <c r="I25" s="248">
        <v>-1.03</v>
      </c>
      <c r="J25" s="450">
        <v>-0.89012341618537905</v>
      </c>
      <c r="K25" s="491">
        <f t="shared" si="1"/>
        <v>16.750788240182814</v>
      </c>
      <c r="L25" s="228" t="s">
        <v>33</v>
      </c>
      <c r="M25" s="317" t="s">
        <v>74</v>
      </c>
      <c r="N25" s="317" t="s">
        <v>88</v>
      </c>
      <c r="O25" s="307" t="s">
        <v>35</v>
      </c>
      <c r="P25" s="314" t="s">
        <v>91</v>
      </c>
      <c r="Q25" s="501" t="s">
        <v>92</v>
      </c>
      <c r="R25" s="315" t="s">
        <v>86</v>
      </c>
      <c r="S25" s="176"/>
      <c r="T25" s="145"/>
      <c r="U25" s="145"/>
    </row>
    <row r="26" spans="1:21">
      <c r="A26" s="167">
        <v>1209</v>
      </c>
      <c r="B26" s="144" t="s">
        <v>89</v>
      </c>
      <c r="C26" s="156" t="s">
        <v>90</v>
      </c>
      <c r="D26" s="156">
        <v>1</v>
      </c>
      <c r="E26" s="156">
        <v>114</v>
      </c>
      <c r="F26" s="248">
        <v>211.05</v>
      </c>
      <c r="G26" s="270"/>
      <c r="H26" s="502"/>
      <c r="I26" s="248">
        <v>-1.47</v>
      </c>
      <c r="J26" s="450">
        <v>-0.89012341618537905</v>
      </c>
      <c r="K26" s="491">
        <f t="shared" si="1"/>
        <v>18.820890465620931</v>
      </c>
      <c r="L26" s="228" t="s">
        <v>33</v>
      </c>
      <c r="M26" s="317" t="s">
        <v>74</v>
      </c>
      <c r="N26" s="317" t="s">
        <v>88</v>
      </c>
      <c r="O26" s="307" t="s">
        <v>35</v>
      </c>
      <c r="P26" s="314" t="s">
        <v>91</v>
      </c>
      <c r="Q26" s="501" t="s">
        <v>92</v>
      </c>
      <c r="R26" s="315" t="s">
        <v>86</v>
      </c>
      <c r="S26" s="176"/>
      <c r="T26" s="145"/>
      <c r="U26" s="145"/>
    </row>
    <row r="27" spans="1:21">
      <c r="A27" s="167">
        <v>1209</v>
      </c>
      <c r="B27" s="144" t="s">
        <v>89</v>
      </c>
      <c r="C27" s="156" t="s">
        <v>90</v>
      </c>
      <c r="D27" s="156">
        <v>1</v>
      </c>
      <c r="E27" s="156">
        <v>114</v>
      </c>
      <c r="F27" s="248">
        <v>211.05</v>
      </c>
      <c r="G27" s="270"/>
      <c r="H27" s="502"/>
      <c r="I27" s="248">
        <v>-1.34</v>
      </c>
      <c r="J27" s="450">
        <v>-0.89012341618537905</v>
      </c>
      <c r="K27" s="491">
        <f t="shared" si="1"/>
        <v>18.205642353559668</v>
      </c>
      <c r="L27" s="228" t="s">
        <v>33</v>
      </c>
      <c r="M27" s="317" t="s">
        <v>74</v>
      </c>
      <c r="N27" s="317" t="s">
        <v>88</v>
      </c>
      <c r="O27" s="307" t="s">
        <v>35</v>
      </c>
      <c r="P27" s="314" t="s">
        <v>91</v>
      </c>
      <c r="Q27" s="501" t="s">
        <v>92</v>
      </c>
      <c r="R27" s="315" t="s">
        <v>86</v>
      </c>
      <c r="S27" s="176"/>
      <c r="T27" s="145"/>
      <c r="U27" s="145"/>
    </row>
    <row r="28" spans="1:21">
      <c r="A28" s="167">
        <v>1209</v>
      </c>
      <c r="B28" s="144" t="s">
        <v>89</v>
      </c>
      <c r="C28" s="156" t="s">
        <v>90</v>
      </c>
      <c r="D28" s="156">
        <v>1</v>
      </c>
      <c r="E28" s="156">
        <v>114</v>
      </c>
      <c r="F28" s="248">
        <v>211.05</v>
      </c>
      <c r="G28" s="270"/>
      <c r="H28" s="502"/>
      <c r="I28" s="248">
        <v>-1.23</v>
      </c>
      <c r="J28" s="450">
        <v>-0.89012341618537905</v>
      </c>
      <c r="K28" s="491">
        <f t="shared" si="1"/>
        <v>17.687423797200136</v>
      </c>
      <c r="L28" s="228" t="s">
        <v>33</v>
      </c>
      <c r="M28" s="317" t="s">
        <v>74</v>
      </c>
      <c r="N28" s="317" t="s">
        <v>88</v>
      </c>
      <c r="O28" s="307" t="s">
        <v>35</v>
      </c>
      <c r="P28" s="314" t="s">
        <v>91</v>
      </c>
      <c r="Q28" s="501" t="s">
        <v>92</v>
      </c>
      <c r="R28" s="315" t="s">
        <v>86</v>
      </c>
      <c r="S28" s="176"/>
      <c r="T28" s="145"/>
      <c r="U28" s="145"/>
    </row>
    <row r="29" spans="1:21">
      <c r="A29" s="167">
        <v>1209</v>
      </c>
      <c r="B29" s="144" t="s">
        <v>89</v>
      </c>
      <c r="C29" s="156" t="s">
        <v>90</v>
      </c>
      <c r="D29" s="156">
        <v>1</v>
      </c>
      <c r="E29" s="156">
        <v>119</v>
      </c>
      <c r="F29" s="396">
        <v>211.1</v>
      </c>
      <c r="G29" s="270" t="s">
        <v>20</v>
      </c>
      <c r="H29" s="502"/>
      <c r="I29" s="248">
        <v>-1.56</v>
      </c>
      <c r="J29" s="450">
        <v>-0.89012341618537905</v>
      </c>
      <c r="K29" s="492">
        <f t="shared" si="1"/>
        <v>19.248613466278726</v>
      </c>
      <c r="L29" s="228" t="s">
        <v>33</v>
      </c>
      <c r="M29" s="317" t="s">
        <v>74</v>
      </c>
      <c r="N29" s="317" t="s">
        <v>88</v>
      </c>
      <c r="O29" s="307" t="s">
        <v>35</v>
      </c>
      <c r="P29" s="314" t="s">
        <v>91</v>
      </c>
      <c r="Q29" s="501" t="s">
        <v>92</v>
      </c>
      <c r="R29" s="315" t="s">
        <v>86</v>
      </c>
      <c r="S29" s="176"/>
      <c r="T29" s="145"/>
      <c r="U29" s="145"/>
    </row>
    <row r="30" spans="1:21">
      <c r="A30" s="167">
        <v>1209</v>
      </c>
      <c r="B30" s="144" t="s">
        <v>89</v>
      </c>
      <c r="C30" s="156" t="s">
        <v>90</v>
      </c>
      <c r="D30" s="156">
        <v>1</v>
      </c>
      <c r="E30" s="156">
        <v>119</v>
      </c>
      <c r="F30" s="396">
        <v>211.1</v>
      </c>
      <c r="G30" s="270" t="s">
        <v>20</v>
      </c>
      <c r="H30" s="502"/>
      <c r="I30" s="248">
        <v>-1.53</v>
      </c>
      <c r="J30" s="450">
        <v>-0.89012341618537905</v>
      </c>
      <c r="K30" s="492">
        <f t="shared" si="1"/>
        <v>19.105877132726128</v>
      </c>
      <c r="L30" s="228" t="s">
        <v>33</v>
      </c>
      <c r="M30" s="317" t="s">
        <v>74</v>
      </c>
      <c r="N30" s="317" t="s">
        <v>88</v>
      </c>
      <c r="O30" s="307" t="s">
        <v>35</v>
      </c>
      <c r="P30" s="314" t="s">
        <v>91</v>
      </c>
      <c r="Q30" s="501" t="s">
        <v>92</v>
      </c>
      <c r="R30" s="315" t="s">
        <v>86</v>
      </c>
      <c r="S30" s="176"/>
      <c r="T30" s="145"/>
      <c r="U30" s="145"/>
    </row>
    <row r="31" spans="1:21">
      <c r="A31" s="167">
        <v>1209</v>
      </c>
      <c r="B31" s="144" t="s">
        <v>89</v>
      </c>
      <c r="C31" s="156" t="s">
        <v>90</v>
      </c>
      <c r="D31" s="156">
        <v>1</v>
      </c>
      <c r="E31" s="156">
        <v>119</v>
      </c>
      <c r="F31" s="396">
        <v>211.1</v>
      </c>
      <c r="G31" s="270" t="s">
        <v>20</v>
      </c>
      <c r="H31" s="502"/>
      <c r="I31" s="248">
        <v>-1.34</v>
      </c>
      <c r="J31" s="450">
        <v>-0.89012341618537905</v>
      </c>
      <c r="K31" s="492">
        <f t="shared" si="1"/>
        <v>18.205642353559668</v>
      </c>
      <c r="L31" s="228" t="s">
        <v>33</v>
      </c>
      <c r="M31" s="317" t="s">
        <v>74</v>
      </c>
      <c r="N31" s="317" t="s">
        <v>88</v>
      </c>
      <c r="O31" s="307" t="s">
        <v>35</v>
      </c>
      <c r="P31" s="314" t="s">
        <v>91</v>
      </c>
      <c r="Q31" s="501" t="s">
        <v>92</v>
      </c>
      <c r="R31" s="315" t="s">
        <v>86</v>
      </c>
      <c r="S31" s="176"/>
      <c r="T31" s="145"/>
      <c r="U31" s="145"/>
    </row>
    <row r="32" spans="1:21">
      <c r="A32" s="167">
        <v>1209</v>
      </c>
      <c r="B32" s="144" t="s">
        <v>89</v>
      </c>
      <c r="C32" s="156" t="s">
        <v>90</v>
      </c>
      <c r="D32" s="156">
        <v>1</v>
      </c>
      <c r="E32" s="156">
        <v>120</v>
      </c>
      <c r="F32" s="396">
        <v>211.11</v>
      </c>
      <c r="G32" s="270" t="s">
        <v>20</v>
      </c>
      <c r="H32" s="502"/>
      <c r="I32" s="248">
        <v>-1.7</v>
      </c>
      <c r="J32" s="450">
        <v>-0.89012341618537905</v>
      </c>
      <c r="K32" s="492">
        <f t="shared" si="1"/>
        <v>19.916858356190854</v>
      </c>
      <c r="L32" s="228" t="s">
        <v>33</v>
      </c>
      <c r="M32" s="317" t="s">
        <v>74</v>
      </c>
      <c r="N32" s="317" t="s">
        <v>88</v>
      </c>
      <c r="O32" s="307" t="s">
        <v>35</v>
      </c>
      <c r="P32" s="314" t="s">
        <v>91</v>
      </c>
      <c r="Q32" s="501" t="s">
        <v>92</v>
      </c>
      <c r="R32" s="315" t="s">
        <v>86</v>
      </c>
      <c r="S32" s="176"/>
      <c r="T32" s="145"/>
      <c r="U32" s="145"/>
    </row>
    <row r="33" spans="1:21">
      <c r="A33" s="167">
        <v>1209</v>
      </c>
      <c r="B33" s="144" t="s">
        <v>89</v>
      </c>
      <c r="C33" s="156" t="s">
        <v>90</v>
      </c>
      <c r="D33" s="156">
        <v>1</v>
      </c>
      <c r="E33" s="156">
        <v>120</v>
      </c>
      <c r="F33" s="396">
        <v>211.11</v>
      </c>
      <c r="G33" s="270" t="s">
        <v>20</v>
      </c>
      <c r="H33" s="502"/>
      <c r="I33" s="248">
        <v>-1.56</v>
      </c>
      <c r="J33" s="450">
        <v>-0.89012341618537905</v>
      </c>
      <c r="K33" s="492">
        <f t="shared" si="1"/>
        <v>19.248613466278726</v>
      </c>
      <c r="L33" s="228" t="s">
        <v>33</v>
      </c>
      <c r="M33" s="317" t="s">
        <v>74</v>
      </c>
      <c r="N33" s="317" t="s">
        <v>88</v>
      </c>
      <c r="O33" s="307" t="s">
        <v>35</v>
      </c>
      <c r="P33" s="314" t="s">
        <v>91</v>
      </c>
      <c r="Q33" s="501" t="s">
        <v>92</v>
      </c>
      <c r="R33" s="315" t="s">
        <v>86</v>
      </c>
      <c r="S33" s="176"/>
      <c r="T33" s="145"/>
      <c r="U33" s="145"/>
    </row>
    <row r="34" spans="1:21">
      <c r="A34" s="167">
        <v>1209</v>
      </c>
      <c r="B34" s="144" t="s">
        <v>89</v>
      </c>
      <c r="C34" s="156" t="s">
        <v>90</v>
      </c>
      <c r="D34" s="156">
        <v>1</v>
      </c>
      <c r="E34" s="156">
        <v>120</v>
      </c>
      <c r="F34" s="396">
        <v>211.11</v>
      </c>
      <c r="G34" s="270" t="s">
        <v>20</v>
      </c>
      <c r="H34" s="502"/>
      <c r="I34" s="248">
        <v>-1.51</v>
      </c>
      <c r="J34" s="450">
        <v>-0.89012341618537905</v>
      </c>
      <c r="K34" s="492">
        <f t="shared" si="1"/>
        <v>19.010809577024396</v>
      </c>
      <c r="L34" s="228" t="s">
        <v>33</v>
      </c>
      <c r="M34" s="317" t="s">
        <v>74</v>
      </c>
      <c r="N34" s="317" t="s">
        <v>88</v>
      </c>
      <c r="O34" s="307" t="s">
        <v>35</v>
      </c>
      <c r="P34" s="314" t="s">
        <v>91</v>
      </c>
      <c r="Q34" s="501" t="s">
        <v>92</v>
      </c>
      <c r="R34" s="315" t="s">
        <v>86</v>
      </c>
      <c r="S34" s="176"/>
      <c r="T34" s="145"/>
      <c r="U34" s="145"/>
    </row>
    <row r="35" spans="1:21">
      <c r="A35" s="167">
        <v>1209</v>
      </c>
      <c r="B35" s="144" t="s">
        <v>89</v>
      </c>
      <c r="C35" s="156" t="s">
        <v>90</v>
      </c>
      <c r="D35" s="156">
        <v>1</v>
      </c>
      <c r="E35" s="156">
        <v>120</v>
      </c>
      <c r="F35" s="396">
        <v>211.11</v>
      </c>
      <c r="G35" s="270" t="s">
        <v>20</v>
      </c>
      <c r="H35" s="502"/>
      <c r="I35" s="248">
        <v>-1.17</v>
      </c>
      <c r="J35" s="450">
        <v>-0.89012341618537905</v>
      </c>
      <c r="K35" s="492">
        <f t="shared" si="1"/>
        <v>17.40567713009494</v>
      </c>
      <c r="L35" s="228" t="s">
        <v>33</v>
      </c>
      <c r="M35" s="317" t="s">
        <v>74</v>
      </c>
      <c r="N35" s="317" t="s">
        <v>88</v>
      </c>
      <c r="O35" s="307" t="s">
        <v>35</v>
      </c>
      <c r="P35" s="314" t="s">
        <v>91</v>
      </c>
      <c r="Q35" s="501" t="s">
        <v>92</v>
      </c>
      <c r="R35" s="315" t="s">
        <v>86</v>
      </c>
      <c r="S35" s="176"/>
      <c r="T35" s="145"/>
      <c r="U35" s="145"/>
    </row>
    <row r="36" spans="1:21">
      <c r="A36" s="167">
        <v>1209</v>
      </c>
      <c r="B36" s="144" t="s">
        <v>89</v>
      </c>
      <c r="C36" s="156" t="s">
        <v>90</v>
      </c>
      <c r="D36" s="156">
        <v>1</v>
      </c>
      <c r="E36" s="156">
        <v>121</v>
      </c>
      <c r="F36" s="396">
        <v>211.12</v>
      </c>
      <c r="G36" s="270" t="s">
        <v>20</v>
      </c>
      <c r="H36" s="502"/>
      <c r="I36" s="248">
        <v>-1.33</v>
      </c>
      <c r="J36" s="450">
        <v>-0.89012341618537905</v>
      </c>
      <c r="K36" s="492">
        <f t="shared" si="1"/>
        <v>18.158441575708803</v>
      </c>
      <c r="L36" s="228" t="s">
        <v>33</v>
      </c>
      <c r="M36" s="317" t="s">
        <v>74</v>
      </c>
      <c r="N36" s="317" t="s">
        <v>88</v>
      </c>
      <c r="O36" s="307" t="s">
        <v>35</v>
      </c>
      <c r="P36" s="314" t="s">
        <v>91</v>
      </c>
      <c r="Q36" s="501" t="s">
        <v>92</v>
      </c>
      <c r="R36" s="315" t="s">
        <v>86</v>
      </c>
      <c r="S36" s="176"/>
      <c r="T36" s="145"/>
      <c r="U36" s="145"/>
    </row>
    <row r="37" spans="1:21">
      <c r="A37" s="167">
        <v>1209</v>
      </c>
      <c r="B37" s="144" t="s">
        <v>89</v>
      </c>
      <c r="C37" s="156" t="s">
        <v>90</v>
      </c>
      <c r="D37" s="156">
        <v>1</v>
      </c>
      <c r="E37" s="156">
        <v>121</v>
      </c>
      <c r="F37" s="396">
        <v>211.12</v>
      </c>
      <c r="G37" s="270" t="s">
        <v>20</v>
      </c>
      <c r="H37" s="502"/>
      <c r="I37" s="248">
        <v>-1.31</v>
      </c>
      <c r="J37" s="450">
        <v>-0.89012341618537905</v>
      </c>
      <c r="K37" s="492">
        <f t="shared" si="1"/>
        <v>18.064094020007069</v>
      </c>
      <c r="L37" s="228" t="s">
        <v>33</v>
      </c>
      <c r="M37" s="317" t="s">
        <v>74</v>
      </c>
      <c r="N37" s="317" t="s">
        <v>88</v>
      </c>
      <c r="O37" s="307" t="s">
        <v>35</v>
      </c>
      <c r="P37" s="314" t="s">
        <v>91</v>
      </c>
      <c r="Q37" s="501" t="s">
        <v>92</v>
      </c>
      <c r="R37" s="315" t="s">
        <v>86</v>
      </c>
      <c r="S37" s="176"/>
      <c r="T37" s="145"/>
      <c r="U37" s="145"/>
    </row>
    <row r="38" spans="1:21">
      <c r="A38" s="167">
        <v>1209</v>
      </c>
      <c r="B38" s="144" t="s">
        <v>89</v>
      </c>
      <c r="C38" s="156" t="s">
        <v>90</v>
      </c>
      <c r="D38" s="156">
        <v>1</v>
      </c>
      <c r="E38" s="156">
        <v>121</v>
      </c>
      <c r="F38" s="396">
        <v>211.12</v>
      </c>
      <c r="G38" s="270" t="s">
        <v>20</v>
      </c>
      <c r="H38" s="502"/>
      <c r="I38" s="248">
        <v>-1.25</v>
      </c>
      <c r="J38" s="450">
        <v>-0.89012341618537905</v>
      </c>
      <c r="K38" s="492">
        <f t="shared" si="1"/>
        <v>17.781483352901869</v>
      </c>
      <c r="L38" s="228" t="s">
        <v>33</v>
      </c>
      <c r="M38" s="317" t="s">
        <v>74</v>
      </c>
      <c r="N38" s="317" t="s">
        <v>88</v>
      </c>
      <c r="O38" s="307" t="s">
        <v>35</v>
      </c>
      <c r="P38" s="314" t="s">
        <v>91</v>
      </c>
      <c r="Q38" s="501" t="s">
        <v>92</v>
      </c>
      <c r="R38" s="315" t="s">
        <v>86</v>
      </c>
      <c r="S38" s="176"/>
      <c r="T38" s="145"/>
      <c r="U38" s="145"/>
    </row>
    <row r="39" spans="1:21">
      <c r="A39" s="167">
        <v>1209</v>
      </c>
      <c r="B39" s="144" t="s">
        <v>89</v>
      </c>
      <c r="C39" s="156" t="s">
        <v>90</v>
      </c>
      <c r="D39" s="156">
        <v>1</v>
      </c>
      <c r="E39" s="156">
        <v>122</v>
      </c>
      <c r="F39" s="396">
        <v>211.13</v>
      </c>
      <c r="G39" s="270" t="s">
        <v>20</v>
      </c>
      <c r="H39" s="502"/>
      <c r="I39" s="248">
        <v>-1.61</v>
      </c>
      <c r="J39" s="450">
        <v>-0.89012341618537905</v>
      </c>
      <c r="K39" s="492">
        <f t="shared" si="1"/>
        <v>19.486867355533057</v>
      </c>
      <c r="L39" s="228" t="s">
        <v>33</v>
      </c>
      <c r="M39" s="317" t="s">
        <v>74</v>
      </c>
      <c r="N39" s="317" t="s">
        <v>88</v>
      </c>
      <c r="O39" s="307" t="s">
        <v>35</v>
      </c>
      <c r="P39" s="314" t="s">
        <v>91</v>
      </c>
      <c r="Q39" s="501" t="s">
        <v>92</v>
      </c>
      <c r="R39" s="315" t="s">
        <v>86</v>
      </c>
      <c r="S39" s="176"/>
      <c r="T39" s="145"/>
      <c r="U39" s="145"/>
    </row>
    <row r="40" spans="1:21">
      <c r="A40" s="167">
        <v>1209</v>
      </c>
      <c r="B40" s="144" t="s">
        <v>89</v>
      </c>
      <c r="C40" s="156" t="s">
        <v>90</v>
      </c>
      <c r="D40" s="156">
        <v>1</v>
      </c>
      <c r="E40" s="156">
        <v>122</v>
      </c>
      <c r="F40" s="396">
        <v>211.13</v>
      </c>
      <c r="G40" s="270" t="s">
        <v>20</v>
      </c>
      <c r="H40" s="502"/>
      <c r="I40" s="248">
        <v>-1.17</v>
      </c>
      <c r="J40" s="450">
        <v>-0.89012341618537905</v>
      </c>
      <c r="K40" s="492">
        <f t="shared" si="1"/>
        <v>17.40567713009494</v>
      </c>
      <c r="L40" s="228" t="s">
        <v>33</v>
      </c>
      <c r="M40" s="317" t="s">
        <v>74</v>
      </c>
      <c r="N40" s="317" t="s">
        <v>88</v>
      </c>
      <c r="O40" s="307" t="s">
        <v>35</v>
      </c>
      <c r="P40" s="314" t="s">
        <v>91</v>
      </c>
      <c r="Q40" s="501" t="s">
        <v>92</v>
      </c>
      <c r="R40" s="315" t="s">
        <v>86</v>
      </c>
      <c r="S40" s="176"/>
      <c r="T40" s="145"/>
      <c r="U40" s="145"/>
    </row>
    <row r="41" spans="1:21">
      <c r="A41" s="167">
        <v>1209</v>
      </c>
      <c r="B41" s="144" t="s">
        <v>89</v>
      </c>
      <c r="C41" s="156" t="s">
        <v>90</v>
      </c>
      <c r="D41" s="156">
        <v>1</v>
      </c>
      <c r="E41" s="156">
        <v>122</v>
      </c>
      <c r="F41" s="396">
        <v>211.13</v>
      </c>
      <c r="G41" s="270" t="s">
        <v>20</v>
      </c>
      <c r="H41" s="502"/>
      <c r="I41" s="248">
        <v>-1.08</v>
      </c>
      <c r="J41" s="450">
        <v>-0.89012341618537905</v>
      </c>
      <c r="K41" s="492">
        <f t="shared" si="1"/>
        <v>16.984272129437144</v>
      </c>
      <c r="L41" s="228" t="s">
        <v>33</v>
      </c>
      <c r="M41" s="317" t="s">
        <v>74</v>
      </c>
      <c r="N41" s="317" t="s">
        <v>88</v>
      </c>
      <c r="O41" s="307" t="s">
        <v>35</v>
      </c>
      <c r="P41" s="314" t="s">
        <v>91</v>
      </c>
      <c r="Q41" s="501" t="s">
        <v>92</v>
      </c>
      <c r="R41" s="315" t="s">
        <v>86</v>
      </c>
      <c r="S41" s="176"/>
      <c r="T41" s="145"/>
      <c r="U41" s="145"/>
    </row>
    <row r="42" spans="1:21">
      <c r="A42" s="167">
        <v>1209</v>
      </c>
      <c r="B42" s="144" t="s">
        <v>89</v>
      </c>
      <c r="C42" s="156" t="s">
        <v>90</v>
      </c>
      <c r="D42" s="156">
        <v>1</v>
      </c>
      <c r="E42" s="156">
        <v>123</v>
      </c>
      <c r="F42" s="396">
        <v>211.14</v>
      </c>
      <c r="G42" s="270" t="s">
        <v>20</v>
      </c>
      <c r="H42" s="502"/>
      <c r="I42" s="248">
        <v>-1.62</v>
      </c>
      <c r="J42" s="450">
        <v>-0.89012341618537905</v>
      </c>
      <c r="K42" s="492">
        <f t="shared" si="1"/>
        <v>19.534572133383925</v>
      </c>
      <c r="L42" s="228" t="s">
        <v>33</v>
      </c>
      <c r="M42" s="317" t="s">
        <v>74</v>
      </c>
      <c r="N42" s="317" t="s">
        <v>88</v>
      </c>
      <c r="O42" s="307" t="s">
        <v>35</v>
      </c>
      <c r="P42" s="314" t="s">
        <v>91</v>
      </c>
      <c r="Q42" s="501" t="s">
        <v>92</v>
      </c>
      <c r="R42" s="315" t="s">
        <v>86</v>
      </c>
      <c r="S42" s="176"/>
      <c r="T42" s="145"/>
      <c r="U42" s="145"/>
    </row>
    <row r="43" spans="1:21">
      <c r="A43" s="167">
        <v>1209</v>
      </c>
      <c r="B43" s="144" t="s">
        <v>89</v>
      </c>
      <c r="C43" s="156" t="s">
        <v>90</v>
      </c>
      <c r="D43" s="156">
        <v>1</v>
      </c>
      <c r="E43" s="156">
        <v>123</v>
      </c>
      <c r="F43" s="396">
        <v>211.14</v>
      </c>
      <c r="G43" s="270" t="s">
        <v>20</v>
      </c>
      <c r="H43" s="502"/>
      <c r="I43" s="248">
        <v>-1.62</v>
      </c>
      <c r="J43" s="450">
        <v>-0.89012341618537905</v>
      </c>
      <c r="K43" s="492">
        <f t="shared" si="1"/>
        <v>19.534572133383925</v>
      </c>
      <c r="L43" s="228" t="s">
        <v>33</v>
      </c>
      <c r="M43" s="317" t="s">
        <v>74</v>
      </c>
      <c r="N43" s="317" t="s">
        <v>88</v>
      </c>
      <c r="O43" s="307" t="s">
        <v>35</v>
      </c>
      <c r="P43" s="314" t="s">
        <v>91</v>
      </c>
      <c r="Q43" s="501" t="s">
        <v>92</v>
      </c>
      <c r="R43" s="315" t="s">
        <v>86</v>
      </c>
      <c r="S43" s="176"/>
      <c r="T43" s="145"/>
      <c r="U43" s="145"/>
    </row>
    <row r="44" spans="1:21">
      <c r="A44" s="167">
        <v>1209</v>
      </c>
      <c r="B44" s="144" t="s">
        <v>89</v>
      </c>
      <c r="C44" s="156" t="s">
        <v>90</v>
      </c>
      <c r="D44" s="156">
        <v>1</v>
      </c>
      <c r="E44" s="156">
        <v>123</v>
      </c>
      <c r="F44" s="396">
        <v>211.14</v>
      </c>
      <c r="G44" s="270" t="s">
        <v>20</v>
      </c>
      <c r="H44" s="502"/>
      <c r="I44" s="248">
        <v>-1.1100000000000001</v>
      </c>
      <c r="J44" s="450">
        <v>-0.89012341618537905</v>
      </c>
      <c r="K44" s="492">
        <f t="shared" si="1"/>
        <v>17.124578462989742</v>
      </c>
      <c r="L44" s="228" t="s">
        <v>33</v>
      </c>
      <c r="M44" s="317" t="s">
        <v>74</v>
      </c>
      <c r="N44" s="317" t="s">
        <v>88</v>
      </c>
      <c r="O44" s="307" t="s">
        <v>35</v>
      </c>
      <c r="P44" s="314" t="s">
        <v>91</v>
      </c>
      <c r="Q44" s="501" t="s">
        <v>92</v>
      </c>
      <c r="R44" s="315" t="s">
        <v>86</v>
      </c>
      <c r="S44" s="176"/>
      <c r="T44" s="145"/>
      <c r="U44" s="145"/>
    </row>
    <row r="45" spans="1:21">
      <c r="A45" s="167">
        <v>1209</v>
      </c>
      <c r="B45" s="144" t="s">
        <v>89</v>
      </c>
      <c r="C45" s="156" t="s">
        <v>90</v>
      </c>
      <c r="D45" s="156">
        <v>1</v>
      </c>
      <c r="E45" s="156">
        <v>124</v>
      </c>
      <c r="F45" s="396">
        <v>211.15</v>
      </c>
      <c r="G45" s="270" t="s">
        <v>20</v>
      </c>
      <c r="H45" s="502"/>
      <c r="I45" s="248">
        <v>-2.0299999999999998</v>
      </c>
      <c r="J45" s="450">
        <v>-0.89012341618537905</v>
      </c>
      <c r="K45" s="492">
        <f t="shared" si="1"/>
        <v>21.505966025269441</v>
      </c>
      <c r="L45" s="228" t="s">
        <v>33</v>
      </c>
      <c r="M45" s="317" t="s">
        <v>74</v>
      </c>
      <c r="N45" s="317" t="s">
        <v>88</v>
      </c>
      <c r="O45" s="307" t="s">
        <v>35</v>
      </c>
      <c r="P45" s="314" t="s">
        <v>91</v>
      </c>
      <c r="Q45" s="501" t="s">
        <v>92</v>
      </c>
      <c r="R45" s="315" t="s">
        <v>86</v>
      </c>
      <c r="S45" s="176"/>
      <c r="T45" s="145"/>
      <c r="U45" s="145"/>
    </row>
    <row r="46" spans="1:21">
      <c r="A46" s="167">
        <v>1209</v>
      </c>
      <c r="B46" s="144" t="s">
        <v>89</v>
      </c>
      <c r="C46" s="156" t="s">
        <v>90</v>
      </c>
      <c r="D46" s="156">
        <v>1</v>
      </c>
      <c r="E46" s="156">
        <v>124</v>
      </c>
      <c r="F46" s="396">
        <v>211.15</v>
      </c>
      <c r="G46" s="270" t="s">
        <v>20</v>
      </c>
      <c r="H46" s="502"/>
      <c r="I46" s="248">
        <v>-1.99</v>
      </c>
      <c r="J46" s="450">
        <v>-0.89012341618537905</v>
      </c>
      <c r="K46" s="492">
        <f t="shared" si="1"/>
        <v>21.312302913865977</v>
      </c>
      <c r="L46" s="228" t="s">
        <v>33</v>
      </c>
      <c r="M46" s="317" t="s">
        <v>74</v>
      </c>
      <c r="N46" s="317" t="s">
        <v>88</v>
      </c>
      <c r="O46" s="307" t="s">
        <v>35</v>
      </c>
      <c r="P46" s="314" t="s">
        <v>91</v>
      </c>
      <c r="Q46" s="501" t="s">
        <v>92</v>
      </c>
      <c r="R46" s="315" t="s">
        <v>86</v>
      </c>
      <c r="S46" s="176"/>
      <c r="T46" s="145"/>
      <c r="U46" s="145"/>
    </row>
    <row r="47" spans="1:21">
      <c r="A47" s="167">
        <v>1209</v>
      </c>
      <c r="B47" s="144" t="s">
        <v>89</v>
      </c>
      <c r="C47" s="156" t="s">
        <v>90</v>
      </c>
      <c r="D47" s="156">
        <v>1</v>
      </c>
      <c r="E47" s="156">
        <v>124</v>
      </c>
      <c r="F47" s="396">
        <v>211.15</v>
      </c>
      <c r="G47" s="270" t="s">
        <v>20</v>
      </c>
      <c r="H47" s="502"/>
      <c r="I47" s="248">
        <v>-1.76</v>
      </c>
      <c r="J47" s="450">
        <v>-0.89012341618537905</v>
      </c>
      <c r="K47" s="492">
        <f t="shared" si="1"/>
        <v>20.204329023296054</v>
      </c>
      <c r="L47" s="228" t="s">
        <v>33</v>
      </c>
      <c r="M47" s="317" t="s">
        <v>74</v>
      </c>
      <c r="N47" s="317" t="s">
        <v>88</v>
      </c>
      <c r="O47" s="307" t="s">
        <v>35</v>
      </c>
      <c r="P47" s="314" t="s">
        <v>91</v>
      </c>
      <c r="Q47" s="501" t="s">
        <v>92</v>
      </c>
      <c r="R47" s="315" t="s">
        <v>86</v>
      </c>
      <c r="S47" s="176"/>
      <c r="T47" s="145"/>
      <c r="U47" s="145"/>
    </row>
    <row r="48" spans="1:21">
      <c r="A48" s="167">
        <v>1209</v>
      </c>
      <c r="B48" s="144" t="s">
        <v>89</v>
      </c>
      <c r="C48" s="156" t="s">
        <v>90</v>
      </c>
      <c r="D48" s="156">
        <v>1</v>
      </c>
      <c r="E48" s="156">
        <v>125</v>
      </c>
      <c r="F48" s="396">
        <v>211.16</v>
      </c>
      <c r="G48" s="270" t="s">
        <v>20</v>
      </c>
      <c r="H48" s="502"/>
      <c r="I48" s="248">
        <v>-1.65</v>
      </c>
      <c r="J48" s="450">
        <v>-0.89012341618537905</v>
      </c>
      <c r="K48" s="492">
        <f t="shared" si="1"/>
        <v>19.677794466936522</v>
      </c>
      <c r="L48" s="228" t="s">
        <v>33</v>
      </c>
      <c r="M48" s="317" t="s">
        <v>74</v>
      </c>
      <c r="N48" s="317" t="s">
        <v>88</v>
      </c>
      <c r="O48" s="307" t="s">
        <v>35</v>
      </c>
      <c r="P48" s="314" t="s">
        <v>91</v>
      </c>
      <c r="Q48" s="501" t="s">
        <v>92</v>
      </c>
      <c r="R48" s="315" t="s">
        <v>86</v>
      </c>
      <c r="S48" s="176"/>
      <c r="T48" s="145"/>
      <c r="U48" s="145"/>
    </row>
    <row r="49" spans="1:21">
      <c r="A49" s="167">
        <v>1209</v>
      </c>
      <c r="B49" s="144" t="s">
        <v>89</v>
      </c>
      <c r="C49" s="156" t="s">
        <v>90</v>
      </c>
      <c r="D49" s="156">
        <v>1</v>
      </c>
      <c r="E49" s="156">
        <v>125</v>
      </c>
      <c r="F49" s="396">
        <v>211.16</v>
      </c>
      <c r="G49" s="270" t="s">
        <v>20</v>
      </c>
      <c r="H49" s="502"/>
      <c r="I49" s="248">
        <v>-1.64</v>
      </c>
      <c r="J49" s="450">
        <v>-0.89012341618537905</v>
      </c>
      <c r="K49" s="492">
        <f t="shared" si="1"/>
        <v>19.630035689085656</v>
      </c>
      <c r="L49" s="228" t="s">
        <v>33</v>
      </c>
      <c r="M49" s="317" t="s">
        <v>74</v>
      </c>
      <c r="N49" s="317" t="s">
        <v>88</v>
      </c>
      <c r="O49" s="307" t="s">
        <v>35</v>
      </c>
      <c r="P49" s="314" t="s">
        <v>91</v>
      </c>
      <c r="Q49" s="501" t="s">
        <v>92</v>
      </c>
      <c r="R49" s="315" t="s">
        <v>86</v>
      </c>
      <c r="S49" s="176"/>
      <c r="T49" s="145"/>
      <c r="U49" s="145"/>
    </row>
    <row r="50" spans="1:21">
      <c r="A50" s="167">
        <v>1209</v>
      </c>
      <c r="B50" s="144" t="s">
        <v>89</v>
      </c>
      <c r="C50" s="156" t="s">
        <v>90</v>
      </c>
      <c r="D50" s="156">
        <v>1</v>
      </c>
      <c r="E50" s="156">
        <v>125</v>
      </c>
      <c r="F50" s="396">
        <v>211.16</v>
      </c>
      <c r="G50" s="270" t="s">
        <v>20</v>
      </c>
      <c r="H50" s="502"/>
      <c r="I50" s="248">
        <v>-1.47</v>
      </c>
      <c r="J50" s="450">
        <v>-0.89012341618537905</v>
      </c>
      <c r="K50" s="492">
        <f t="shared" si="1"/>
        <v>18.820890465620931</v>
      </c>
      <c r="L50" s="228" t="s">
        <v>33</v>
      </c>
      <c r="M50" s="317" t="s">
        <v>74</v>
      </c>
      <c r="N50" s="317" t="s">
        <v>88</v>
      </c>
      <c r="O50" s="307" t="s">
        <v>35</v>
      </c>
      <c r="P50" s="314" t="s">
        <v>91</v>
      </c>
      <c r="Q50" s="501" t="s">
        <v>92</v>
      </c>
      <c r="R50" s="315" t="s">
        <v>86</v>
      </c>
      <c r="S50" s="176"/>
      <c r="T50" s="145"/>
      <c r="U50" s="145"/>
    </row>
    <row r="51" spans="1:21">
      <c r="A51" s="167">
        <v>1209</v>
      </c>
      <c r="B51" s="144" t="s">
        <v>89</v>
      </c>
      <c r="C51" s="156" t="s">
        <v>90</v>
      </c>
      <c r="D51" s="156">
        <v>1</v>
      </c>
      <c r="E51" s="156">
        <v>126</v>
      </c>
      <c r="F51" s="396">
        <v>211.17</v>
      </c>
      <c r="G51" s="270" t="s">
        <v>20</v>
      </c>
      <c r="H51" s="502"/>
      <c r="I51" s="248">
        <v>-1.7</v>
      </c>
      <c r="J51" s="450">
        <v>-0.89012341618537905</v>
      </c>
      <c r="K51" s="492">
        <f t="shared" si="1"/>
        <v>19.916858356190854</v>
      </c>
      <c r="L51" s="228" t="s">
        <v>33</v>
      </c>
      <c r="M51" s="317" t="s">
        <v>74</v>
      </c>
      <c r="N51" s="317" t="s">
        <v>88</v>
      </c>
      <c r="O51" s="307" t="s">
        <v>35</v>
      </c>
      <c r="P51" s="314" t="s">
        <v>91</v>
      </c>
      <c r="Q51" s="501" t="s">
        <v>92</v>
      </c>
      <c r="R51" s="315" t="s">
        <v>86</v>
      </c>
      <c r="S51" s="176"/>
      <c r="T51" s="145"/>
      <c r="U51" s="145"/>
    </row>
    <row r="52" spans="1:21">
      <c r="A52" s="167">
        <v>1209</v>
      </c>
      <c r="B52" s="144" t="s">
        <v>89</v>
      </c>
      <c r="C52" s="156" t="s">
        <v>90</v>
      </c>
      <c r="D52" s="156">
        <v>1</v>
      </c>
      <c r="E52" s="156">
        <v>126</v>
      </c>
      <c r="F52" s="396">
        <v>211.17</v>
      </c>
      <c r="G52" s="270" t="s">
        <v>20</v>
      </c>
      <c r="H52" s="502"/>
      <c r="I52" s="248">
        <v>-1.58</v>
      </c>
      <c r="J52" s="450">
        <v>-0.89012341618537905</v>
      </c>
      <c r="K52" s="492">
        <f t="shared" si="1"/>
        <v>19.343861021980459</v>
      </c>
      <c r="L52" s="228" t="s">
        <v>33</v>
      </c>
      <c r="M52" s="317" t="s">
        <v>74</v>
      </c>
      <c r="N52" s="317" t="s">
        <v>88</v>
      </c>
      <c r="O52" s="307" t="s">
        <v>35</v>
      </c>
      <c r="P52" s="314" t="s">
        <v>91</v>
      </c>
      <c r="Q52" s="501" t="s">
        <v>92</v>
      </c>
      <c r="R52" s="315" t="s">
        <v>86</v>
      </c>
      <c r="S52" s="176"/>
      <c r="T52" s="145"/>
      <c r="U52" s="145"/>
    </row>
    <row r="53" spans="1:21">
      <c r="A53" s="167">
        <v>1209</v>
      </c>
      <c r="B53" s="144" t="s">
        <v>89</v>
      </c>
      <c r="C53" s="156" t="s">
        <v>90</v>
      </c>
      <c r="D53" s="156">
        <v>1</v>
      </c>
      <c r="E53" s="156">
        <v>126</v>
      </c>
      <c r="F53" s="396">
        <v>211.17</v>
      </c>
      <c r="G53" s="270" t="s">
        <v>20</v>
      </c>
      <c r="H53" s="502"/>
      <c r="I53" s="248">
        <v>-1.4</v>
      </c>
      <c r="J53" s="450">
        <v>-0.89012341618537905</v>
      </c>
      <c r="K53" s="492">
        <f t="shared" si="1"/>
        <v>18.489225020664865</v>
      </c>
      <c r="L53" s="228" t="s">
        <v>33</v>
      </c>
      <c r="M53" s="317" t="s">
        <v>74</v>
      </c>
      <c r="N53" s="317" t="s">
        <v>88</v>
      </c>
      <c r="O53" s="307" t="s">
        <v>35</v>
      </c>
      <c r="P53" s="314" t="s">
        <v>91</v>
      </c>
      <c r="Q53" s="501" t="s">
        <v>92</v>
      </c>
      <c r="R53" s="315" t="s">
        <v>86</v>
      </c>
      <c r="S53" s="176"/>
      <c r="T53" s="145"/>
      <c r="U53" s="145"/>
    </row>
    <row r="54" spans="1:21">
      <c r="A54" s="167">
        <v>1209</v>
      </c>
      <c r="B54" s="144" t="s">
        <v>89</v>
      </c>
      <c r="C54" s="156" t="s">
        <v>90</v>
      </c>
      <c r="D54" s="156">
        <v>1</v>
      </c>
      <c r="E54" s="156">
        <v>127</v>
      </c>
      <c r="F54" s="396">
        <v>211.18</v>
      </c>
      <c r="G54" s="270" t="s">
        <v>20</v>
      </c>
      <c r="H54" s="502"/>
      <c r="I54" s="248">
        <v>-1.79</v>
      </c>
      <c r="J54" s="450">
        <v>-0.89012341618537905</v>
      </c>
      <c r="K54" s="492">
        <f t="shared" si="1"/>
        <v>20.34830735684865</v>
      </c>
      <c r="L54" s="228" t="s">
        <v>33</v>
      </c>
      <c r="M54" s="317" t="s">
        <v>74</v>
      </c>
      <c r="N54" s="317" t="s">
        <v>88</v>
      </c>
      <c r="O54" s="307" t="s">
        <v>35</v>
      </c>
      <c r="P54" s="314" t="s">
        <v>91</v>
      </c>
      <c r="Q54" s="501" t="s">
        <v>92</v>
      </c>
      <c r="R54" s="315" t="s">
        <v>86</v>
      </c>
      <c r="S54" s="176"/>
      <c r="T54" s="145"/>
      <c r="U54" s="145"/>
    </row>
    <row r="55" spans="1:21">
      <c r="A55" s="167">
        <v>1209</v>
      </c>
      <c r="B55" s="144" t="s">
        <v>89</v>
      </c>
      <c r="C55" s="156" t="s">
        <v>90</v>
      </c>
      <c r="D55" s="156">
        <v>1</v>
      </c>
      <c r="E55" s="156">
        <v>127</v>
      </c>
      <c r="F55" s="396">
        <v>211.18</v>
      </c>
      <c r="G55" s="270" t="s">
        <v>20</v>
      </c>
      <c r="H55" s="502"/>
      <c r="I55" s="248">
        <v>-1.74</v>
      </c>
      <c r="J55" s="450">
        <v>-0.89012341618537905</v>
      </c>
      <c r="K55" s="492">
        <f t="shared" si="1"/>
        <v>20.10843346759432</v>
      </c>
      <c r="L55" s="228" t="s">
        <v>33</v>
      </c>
      <c r="M55" s="317" t="s">
        <v>74</v>
      </c>
      <c r="N55" s="317" t="s">
        <v>88</v>
      </c>
      <c r="O55" s="307" t="s">
        <v>35</v>
      </c>
      <c r="P55" s="314" t="s">
        <v>91</v>
      </c>
      <c r="Q55" s="501" t="s">
        <v>92</v>
      </c>
      <c r="R55" s="315" t="s">
        <v>86</v>
      </c>
      <c r="S55" s="176"/>
      <c r="T55" s="145"/>
      <c r="U55" s="145"/>
    </row>
    <row r="56" spans="1:21">
      <c r="A56" s="167">
        <v>1209</v>
      </c>
      <c r="B56" s="144" t="s">
        <v>89</v>
      </c>
      <c r="C56" s="156" t="s">
        <v>90</v>
      </c>
      <c r="D56" s="156">
        <v>1</v>
      </c>
      <c r="E56" s="156">
        <v>127</v>
      </c>
      <c r="F56" s="396">
        <v>211.18</v>
      </c>
      <c r="G56" s="270" t="s">
        <v>20</v>
      </c>
      <c r="H56" s="502"/>
      <c r="I56" s="248">
        <v>-1.61</v>
      </c>
      <c r="J56" s="450">
        <v>-0.89012341618537905</v>
      </c>
      <c r="K56" s="492">
        <f t="shared" si="1"/>
        <v>19.486867355533057</v>
      </c>
      <c r="L56" s="228" t="s">
        <v>33</v>
      </c>
      <c r="M56" s="317" t="s">
        <v>74</v>
      </c>
      <c r="N56" s="317" t="s">
        <v>88</v>
      </c>
      <c r="O56" s="307" t="s">
        <v>35</v>
      </c>
      <c r="P56" s="314" t="s">
        <v>91</v>
      </c>
      <c r="Q56" s="501" t="s">
        <v>92</v>
      </c>
      <c r="R56" s="315" t="s">
        <v>86</v>
      </c>
      <c r="S56" s="176"/>
      <c r="T56" s="145"/>
      <c r="U56" s="145"/>
    </row>
    <row r="57" spans="1:21">
      <c r="A57" s="167">
        <v>1209</v>
      </c>
      <c r="B57" s="144" t="s">
        <v>89</v>
      </c>
      <c r="C57" s="156" t="s">
        <v>90</v>
      </c>
      <c r="D57" s="156">
        <v>1</v>
      </c>
      <c r="E57" s="156">
        <v>128</v>
      </c>
      <c r="F57" s="396">
        <v>211.19</v>
      </c>
      <c r="G57" s="270" t="s">
        <v>20</v>
      </c>
      <c r="H57" s="502"/>
      <c r="I57" s="248">
        <v>-1.64</v>
      </c>
      <c r="J57" s="450">
        <v>-0.89012341618537905</v>
      </c>
      <c r="K57" s="492">
        <f t="shared" si="1"/>
        <v>19.630035689085656</v>
      </c>
      <c r="L57" s="228" t="s">
        <v>33</v>
      </c>
      <c r="M57" s="317" t="s">
        <v>74</v>
      </c>
      <c r="N57" s="317" t="s">
        <v>88</v>
      </c>
      <c r="O57" s="307" t="s">
        <v>35</v>
      </c>
      <c r="P57" s="314" t="s">
        <v>91</v>
      </c>
      <c r="Q57" s="501" t="s">
        <v>92</v>
      </c>
      <c r="R57" s="315" t="s">
        <v>86</v>
      </c>
      <c r="S57" s="176"/>
      <c r="T57" s="145"/>
      <c r="U57" s="145"/>
    </row>
    <row r="58" spans="1:21">
      <c r="A58" s="167">
        <v>1209</v>
      </c>
      <c r="B58" s="144" t="s">
        <v>89</v>
      </c>
      <c r="C58" s="156" t="s">
        <v>90</v>
      </c>
      <c r="D58" s="156">
        <v>1</v>
      </c>
      <c r="E58" s="156">
        <v>128</v>
      </c>
      <c r="F58" s="396">
        <v>211.19</v>
      </c>
      <c r="G58" s="270" t="s">
        <v>20</v>
      </c>
      <c r="H58" s="502"/>
      <c r="I58" s="248">
        <v>-1.59</v>
      </c>
      <c r="J58" s="450">
        <v>-0.89012341618537905</v>
      </c>
      <c r="K58" s="492">
        <f t="shared" si="1"/>
        <v>19.391511799831324</v>
      </c>
      <c r="L58" s="228" t="s">
        <v>33</v>
      </c>
      <c r="M58" s="317" t="s">
        <v>74</v>
      </c>
      <c r="N58" s="317" t="s">
        <v>88</v>
      </c>
      <c r="O58" s="307" t="s">
        <v>35</v>
      </c>
      <c r="P58" s="314" t="s">
        <v>91</v>
      </c>
      <c r="Q58" s="501" t="s">
        <v>92</v>
      </c>
      <c r="R58" s="315" t="s">
        <v>86</v>
      </c>
      <c r="S58" s="176"/>
      <c r="T58" s="145"/>
      <c r="U58" s="145"/>
    </row>
    <row r="59" spans="1:21">
      <c r="A59" s="167">
        <v>1209</v>
      </c>
      <c r="B59" s="144" t="s">
        <v>89</v>
      </c>
      <c r="C59" s="156" t="s">
        <v>90</v>
      </c>
      <c r="D59" s="156">
        <v>1</v>
      </c>
      <c r="E59" s="156">
        <v>128</v>
      </c>
      <c r="F59" s="396">
        <v>211.19</v>
      </c>
      <c r="G59" s="270" t="s">
        <v>20</v>
      </c>
      <c r="H59" s="502"/>
      <c r="I59" s="248">
        <v>-1.29</v>
      </c>
      <c r="J59" s="450">
        <v>-0.89012341618537905</v>
      </c>
      <c r="K59" s="492">
        <f t="shared" si="1"/>
        <v>17.969818464305334</v>
      </c>
      <c r="L59" s="228" t="s">
        <v>33</v>
      </c>
      <c r="M59" s="317" t="s">
        <v>74</v>
      </c>
      <c r="N59" s="317" t="s">
        <v>88</v>
      </c>
      <c r="O59" s="307" t="s">
        <v>35</v>
      </c>
      <c r="P59" s="314" t="s">
        <v>91</v>
      </c>
      <c r="Q59" s="501" t="s">
        <v>92</v>
      </c>
      <c r="R59" s="315" t="s">
        <v>86</v>
      </c>
      <c r="S59" s="176"/>
      <c r="T59" s="145"/>
      <c r="U59" s="145"/>
    </row>
    <row r="60" spans="1:21">
      <c r="A60" s="167">
        <v>1209</v>
      </c>
      <c r="B60" s="144" t="s">
        <v>89</v>
      </c>
      <c r="C60" s="156" t="s">
        <v>90</v>
      </c>
      <c r="D60" s="156">
        <v>1</v>
      </c>
      <c r="E60" s="156">
        <v>129</v>
      </c>
      <c r="F60" s="396">
        <v>211.2</v>
      </c>
      <c r="G60" s="270" t="s">
        <v>20</v>
      </c>
      <c r="H60" s="502"/>
      <c r="I60" s="248">
        <v>-1.69</v>
      </c>
      <c r="J60" s="450">
        <v>-0.89012341618537905</v>
      </c>
      <c r="K60" s="492">
        <f t="shared" si="1"/>
        <v>19.869009578339988</v>
      </c>
      <c r="L60" s="228" t="s">
        <v>33</v>
      </c>
      <c r="M60" s="317" t="s">
        <v>74</v>
      </c>
      <c r="N60" s="317" t="s">
        <v>88</v>
      </c>
      <c r="O60" s="307" t="s">
        <v>35</v>
      </c>
      <c r="P60" s="314" t="s">
        <v>91</v>
      </c>
      <c r="Q60" s="501" t="s">
        <v>92</v>
      </c>
      <c r="R60" s="315" t="s">
        <v>86</v>
      </c>
      <c r="S60" s="176"/>
      <c r="T60" s="145"/>
      <c r="U60" s="145"/>
    </row>
    <row r="61" spans="1:21">
      <c r="A61" s="167">
        <v>1209</v>
      </c>
      <c r="B61" s="144" t="s">
        <v>89</v>
      </c>
      <c r="C61" s="156" t="s">
        <v>90</v>
      </c>
      <c r="D61" s="156">
        <v>1</v>
      </c>
      <c r="E61" s="156">
        <v>129</v>
      </c>
      <c r="F61" s="396">
        <v>211.2</v>
      </c>
      <c r="G61" s="270" t="s">
        <v>20</v>
      </c>
      <c r="H61" s="502"/>
      <c r="I61" s="248">
        <v>-1.63</v>
      </c>
      <c r="J61" s="450">
        <v>-0.89012341618537905</v>
      </c>
      <c r="K61" s="492">
        <f t="shared" si="1"/>
        <v>19.58229491123479</v>
      </c>
      <c r="L61" s="228" t="s">
        <v>33</v>
      </c>
      <c r="M61" s="317" t="s">
        <v>74</v>
      </c>
      <c r="N61" s="317" t="s">
        <v>88</v>
      </c>
      <c r="O61" s="307" t="s">
        <v>35</v>
      </c>
      <c r="P61" s="314" t="s">
        <v>91</v>
      </c>
      <c r="Q61" s="501" t="s">
        <v>92</v>
      </c>
      <c r="R61" s="315" t="s">
        <v>86</v>
      </c>
      <c r="S61" s="176"/>
      <c r="T61" s="145"/>
      <c r="U61" s="145"/>
    </row>
    <row r="62" spans="1:21">
      <c r="A62" s="167">
        <v>1209</v>
      </c>
      <c r="B62" s="144" t="s">
        <v>89</v>
      </c>
      <c r="C62" s="156" t="s">
        <v>90</v>
      </c>
      <c r="D62" s="156">
        <v>1</v>
      </c>
      <c r="E62" s="156">
        <v>129</v>
      </c>
      <c r="F62" s="396">
        <v>211.2</v>
      </c>
      <c r="G62" s="270" t="s">
        <v>20</v>
      </c>
      <c r="H62" s="502"/>
      <c r="I62" s="248">
        <v>-1.58</v>
      </c>
      <c r="J62" s="450">
        <v>-0.89012341618537905</v>
      </c>
      <c r="K62" s="492">
        <f t="shared" si="1"/>
        <v>19.343861021980459</v>
      </c>
      <c r="L62" s="228" t="s">
        <v>33</v>
      </c>
      <c r="M62" s="317" t="s">
        <v>74</v>
      </c>
      <c r="N62" s="317" t="s">
        <v>88</v>
      </c>
      <c r="O62" s="307" t="s">
        <v>35</v>
      </c>
      <c r="P62" s="314" t="s">
        <v>91</v>
      </c>
      <c r="Q62" s="501" t="s">
        <v>92</v>
      </c>
      <c r="R62" s="315" t="s">
        <v>86</v>
      </c>
      <c r="S62" s="176"/>
      <c r="T62" s="145"/>
      <c r="U62" s="145"/>
    </row>
    <row r="63" spans="1:21">
      <c r="A63" s="167">
        <v>1209</v>
      </c>
      <c r="B63" s="144" t="s">
        <v>89</v>
      </c>
      <c r="C63" s="156" t="s">
        <v>90</v>
      </c>
      <c r="D63" s="156">
        <v>1</v>
      </c>
      <c r="E63" s="156">
        <v>130</v>
      </c>
      <c r="F63" s="396">
        <v>211.21</v>
      </c>
      <c r="G63" s="270" t="s">
        <v>20</v>
      </c>
      <c r="H63" s="502"/>
      <c r="I63" s="248">
        <v>-1.77</v>
      </c>
      <c r="J63" s="450">
        <v>-0.89012341618537905</v>
      </c>
      <c r="K63" s="492">
        <f t="shared" si="1"/>
        <v>20.252303801146919</v>
      </c>
      <c r="L63" s="228" t="s">
        <v>33</v>
      </c>
      <c r="M63" s="317" t="s">
        <v>74</v>
      </c>
      <c r="N63" s="317" t="s">
        <v>88</v>
      </c>
      <c r="O63" s="307" t="s">
        <v>35</v>
      </c>
      <c r="P63" s="314" t="s">
        <v>91</v>
      </c>
      <c r="Q63" s="501" t="s">
        <v>92</v>
      </c>
      <c r="R63" s="315" t="s">
        <v>86</v>
      </c>
      <c r="S63" s="176"/>
      <c r="T63" s="145"/>
      <c r="U63" s="145"/>
    </row>
    <row r="64" spans="1:21">
      <c r="A64" s="167">
        <v>1209</v>
      </c>
      <c r="B64" s="144" t="s">
        <v>89</v>
      </c>
      <c r="C64" s="156" t="s">
        <v>90</v>
      </c>
      <c r="D64" s="156">
        <v>1</v>
      </c>
      <c r="E64" s="156">
        <v>130</v>
      </c>
      <c r="F64" s="396">
        <v>211.21</v>
      </c>
      <c r="G64" s="270" t="s">
        <v>20</v>
      </c>
      <c r="H64" s="502"/>
      <c r="I64" s="248">
        <v>-1.72</v>
      </c>
      <c r="J64" s="450">
        <v>-0.89012341618537905</v>
      </c>
      <c r="K64" s="492">
        <f t="shared" si="1"/>
        <v>20.012609911892586</v>
      </c>
      <c r="L64" s="228" t="s">
        <v>33</v>
      </c>
      <c r="M64" s="317" t="s">
        <v>74</v>
      </c>
      <c r="N64" s="317" t="s">
        <v>88</v>
      </c>
      <c r="O64" s="307" t="s">
        <v>35</v>
      </c>
      <c r="P64" s="314" t="s">
        <v>91</v>
      </c>
      <c r="Q64" s="501" t="s">
        <v>92</v>
      </c>
      <c r="R64" s="315" t="s">
        <v>86</v>
      </c>
      <c r="S64" s="176"/>
      <c r="T64" s="145"/>
      <c r="U64" s="145"/>
    </row>
    <row r="65" spans="1:21">
      <c r="A65" s="167">
        <v>1209</v>
      </c>
      <c r="B65" s="144" t="s">
        <v>89</v>
      </c>
      <c r="C65" s="156" t="s">
        <v>90</v>
      </c>
      <c r="D65" s="156">
        <v>1</v>
      </c>
      <c r="E65" s="156">
        <v>130</v>
      </c>
      <c r="F65" s="396">
        <v>211.21</v>
      </c>
      <c r="G65" s="270" t="s">
        <v>20</v>
      </c>
      <c r="H65" s="502"/>
      <c r="I65" s="248">
        <v>-1.44</v>
      </c>
      <c r="J65" s="450">
        <v>-0.89012341618537905</v>
      </c>
      <c r="K65" s="492">
        <f t="shared" si="1"/>
        <v>18.678640132068331</v>
      </c>
      <c r="L65" s="228" t="s">
        <v>33</v>
      </c>
      <c r="M65" s="317" t="s">
        <v>74</v>
      </c>
      <c r="N65" s="317" t="s">
        <v>88</v>
      </c>
      <c r="O65" s="307" t="s">
        <v>35</v>
      </c>
      <c r="P65" s="314" t="s">
        <v>91</v>
      </c>
      <c r="Q65" s="501" t="s">
        <v>92</v>
      </c>
      <c r="R65" s="315" t="s">
        <v>86</v>
      </c>
      <c r="S65" s="176"/>
      <c r="T65" s="145"/>
      <c r="U65" s="145"/>
    </row>
    <row r="66" spans="1:21">
      <c r="A66" s="167">
        <v>1209</v>
      </c>
      <c r="B66" s="144" t="s">
        <v>89</v>
      </c>
      <c r="C66" s="156" t="s">
        <v>90</v>
      </c>
      <c r="D66" s="156">
        <v>1</v>
      </c>
      <c r="E66" s="156">
        <v>131</v>
      </c>
      <c r="F66" s="396">
        <v>211.22</v>
      </c>
      <c r="G66" s="270" t="s">
        <v>20</v>
      </c>
      <c r="H66" s="502"/>
      <c r="I66" s="248">
        <v>-1.85</v>
      </c>
      <c r="J66" s="450">
        <v>-0.89012341618537905</v>
      </c>
      <c r="K66" s="492">
        <f t="shared" si="1"/>
        <v>20.636750023953851</v>
      </c>
      <c r="L66" s="228" t="s">
        <v>33</v>
      </c>
      <c r="M66" s="317" t="s">
        <v>74</v>
      </c>
      <c r="N66" s="317" t="s">
        <v>88</v>
      </c>
      <c r="O66" s="307" t="s">
        <v>35</v>
      </c>
      <c r="P66" s="314" t="s">
        <v>91</v>
      </c>
      <c r="Q66" s="501" t="s">
        <v>92</v>
      </c>
      <c r="R66" s="315" t="s">
        <v>86</v>
      </c>
      <c r="S66" s="176"/>
      <c r="T66" s="145"/>
      <c r="U66" s="145"/>
    </row>
    <row r="67" spans="1:21">
      <c r="A67" s="167">
        <v>1209</v>
      </c>
      <c r="B67" s="144" t="s">
        <v>89</v>
      </c>
      <c r="C67" s="156" t="s">
        <v>90</v>
      </c>
      <c r="D67" s="156">
        <v>1</v>
      </c>
      <c r="E67" s="156">
        <v>131</v>
      </c>
      <c r="F67" s="396">
        <v>211.22</v>
      </c>
      <c r="G67" s="270" t="s">
        <v>20</v>
      </c>
      <c r="H67" s="502"/>
      <c r="I67" s="248">
        <v>-1.82</v>
      </c>
      <c r="J67" s="450">
        <v>-0.89012341618537905</v>
      </c>
      <c r="K67" s="492">
        <f t="shared" si="1"/>
        <v>20.492447690401249</v>
      </c>
      <c r="L67" s="228" t="s">
        <v>33</v>
      </c>
      <c r="M67" s="317" t="s">
        <v>74</v>
      </c>
      <c r="N67" s="317" t="s">
        <v>88</v>
      </c>
      <c r="O67" s="307" t="s">
        <v>35</v>
      </c>
      <c r="P67" s="314" t="s">
        <v>91</v>
      </c>
      <c r="Q67" s="501" t="s">
        <v>92</v>
      </c>
      <c r="R67" s="315" t="s">
        <v>86</v>
      </c>
      <c r="S67" s="176"/>
      <c r="T67" s="145"/>
      <c r="U67" s="145"/>
    </row>
    <row r="68" spans="1:21">
      <c r="A68" s="167">
        <v>1209</v>
      </c>
      <c r="B68" s="144" t="s">
        <v>89</v>
      </c>
      <c r="C68" s="156" t="s">
        <v>90</v>
      </c>
      <c r="D68" s="156">
        <v>1</v>
      </c>
      <c r="E68" s="156">
        <v>131</v>
      </c>
      <c r="F68" s="396">
        <v>211.22</v>
      </c>
      <c r="G68" s="270" t="s">
        <v>20</v>
      </c>
      <c r="H68" s="502"/>
      <c r="I68" s="248">
        <v>-1.68</v>
      </c>
      <c r="J68" s="450">
        <v>-0.89012341618537905</v>
      </c>
      <c r="K68" s="492">
        <f t="shared" si="1"/>
        <v>19.821178800489122</v>
      </c>
      <c r="L68" s="228" t="s">
        <v>33</v>
      </c>
      <c r="M68" s="317" t="s">
        <v>74</v>
      </c>
      <c r="N68" s="317" t="s">
        <v>88</v>
      </c>
      <c r="O68" s="307" t="s">
        <v>35</v>
      </c>
      <c r="P68" s="314" t="s">
        <v>91</v>
      </c>
      <c r="Q68" s="501" t="s">
        <v>92</v>
      </c>
      <c r="R68" s="315" t="s">
        <v>86</v>
      </c>
      <c r="S68" s="176"/>
      <c r="T68" s="145"/>
      <c r="U68" s="145"/>
    </row>
    <row r="69" spans="1:21">
      <c r="A69" s="167">
        <v>1209</v>
      </c>
      <c r="B69" s="144" t="s">
        <v>89</v>
      </c>
      <c r="C69" s="156" t="s">
        <v>90</v>
      </c>
      <c r="D69" s="156">
        <v>1</v>
      </c>
      <c r="E69" s="156">
        <v>132</v>
      </c>
      <c r="F69" s="396">
        <v>211.23</v>
      </c>
      <c r="G69" s="270" t="s">
        <v>20</v>
      </c>
      <c r="H69" s="502"/>
      <c r="I69" s="248">
        <v>-1.83</v>
      </c>
      <c r="J69" s="450">
        <v>-0.89012341618537905</v>
      </c>
      <c r="K69" s="492">
        <f t="shared" si="1"/>
        <v>20.540530468252118</v>
      </c>
      <c r="L69" s="228" t="s">
        <v>33</v>
      </c>
      <c r="M69" s="317" t="s">
        <v>74</v>
      </c>
      <c r="N69" s="317" t="s">
        <v>88</v>
      </c>
      <c r="O69" s="307" t="s">
        <v>35</v>
      </c>
      <c r="P69" s="314" t="s">
        <v>91</v>
      </c>
      <c r="Q69" s="501" t="s">
        <v>92</v>
      </c>
      <c r="R69" s="315" t="s">
        <v>86</v>
      </c>
      <c r="S69" s="176"/>
      <c r="T69" s="145"/>
      <c r="U69" s="145"/>
    </row>
    <row r="70" spans="1:21">
      <c r="A70" s="167">
        <v>1209</v>
      </c>
      <c r="B70" s="144" t="s">
        <v>89</v>
      </c>
      <c r="C70" s="156" t="s">
        <v>90</v>
      </c>
      <c r="D70" s="156">
        <v>1</v>
      </c>
      <c r="E70" s="156">
        <v>132</v>
      </c>
      <c r="F70" s="396">
        <v>211.23</v>
      </c>
      <c r="G70" s="270" t="s">
        <v>20</v>
      </c>
      <c r="H70" s="502"/>
      <c r="I70" s="248">
        <v>-1.6</v>
      </c>
      <c r="J70" s="450">
        <v>-0.89012341618537905</v>
      </c>
      <c r="K70" s="492">
        <f t="shared" si="1"/>
        <v>19.439180577682194</v>
      </c>
      <c r="L70" s="228" t="s">
        <v>33</v>
      </c>
      <c r="M70" s="317" t="s">
        <v>74</v>
      </c>
      <c r="N70" s="317" t="s">
        <v>88</v>
      </c>
      <c r="O70" s="307" t="s">
        <v>35</v>
      </c>
      <c r="P70" s="314" t="s">
        <v>91</v>
      </c>
      <c r="Q70" s="501" t="s">
        <v>92</v>
      </c>
      <c r="R70" s="315" t="s">
        <v>86</v>
      </c>
      <c r="S70" s="176"/>
      <c r="T70" s="145"/>
      <c r="U70" s="145"/>
    </row>
    <row r="71" spans="1:21">
      <c r="A71" s="167">
        <v>1209</v>
      </c>
      <c r="B71" s="144" t="s">
        <v>89</v>
      </c>
      <c r="C71" s="156" t="s">
        <v>90</v>
      </c>
      <c r="D71" s="156">
        <v>1</v>
      </c>
      <c r="E71" s="156">
        <v>132</v>
      </c>
      <c r="F71" s="396">
        <v>211.23</v>
      </c>
      <c r="G71" s="270" t="s">
        <v>20</v>
      </c>
      <c r="H71" s="502"/>
      <c r="I71" s="248">
        <v>-1.57</v>
      </c>
      <c r="J71" s="450">
        <v>-0.89012341618537905</v>
      </c>
      <c r="K71" s="492">
        <f t="shared" si="1"/>
        <v>19.29622824412959</v>
      </c>
      <c r="L71" s="228" t="s">
        <v>33</v>
      </c>
      <c r="M71" s="317" t="s">
        <v>74</v>
      </c>
      <c r="N71" s="317" t="s">
        <v>88</v>
      </c>
      <c r="O71" s="307" t="s">
        <v>35</v>
      </c>
      <c r="P71" s="314" t="s">
        <v>91</v>
      </c>
      <c r="Q71" s="501" t="s">
        <v>92</v>
      </c>
      <c r="R71" s="315" t="s">
        <v>86</v>
      </c>
      <c r="S71" s="176"/>
      <c r="T71" s="145"/>
      <c r="U71" s="145"/>
    </row>
    <row r="72" spans="1:21">
      <c r="A72" s="167">
        <v>1209</v>
      </c>
      <c r="B72" s="144" t="s">
        <v>89</v>
      </c>
      <c r="C72" s="156" t="s">
        <v>90</v>
      </c>
      <c r="D72" s="156">
        <v>1</v>
      </c>
      <c r="E72" s="156">
        <v>133</v>
      </c>
      <c r="F72" s="396">
        <v>211.24</v>
      </c>
      <c r="G72" s="270" t="s">
        <v>20</v>
      </c>
      <c r="H72" s="502"/>
      <c r="I72" s="248">
        <v>-2.1</v>
      </c>
      <c r="J72" s="450">
        <v>-0.89012341618537905</v>
      </c>
      <c r="K72" s="492">
        <f t="shared" si="1"/>
        <v>21.845569470225506</v>
      </c>
      <c r="L72" s="228" t="s">
        <v>33</v>
      </c>
      <c r="M72" s="317" t="s">
        <v>74</v>
      </c>
      <c r="N72" s="317" t="s">
        <v>88</v>
      </c>
      <c r="O72" s="307" t="s">
        <v>35</v>
      </c>
      <c r="P72" s="314" t="s">
        <v>91</v>
      </c>
      <c r="Q72" s="501" t="s">
        <v>92</v>
      </c>
      <c r="R72" s="315" t="s">
        <v>86</v>
      </c>
      <c r="S72" s="176"/>
      <c r="T72" s="145"/>
      <c r="U72" s="145"/>
    </row>
    <row r="73" spans="1:21">
      <c r="A73" s="167">
        <v>1209</v>
      </c>
      <c r="B73" s="144" t="s">
        <v>89</v>
      </c>
      <c r="C73" s="156" t="s">
        <v>90</v>
      </c>
      <c r="D73" s="156">
        <v>1</v>
      </c>
      <c r="E73" s="156">
        <v>133</v>
      </c>
      <c r="F73" s="396">
        <v>211.24</v>
      </c>
      <c r="G73" s="270" t="s">
        <v>20</v>
      </c>
      <c r="H73" s="502"/>
      <c r="I73" s="248">
        <v>-1.99</v>
      </c>
      <c r="J73" s="450">
        <v>-0.89012341618537905</v>
      </c>
      <c r="K73" s="492">
        <f t="shared" si="1"/>
        <v>21.312302913865977</v>
      </c>
      <c r="L73" s="228" t="s">
        <v>33</v>
      </c>
      <c r="M73" s="317" t="s">
        <v>74</v>
      </c>
      <c r="N73" s="317" t="s">
        <v>88</v>
      </c>
      <c r="O73" s="307" t="s">
        <v>35</v>
      </c>
      <c r="P73" s="314" t="s">
        <v>91</v>
      </c>
      <c r="Q73" s="501" t="s">
        <v>92</v>
      </c>
      <c r="R73" s="315" t="s">
        <v>86</v>
      </c>
      <c r="S73" s="176"/>
      <c r="T73" s="145"/>
      <c r="U73" s="145"/>
    </row>
    <row r="74" spans="1:21">
      <c r="A74" s="167">
        <v>1209</v>
      </c>
      <c r="B74" s="144" t="s">
        <v>89</v>
      </c>
      <c r="C74" s="156" t="s">
        <v>90</v>
      </c>
      <c r="D74" s="156">
        <v>1</v>
      </c>
      <c r="E74" s="156">
        <v>133</v>
      </c>
      <c r="F74" s="396">
        <v>211.24</v>
      </c>
      <c r="G74" s="270" t="s">
        <v>20</v>
      </c>
      <c r="H74" s="502"/>
      <c r="I74" s="248">
        <v>-1.93</v>
      </c>
      <c r="J74" s="450">
        <v>-0.89012341618537905</v>
      </c>
      <c r="K74" s="492">
        <f t="shared" si="1"/>
        <v>21.022348246760778</v>
      </c>
      <c r="L74" s="228" t="s">
        <v>33</v>
      </c>
      <c r="M74" s="317" t="s">
        <v>74</v>
      </c>
      <c r="N74" s="317" t="s">
        <v>88</v>
      </c>
      <c r="O74" s="307" t="s">
        <v>35</v>
      </c>
      <c r="P74" s="314" t="s">
        <v>91</v>
      </c>
      <c r="Q74" s="501" t="s">
        <v>92</v>
      </c>
      <c r="R74" s="315" t="s">
        <v>86</v>
      </c>
      <c r="S74" s="176"/>
      <c r="T74" s="145"/>
      <c r="U74" s="145"/>
    </row>
    <row r="75" spans="1:21">
      <c r="A75" s="167">
        <v>1209</v>
      </c>
      <c r="B75" s="144" t="s">
        <v>89</v>
      </c>
      <c r="C75" s="156" t="s">
        <v>90</v>
      </c>
      <c r="D75" s="156">
        <v>1</v>
      </c>
      <c r="E75" s="156">
        <v>134</v>
      </c>
      <c r="F75" s="248">
        <v>211.25</v>
      </c>
      <c r="G75" s="270" t="s">
        <v>32</v>
      </c>
      <c r="H75" s="502"/>
      <c r="I75" s="248">
        <v>-1.9</v>
      </c>
      <c r="J75" s="450">
        <v>-0.89012341618537905</v>
      </c>
      <c r="K75" s="491">
        <f t="shared" si="1"/>
        <v>20.877613913208183</v>
      </c>
      <c r="L75" s="228" t="s">
        <v>33</v>
      </c>
      <c r="M75" s="317" t="s">
        <v>74</v>
      </c>
      <c r="N75" s="317" t="s">
        <v>88</v>
      </c>
      <c r="O75" s="307" t="s">
        <v>35</v>
      </c>
      <c r="P75" s="314" t="s">
        <v>91</v>
      </c>
      <c r="Q75" s="501" t="s">
        <v>92</v>
      </c>
      <c r="R75" s="315" t="s">
        <v>86</v>
      </c>
      <c r="S75" s="176"/>
      <c r="T75" s="145"/>
      <c r="U75" s="145"/>
    </row>
    <row r="76" spans="1:21">
      <c r="A76" s="167">
        <v>1209</v>
      </c>
      <c r="B76" s="144" t="s">
        <v>89</v>
      </c>
      <c r="C76" s="156" t="s">
        <v>90</v>
      </c>
      <c r="D76" s="156">
        <v>1</v>
      </c>
      <c r="E76" s="156">
        <v>134</v>
      </c>
      <c r="F76" s="248">
        <v>211.25</v>
      </c>
      <c r="G76" s="270" t="s">
        <v>32</v>
      </c>
      <c r="H76" s="502"/>
      <c r="I76" s="248">
        <v>-1.61</v>
      </c>
      <c r="J76" s="450">
        <v>-0.89012341618537905</v>
      </c>
      <c r="K76" s="491">
        <f t="shared" si="1"/>
        <v>19.486867355533057</v>
      </c>
      <c r="L76" s="228" t="s">
        <v>33</v>
      </c>
      <c r="M76" s="317" t="s">
        <v>74</v>
      </c>
      <c r="N76" s="317" t="s">
        <v>88</v>
      </c>
      <c r="O76" s="307" t="s">
        <v>35</v>
      </c>
      <c r="P76" s="314" t="s">
        <v>91</v>
      </c>
      <c r="Q76" s="501" t="s">
        <v>92</v>
      </c>
      <c r="R76" s="315" t="s">
        <v>86</v>
      </c>
      <c r="S76" s="176"/>
      <c r="T76" s="145"/>
      <c r="U76" s="145"/>
    </row>
    <row r="77" spans="1:21">
      <c r="A77" s="167">
        <v>1209</v>
      </c>
      <c r="B77" s="144" t="s">
        <v>89</v>
      </c>
      <c r="C77" s="156" t="s">
        <v>90</v>
      </c>
      <c r="D77" s="156">
        <v>1</v>
      </c>
      <c r="E77" s="156">
        <v>134</v>
      </c>
      <c r="F77" s="248">
        <v>211.25</v>
      </c>
      <c r="G77" s="270" t="s">
        <v>32</v>
      </c>
      <c r="H77" s="502"/>
      <c r="I77" s="248">
        <v>-1.58</v>
      </c>
      <c r="J77" s="450">
        <v>-0.89012341618537905</v>
      </c>
      <c r="K77" s="491">
        <f t="shared" si="1"/>
        <v>19.343861021980459</v>
      </c>
      <c r="L77" s="228" t="s">
        <v>33</v>
      </c>
      <c r="M77" s="317" t="s">
        <v>74</v>
      </c>
      <c r="N77" s="317" t="s">
        <v>88</v>
      </c>
      <c r="O77" s="307" t="s">
        <v>35</v>
      </c>
      <c r="P77" s="314" t="s">
        <v>91</v>
      </c>
      <c r="Q77" s="501" t="s">
        <v>92</v>
      </c>
      <c r="R77" s="315" t="s">
        <v>86</v>
      </c>
      <c r="S77" s="176"/>
      <c r="T77" s="145"/>
      <c r="U77" s="145"/>
    </row>
    <row r="78" spans="1:21">
      <c r="A78" s="167">
        <v>1209</v>
      </c>
      <c r="B78" s="144" t="s">
        <v>89</v>
      </c>
      <c r="C78" s="156" t="s">
        <v>90</v>
      </c>
      <c r="D78" s="156">
        <v>1</v>
      </c>
      <c r="E78" s="156">
        <v>134</v>
      </c>
      <c r="F78" s="248">
        <v>211.25</v>
      </c>
      <c r="G78" s="270" t="s">
        <v>32</v>
      </c>
      <c r="H78" s="502"/>
      <c r="I78" s="248">
        <v>-1.54</v>
      </c>
      <c r="J78" s="450">
        <v>-0.89012341618537905</v>
      </c>
      <c r="K78" s="491">
        <f t="shared" si="1"/>
        <v>19.153437910576994</v>
      </c>
      <c r="L78" s="228" t="s">
        <v>33</v>
      </c>
      <c r="M78" s="317" t="s">
        <v>74</v>
      </c>
      <c r="N78" s="317" t="s">
        <v>88</v>
      </c>
      <c r="O78" s="307" t="s">
        <v>35</v>
      </c>
      <c r="P78" s="314" t="s">
        <v>91</v>
      </c>
      <c r="Q78" s="501" t="s">
        <v>92</v>
      </c>
      <c r="R78" s="315" t="s">
        <v>86</v>
      </c>
      <c r="S78" s="176"/>
      <c r="T78" s="145"/>
      <c r="U78" s="145"/>
    </row>
    <row r="79" spans="1:21">
      <c r="A79" s="167">
        <v>1209</v>
      </c>
      <c r="B79" s="144" t="s">
        <v>89</v>
      </c>
      <c r="C79" s="156" t="s">
        <v>90</v>
      </c>
      <c r="D79" s="156">
        <v>1</v>
      </c>
      <c r="E79" s="156">
        <v>134</v>
      </c>
      <c r="F79" s="248">
        <v>211.25</v>
      </c>
      <c r="G79" s="270" t="s">
        <v>32</v>
      </c>
      <c r="H79" s="502"/>
      <c r="I79" s="248">
        <v>-1.51</v>
      </c>
      <c r="J79" s="450">
        <v>-0.89012341618537905</v>
      </c>
      <c r="K79" s="491">
        <f t="shared" ref="K79:K141" si="2">16.1-4.64*($I79-J79)+0.09*($I79-J79)^2</f>
        <v>19.010809577024396</v>
      </c>
      <c r="L79" s="228" t="s">
        <v>33</v>
      </c>
      <c r="M79" s="317" t="s">
        <v>74</v>
      </c>
      <c r="N79" s="317" t="s">
        <v>88</v>
      </c>
      <c r="O79" s="307" t="s">
        <v>35</v>
      </c>
      <c r="P79" s="314" t="s">
        <v>91</v>
      </c>
      <c r="Q79" s="501" t="s">
        <v>92</v>
      </c>
      <c r="R79" s="315" t="s">
        <v>86</v>
      </c>
      <c r="S79" s="176"/>
      <c r="T79" s="145"/>
      <c r="U79" s="145"/>
    </row>
    <row r="80" spans="1:21">
      <c r="A80" s="167">
        <v>1209</v>
      </c>
      <c r="B80" s="144" t="s">
        <v>89</v>
      </c>
      <c r="C80" s="156" t="s">
        <v>90</v>
      </c>
      <c r="D80" s="156">
        <v>1</v>
      </c>
      <c r="E80" s="156">
        <v>134</v>
      </c>
      <c r="F80" s="248">
        <v>211.25</v>
      </c>
      <c r="G80" s="270" t="s">
        <v>32</v>
      </c>
      <c r="H80" s="502"/>
      <c r="I80" s="248">
        <v>-1.47</v>
      </c>
      <c r="J80" s="450">
        <v>-0.89012341618537905</v>
      </c>
      <c r="K80" s="491">
        <f t="shared" si="2"/>
        <v>18.820890465620931</v>
      </c>
      <c r="L80" s="228" t="s">
        <v>33</v>
      </c>
      <c r="M80" s="317" t="s">
        <v>74</v>
      </c>
      <c r="N80" s="317" t="s">
        <v>88</v>
      </c>
      <c r="O80" s="307" t="s">
        <v>35</v>
      </c>
      <c r="P80" s="314" t="s">
        <v>91</v>
      </c>
      <c r="Q80" s="501" t="s">
        <v>92</v>
      </c>
      <c r="R80" s="315" t="s">
        <v>86</v>
      </c>
      <c r="S80" s="176"/>
      <c r="T80" s="145"/>
      <c r="U80" s="145"/>
    </row>
    <row r="81" spans="1:21">
      <c r="A81" s="167">
        <v>1209</v>
      </c>
      <c r="B81" s="144" t="s">
        <v>89</v>
      </c>
      <c r="C81" s="156" t="s">
        <v>90</v>
      </c>
      <c r="D81" s="156">
        <v>1</v>
      </c>
      <c r="E81" s="156">
        <v>134</v>
      </c>
      <c r="F81" s="248">
        <v>211.25</v>
      </c>
      <c r="G81" s="270" t="s">
        <v>32</v>
      </c>
      <c r="H81" s="502"/>
      <c r="I81" s="248">
        <v>-1.41</v>
      </c>
      <c r="J81" s="450">
        <v>-0.89012341618537905</v>
      </c>
      <c r="K81" s="491">
        <f t="shared" si="2"/>
        <v>18.536551798515731</v>
      </c>
      <c r="L81" s="228" t="s">
        <v>33</v>
      </c>
      <c r="M81" s="317" t="s">
        <v>74</v>
      </c>
      <c r="N81" s="317" t="s">
        <v>88</v>
      </c>
      <c r="O81" s="307" t="s">
        <v>35</v>
      </c>
      <c r="P81" s="314" t="s">
        <v>91</v>
      </c>
      <c r="Q81" s="501" t="s">
        <v>92</v>
      </c>
      <c r="R81" s="315" t="s">
        <v>86</v>
      </c>
      <c r="S81" s="176"/>
      <c r="T81" s="145"/>
      <c r="U81" s="145"/>
    </row>
    <row r="82" spans="1:21">
      <c r="A82" s="167">
        <v>1209</v>
      </c>
      <c r="B82" s="144" t="s">
        <v>89</v>
      </c>
      <c r="C82" s="156" t="s">
        <v>90</v>
      </c>
      <c r="D82" s="156">
        <v>1</v>
      </c>
      <c r="E82" s="156">
        <v>139</v>
      </c>
      <c r="F82" s="396">
        <v>211.3</v>
      </c>
      <c r="G82" s="270" t="s">
        <v>196</v>
      </c>
      <c r="H82" s="502"/>
      <c r="I82" s="248">
        <v>-1.66</v>
      </c>
      <c r="J82" s="450">
        <v>-0.89012341618537905</v>
      </c>
      <c r="K82" s="494">
        <f t="shared" si="2"/>
        <v>19.725571244787389</v>
      </c>
      <c r="L82" s="228" t="s">
        <v>33</v>
      </c>
      <c r="M82" s="317" t="s">
        <v>74</v>
      </c>
      <c r="N82" s="317" t="s">
        <v>88</v>
      </c>
      <c r="O82" s="307" t="s">
        <v>35</v>
      </c>
      <c r="P82" s="314" t="s">
        <v>91</v>
      </c>
      <c r="Q82" s="501" t="s">
        <v>92</v>
      </c>
      <c r="R82" s="315" t="s">
        <v>86</v>
      </c>
      <c r="S82" s="176" t="s">
        <v>754</v>
      </c>
      <c r="T82" s="145"/>
      <c r="U82" s="145"/>
    </row>
    <row r="83" spans="1:21">
      <c r="A83" s="167">
        <v>1209</v>
      </c>
      <c r="B83" s="144" t="s">
        <v>89</v>
      </c>
      <c r="C83" s="156" t="s">
        <v>90</v>
      </c>
      <c r="D83" s="156">
        <v>1</v>
      </c>
      <c r="E83" s="156">
        <v>139</v>
      </c>
      <c r="F83" s="396">
        <v>211.3</v>
      </c>
      <c r="G83" s="270" t="s">
        <v>196</v>
      </c>
      <c r="H83" s="502"/>
      <c r="I83" s="248">
        <v>-1.42</v>
      </c>
      <c r="J83" s="450">
        <v>-0.89012341618537905</v>
      </c>
      <c r="K83" s="494">
        <f t="shared" si="2"/>
        <v>18.583896576366598</v>
      </c>
      <c r="L83" s="228" t="s">
        <v>33</v>
      </c>
      <c r="M83" s="317" t="s">
        <v>74</v>
      </c>
      <c r="N83" s="317" t="s">
        <v>88</v>
      </c>
      <c r="O83" s="307" t="s">
        <v>35</v>
      </c>
      <c r="P83" s="314" t="s">
        <v>91</v>
      </c>
      <c r="Q83" s="501" t="s">
        <v>92</v>
      </c>
      <c r="R83" s="315" t="s">
        <v>86</v>
      </c>
      <c r="S83" s="176" t="s">
        <v>754</v>
      </c>
      <c r="T83" s="145"/>
      <c r="U83" s="145"/>
    </row>
    <row r="84" spans="1:21">
      <c r="A84" s="167">
        <v>1209</v>
      </c>
      <c r="B84" s="144" t="s">
        <v>89</v>
      </c>
      <c r="C84" s="156" t="s">
        <v>90</v>
      </c>
      <c r="D84" s="156">
        <v>1</v>
      </c>
      <c r="E84" s="156">
        <v>139</v>
      </c>
      <c r="F84" s="396">
        <v>211.3</v>
      </c>
      <c r="G84" s="270" t="s">
        <v>196</v>
      </c>
      <c r="H84" s="502"/>
      <c r="I84" s="248">
        <v>-1.21</v>
      </c>
      <c r="J84" s="450">
        <v>-0.89012341618537905</v>
      </c>
      <c r="K84" s="494">
        <f t="shared" si="2"/>
        <v>17.593436241498402</v>
      </c>
      <c r="L84" s="228" t="s">
        <v>33</v>
      </c>
      <c r="M84" s="317" t="s">
        <v>74</v>
      </c>
      <c r="N84" s="317" t="s">
        <v>88</v>
      </c>
      <c r="O84" s="307" t="s">
        <v>35</v>
      </c>
      <c r="P84" s="314" t="s">
        <v>91</v>
      </c>
      <c r="Q84" s="501" t="s">
        <v>92</v>
      </c>
      <c r="R84" s="315" t="s">
        <v>86</v>
      </c>
      <c r="S84" s="176" t="s">
        <v>754</v>
      </c>
      <c r="T84" s="145"/>
      <c r="U84" s="145"/>
    </row>
    <row r="85" spans="1:21">
      <c r="A85" s="167">
        <v>1209</v>
      </c>
      <c r="B85" s="144" t="s">
        <v>89</v>
      </c>
      <c r="C85" s="156" t="s">
        <v>90</v>
      </c>
      <c r="D85" s="156">
        <v>1</v>
      </c>
      <c r="E85" s="156">
        <v>144</v>
      </c>
      <c r="F85" s="396">
        <v>211.35</v>
      </c>
      <c r="G85" s="270" t="s">
        <v>196</v>
      </c>
      <c r="H85" s="502"/>
      <c r="I85" s="248">
        <v>-1.5</v>
      </c>
      <c r="J85" s="450">
        <v>-0.89012341618537905</v>
      </c>
      <c r="K85" s="494">
        <f t="shared" si="2"/>
        <v>18.963302799173526</v>
      </c>
      <c r="L85" s="228" t="s">
        <v>33</v>
      </c>
      <c r="M85" s="317" t="s">
        <v>74</v>
      </c>
      <c r="N85" s="317" t="s">
        <v>88</v>
      </c>
      <c r="O85" s="307" t="s">
        <v>35</v>
      </c>
      <c r="P85" s="314" t="s">
        <v>91</v>
      </c>
      <c r="Q85" s="501" t="s">
        <v>92</v>
      </c>
      <c r="R85" s="315" t="s">
        <v>86</v>
      </c>
      <c r="S85" s="176" t="s">
        <v>754</v>
      </c>
      <c r="T85" s="145"/>
      <c r="U85" s="145"/>
    </row>
    <row r="86" spans="1:21">
      <c r="A86" s="167">
        <v>1209</v>
      </c>
      <c r="B86" s="144" t="s">
        <v>89</v>
      </c>
      <c r="C86" s="156" t="s">
        <v>90</v>
      </c>
      <c r="D86" s="156">
        <v>1</v>
      </c>
      <c r="E86" s="156">
        <v>144</v>
      </c>
      <c r="F86" s="396">
        <v>211.35</v>
      </c>
      <c r="G86" s="270" t="s">
        <v>196</v>
      </c>
      <c r="H86" s="502"/>
      <c r="I86" s="248">
        <v>-1.44</v>
      </c>
      <c r="J86" s="450">
        <v>-0.89012341618537905</v>
      </c>
      <c r="K86" s="494">
        <f t="shared" si="2"/>
        <v>18.678640132068331</v>
      </c>
      <c r="L86" s="228" t="s">
        <v>33</v>
      </c>
      <c r="M86" s="317" t="s">
        <v>74</v>
      </c>
      <c r="N86" s="317" t="s">
        <v>88</v>
      </c>
      <c r="O86" s="307" t="s">
        <v>35</v>
      </c>
      <c r="P86" s="314" t="s">
        <v>91</v>
      </c>
      <c r="Q86" s="501" t="s">
        <v>92</v>
      </c>
      <c r="R86" s="315" t="s">
        <v>86</v>
      </c>
      <c r="S86" s="176" t="s">
        <v>754</v>
      </c>
      <c r="T86" s="145"/>
      <c r="U86" s="145"/>
    </row>
    <row r="87" spans="1:21">
      <c r="A87" s="167">
        <v>1209</v>
      </c>
      <c r="B87" s="144" t="s">
        <v>89</v>
      </c>
      <c r="C87" s="156" t="s">
        <v>90</v>
      </c>
      <c r="D87" s="156">
        <v>1</v>
      </c>
      <c r="E87" s="156">
        <v>144</v>
      </c>
      <c r="F87" s="396">
        <v>211.35</v>
      </c>
      <c r="G87" s="270" t="s">
        <v>196</v>
      </c>
      <c r="H87" s="502"/>
      <c r="I87" s="248">
        <v>-1.25</v>
      </c>
      <c r="J87" s="450">
        <v>-0.89012341618537905</v>
      </c>
      <c r="K87" s="494">
        <f t="shared" si="2"/>
        <v>17.781483352901869</v>
      </c>
      <c r="L87" s="228" t="s">
        <v>33</v>
      </c>
      <c r="M87" s="317" t="s">
        <v>74</v>
      </c>
      <c r="N87" s="317" t="s">
        <v>88</v>
      </c>
      <c r="O87" s="307" t="s">
        <v>35</v>
      </c>
      <c r="P87" s="314" t="s">
        <v>91</v>
      </c>
      <c r="Q87" s="501" t="s">
        <v>92</v>
      </c>
      <c r="R87" s="315" t="s">
        <v>86</v>
      </c>
      <c r="S87" s="176" t="s">
        <v>754</v>
      </c>
      <c r="T87" s="145"/>
      <c r="U87" s="145"/>
    </row>
    <row r="88" spans="1:21">
      <c r="A88" s="167">
        <v>1209</v>
      </c>
      <c r="B88" s="144" t="s">
        <v>89</v>
      </c>
      <c r="C88" s="156" t="s">
        <v>90</v>
      </c>
      <c r="D88" s="156">
        <v>1</v>
      </c>
      <c r="E88" s="156">
        <v>148</v>
      </c>
      <c r="F88" s="396">
        <v>211.39</v>
      </c>
      <c r="G88" s="270" t="s">
        <v>196</v>
      </c>
      <c r="H88" s="502"/>
      <c r="I88" s="248">
        <v>-1.68</v>
      </c>
      <c r="J88" s="450">
        <v>-0.89012341618537905</v>
      </c>
      <c r="K88" s="494">
        <f t="shared" si="2"/>
        <v>19.821178800489122</v>
      </c>
      <c r="L88" s="228" t="s">
        <v>33</v>
      </c>
      <c r="M88" s="317" t="s">
        <v>74</v>
      </c>
      <c r="N88" s="317" t="s">
        <v>88</v>
      </c>
      <c r="O88" s="307" t="s">
        <v>35</v>
      </c>
      <c r="P88" s="314" t="s">
        <v>91</v>
      </c>
      <c r="Q88" s="501" t="s">
        <v>92</v>
      </c>
      <c r="R88" s="315" t="s">
        <v>86</v>
      </c>
      <c r="S88" s="176" t="s">
        <v>754</v>
      </c>
      <c r="T88" s="145"/>
      <c r="U88" s="145"/>
    </row>
    <row r="89" spans="1:21">
      <c r="A89" s="167">
        <v>1209</v>
      </c>
      <c r="B89" s="144" t="s">
        <v>89</v>
      </c>
      <c r="C89" s="156" t="s">
        <v>90</v>
      </c>
      <c r="D89" s="156">
        <v>1</v>
      </c>
      <c r="E89" s="156">
        <v>148</v>
      </c>
      <c r="F89" s="396">
        <v>211.39</v>
      </c>
      <c r="G89" s="270" t="s">
        <v>196</v>
      </c>
      <c r="H89" s="502"/>
      <c r="I89" s="248">
        <v>-1.55</v>
      </c>
      <c r="J89" s="450">
        <v>-0.89012341618537905</v>
      </c>
      <c r="K89" s="494">
        <f t="shared" si="2"/>
        <v>19.20101668842786</v>
      </c>
      <c r="L89" s="228" t="s">
        <v>33</v>
      </c>
      <c r="M89" s="317" t="s">
        <v>74</v>
      </c>
      <c r="N89" s="317" t="s">
        <v>88</v>
      </c>
      <c r="O89" s="307" t="s">
        <v>35</v>
      </c>
      <c r="P89" s="314" t="s">
        <v>91</v>
      </c>
      <c r="Q89" s="501" t="s">
        <v>92</v>
      </c>
      <c r="R89" s="315" t="s">
        <v>86</v>
      </c>
      <c r="S89" s="176" t="s">
        <v>754</v>
      </c>
      <c r="T89" s="145"/>
      <c r="U89" s="145"/>
    </row>
    <row r="90" spans="1:21">
      <c r="A90" s="167">
        <v>1209</v>
      </c>
      <c r="B90" s="144" t="s">
        <v>89</v>
      </c>
      <c r="C90" s="156" t="s">
        <v>90</v>
      </c>
      <c r="D90" s="156">
        <v>1</v>
      </c>
      <c r="E90" s="156">
        <v>148</v>
      </c>
      <c r="F90" s="396">
        <v>211.39</v>
      </c>
      <c r="G90" s="270" t="s">
        <v>196</v>
      </c>
      <c r="H90" s="502"/>
      <c r="I90" s="248">
        <v>-1.37</v>
      </c>
      <c r="J90" s="450">
        <v>-0.89012341618537905</v>
      </c>
      <c r="K90" s="494">
        <f t="shared" si="2"/>
        <v>18.347352687112267</v>
      </c>
      <c r="L90" s="228" t="s">
        <v>33</v>
      </c>
      <c r="M90" s="317" t="s">
        <v>74</v>
      </c>
      <c r="N90" s="317" t="s">
        <v>88</v>
      </c>
      <c r="O90" s="307" t="s">
        <v>35</v>
      </c>
      <c r="P90" s="314" t="s">
        <v>91</v>
      </c>
      <c r="Q90" s="501" t="s">
        <v>92</v>
      </c>
      <c r="R90" s="315" t="s">
        <v>86</v>
      </c>
      <c r="S90" s="176" t="s">
        <v>754</v>
      </c>
      <c r="T90" s="145"/>
      <c r="U90" s="145"/>
    </row>
    <row r="91" spans="1:21">
      <c r="A91" s="167">
        <v>1209</v>
      </c>
      <c r="B91" s="144" t="s">
        <v>89</v>
      </c>
      <c r="C91" s="156" t="s">
        <v>90</v>
      </c>
      <c r="D91" s="156">
        <v>1</v>
      </c>
      <c r="E91" s="156">
        <v>148</v>
      </c>
      <c r="F91" s="396">
        <v>211.39</v>
      </c>
      <c r="G91" s="270" t="s">
        <v>196</v>
      </c>
      <c r="H91" s="502"/>
      <c r="I91" s="248">
        <v>-1.34</v>
      </c>
      <c r="J91" s="450">
        <v>-0.89012341618537905</v>
      </c>
      <c r="K91" s="494">
        <f t="shared" si="2"/>
        <v>18.205642353559668</v>
      </c>
      <c r="L91" s="228" t="s">
        <v>33</v>
      </c>
      <c r="M91" s="317" t="s">
        <v>74</v>
      </c>
      <c r="N91" s="317" t="s">
        <v>88</v>
      </c>
      <c r="O91" s="307" t="s">
        <v>35</v>
      </c>
      <c r="P91" s="314" t="s">
        <v>91</v>
      </c>
      <c r="Q91" s="501" t="s">
        <v>92</v>
      </c>
      <c r="R91" s="315" t="s">
        <v>86</v>
      </c>
      <c r="S91" s="176" t="s">
        <v>754</v>
      </c>
      <c r="T91" s="145"/>
      <c r="U91" s="145"/>
    </row>
    <row r="92" spans="1:21">
      <c r="A92" s="177">
        <v>1209</v>
      </c>
      <c r="B92" s="221" t="s">
        <v>89</v>
      </c>
      <c r="C92" s="226" t="s">
        <v>90</v>
      </c>
      <c r="D92" s="226">
        <v>1</v>
      </c>
      <c r="E92" s="226">
        <v>148</v>
      </c>
      <c r="F92" s="397">
        <v>211.39</v>
      </c>
      <c r="G92" s="432" t="s">
        <v>196</v>
      </c>
      <c r="H92" s="503"/>
      <c r="I92" s="437">
        <v>-1.19</v>
      </c>
      <c r="J92" s="385">
        <v>-0.89012341618537905</v>
      </c>
      <c r="K92" s="493">
        <f t="shared" si="2"/>
        <v>17.499520685796675</v>
      </c>
      <c r="L92" s="229" t="s">
        <v>33</v>
      </c>
      <c r="M92" s="386" t="s">
        <v>74</v>
      </c>
      <c r="N92" s="386" t="s">
        <v>88</v>
      </c>
      <c r="O92" s="387" t="s">
        <v>35</v>
      </c>
      <c r="P92" s="388" t="s">
        <v>91</v>
      </c>
      <c r="Q92" s="504" t="s">
        <v>92</v>
      </c>
      <c r="R92" s="505" t="s">
        <v>86</v>
      </c>
      <c r="S92" s="176" t="s">
        <v>754</v>
      </c>
      <c r="T92" s="145"/>
      <c r="U92" s="145"/>
    </row>
    <row r="93" spans="1:21">
      <c r="A93" s="167">
        <v>1209</v>
      </c>
      <c r="B93" s="144" t="s">
        <v>89</v>
      </c>
      <c r="C93" s="156" t="s">
        <v>90</v>
      </c>
      <c r="D93" s="156">
        <v>1</v>
      </c>
      <c r="E93" s="156">
        <v>89</v>
      </c>
      <c r="F93" s="396">
        <v>210.8</v>
      </c>
      <c r="G93" s="270"/>
      <c r="H93" s="502"/>
      <c r="I93" s="248">
        <v>-1.69</v>
      </c>
      <c r="J93" s="450">
        <v>-0.89012341618537905</v>
      </c>
      <c r="K93" s="491">
        <f t="shared" si="2"/>
        <v>19.869009578339988</v>
      </c>
      <c r="L93" s="395" t="s">
        <v>79</v>
      </c>
      <c r="M93" s="317" t="s">
        <v>74</v>
      </c>
      <c r="N93" s="317" t="s">
        <v>88</v>
      </c>
      <c r="O93" s="307" t="s">
        <v>35</v>
      </c>
      <c r="P93" s="314" t="s">
        <v>91</v>
      </c>
      <c r="Q93" s="501" t="s">
        <v>92</v>
      </c>
      <c r="R93" s="315" t="s">
        <v>86</v>
      </c>
      <c r="S93" s="176"/>
      <c r="T93" s="145"/>
      <c r="U93" s="145"/>
    </row>
    <row r="94" spans="1:21">
      <c r="A94" s="167">
        <v>1209</v>
      </c>
      <c r="B94" s="144" t="s">
        <v>89</v>
      </c>
      <c r="C94" s="156" t="s">
        <v>90</v>
      </c>
      <c r="D94" s="156">
        <v>1</v>
      </c>
      <c r="E94" s="156">
        <v>89</v>
      </c>
      <c r="F94" s="396">
        <v>210.8</v>
      </c>
      <c r="G94" s="270"/>
      <c r="H94" s="502"/>
      <c r="I94" s="248">
        <v>-1.55</v>
      </c>
      <c r="J94" s="450">
        <v>-0.89012341618537905</v>
      </c>
      <c r="K94" s="491">
        <f t="shared" si="2"/>
        <v>19.20101668842786</v>
      </c>
      <c r="L94" s="395" t="s">
        <v>79</v>
      </c>
      <c r="M94" s="317" t="s">
        <v>74</v>
      </c>
      <c r="N94" s="317" t="s">
        <v>88</v>
      </c>
      <c r="O94" s="307" t="s">
        <v>35</v>
      </c>
      <c r="P94" s="314" t="s">
        <v>91</v>
      </c>
      <c r="Q94" s="501" t="s">
        <v>92</v>
      </c>
      <c r="R94" s="315" t="s">
        <v>86</v>
      </c>
      <c r="S94" s="176"/>
      <c r="T94" s="145"/>
      <c r="U94" s="145"/>
    </row>
    <row r="95" spans="1:21">
      <c r="A95" s="167">
        <v>1209</v>
      </c>
      <c r="B95" s="144" t="s">
        <v>89</v>
      </c>
      <c r="C95" s="156" t="s">
        <v>90</v>
      </c>
      <c r="D95" s="156">
        <v>1</v>
      </c>
      <c r="E95" s="156">
        <v>89</v>
      </c>
      <c r="F95" s="396">
        <v>210.8</v>
      </c>
      <c r="G95" s="270"/>
      <c r="H95" s="502"/>
      <c r="I95" s="248">
        <v>-1.43</v>
      </c>
      <c r="J95" s="450">
        <v>-0.89012341618537905</v>
      </c>
      <c r="K95" s="491">
        <f t="shared" si="2"/>
        <v>18.631259354217462</v>
      </c>
      <c r="L95" s="395" t="s">
        <v>79</v>
      </c>
      <c r="M95" s="317" t="s">
        <v>74</v>
      </c>
      <c r="N95" s="317" t="s">
        <v>88</v>
      </c>
      <c r="O95" s="307" t="s">
        <v>35</v>
      </c>
      <c r="P95" s="314" t="s">
        <v>91</v>
      </c>
      <c r="Q95" s="501" t="s">
        <v>92</v>
      </c>
      <c r="R95" s="315" t="s">
        <v>86</v>
      </c>
      <c r="S95" s="176"/>
      <c r="T95" s="145"/>
      <c r="U95" s="145"/>
    </row>
    <row r="96" spans="1:21">
      <c r="A96" s="167">
        <v>1209</v>
      </c>
      <c r="B96" s="144" t="s">
        <v>89</v>
      </c>
      <c r="C96" s="156" t="s">
        <v>90</v>
      </c>
      <c r="D96" s="156">
        <v>1</v>
      </c>
      <c r="E96" s="156">
        <v>89</v>
      </c>
      <c r="F96" s="396">
        <v>210.8</v>
      </c>
      <c r="G96" s="270"/>
      <c r="H96" s="502"/>
      <c r="I96" s="248">
        <v>-1.36</v>
      </c>
      <c r="J96" s="450">
        <v>-0.89012341618537905</v>
      </c>
      <c r="K96" s="491">
        <f t="shared" si="2"/>
        <v>18.3000979092614</v>
      </c>
      <c r="L96" s="395" t="s">
        <v>79</v>
      </c>
      <c r="M96" s="317" t="s">
        <v>74</v>
      </c>
      <c r="N96" s="317" t="s">
        <v>88</v>
      </c>
      <c r="O96" s="307" t="s">
        <v>35</v>
      </c>
      <c r="P96" s="314" t="s">
        <v>91</v>
      </c>
      <c r="Q96" s="501" t="s">
        <v>92</v>
      </c>
      <c r="R96" s="315" t="s">
        <v>86</v>
      </c>
      <c r="S96" s="176"/>
      <c r="T96" s="145"/>
      <c r="U96" s="145"/>
    </row>
    <row r="97" spans="1:21">
      <c r="A97" s="167">
        <v>1209</v>
      </c>
      <c r="B97" s="144" t="s">
        <v>89</v>
      </c>
      <c r="C97" s="156" t="s">
        <v>90</v>
      </c>
      <c r="D97" s="156">
        <v>1</v>
      </c>
      <c r="E97" s="156">
        <v>89</v>
      </c>
      <c r="F97" s="396">
        <v>210.8</v>
      </c>
      <c r="G97" s="270"/>
      <c r="H97" s="502"/>
      <c r="I97" s="248">
        <v>-1.23</v>
      </c>
      <c r="J97" s="450">
        <v>-0.89012341618537905</v>
      </c>
      <c r="K97" s="491">
        <f t="shared" si="2"/>
        <v>17.687423797200136</v>
      </c>
      <c r="L97" s="395" t="s">
        <v>79</v>
      </c>
      <c r="M97" s="317" t="s">
        <v>74</v>
      </c>
      <c r="N97" s="317" t="s">
        <v>88</v>
      </c>
      <c r="O97" s="307" t="s">
        <v>35</v>
      </c>
      <c r="P97" s="314" t="s">
        <v>91</v>
      </c>
      <c r="Q97" s="501" t="s">
        <v>92</v>
      </c>
      <c r="R97" s="315" t="s">
        <v>86</v>
      </c>
      <c r="S97" s="176"/>
      <c r="T97" s="145"/>
      <c r="U97" s="145"/>
    </row>
    <row r="98" spans="1:21">
      <c r="A98" s="167">
        <v>1209</v>
      </c>
      <c r="B98" s="144" t="s">
        <v>89</v>
      </c>
      <c r="C98" s="156" t="s">
        <v>90</v>
      </c>
      <c r="D98" s="156">
        <v>1</v>
      </c>
      <c r="E98" s="156">
        <v>94</v>
      </c>
      <c r="F98" s="248">
        <v>210.85</v>
      </c>
      <c r="G98" s="270"/>
      <c r="H98" s="502"/>
      <c r="I98" s="248">
        <v>-1.67</v>
      </c>
      <c r="J98" s="450">
        <v>-0.89012341618537905</v>
      </c>
      <c r="K98" s="491">
        <f t="shared" si="2"/>
        <v>19.773366022638257</v>
      </c>
      <c r="L98" s="395" t="s">
        <v>79</v>
      </c>
      <c r="M98" s="317" t="s">
        <v>74</v>
      </c>
      <c r="N98" s="317" t="s">
        <v>88</v>
      </c>
      <c r="O98" s="307" t="s">
        <v>35</v>
      </c>
      <c r="P98" s="314" t="s">
        <v>91</v>
      </c>
      <c r="Q98" s="501" t="s">
        <v>92</v>
      </c>
      <c r="R98" s="315" t="s">
        <v>86</v>
      </c>
      <c r="S98" s="176"/>
      <c r="T98" s="145"/>
      <c r="U98" s="145"/>
    </row>
    <row r="99" spans="1:21">
      <c r="A99" s="167">
        <v>1209</v>
      </c>
      <c r="B99" s="144" t="s">
        <v>89</v>
      </c>
      <c r="C99" s="156" t="s">
        <v>90</v>
      </c>
      <c r="D99" s="156">
        <v>1</v>
      </c>
      <c r="E99" s="156">
        <v>94</v>
      </c>
      <c r="F99" s="248">
        <v>210.85</v>
      </c>
      <c r="G99" s="270"/>
      <c r="H99" s="502"/>
      <c r="I99" s="248">
        <v>-1.54</v>
      </c>
      <c r="J99" s="450">
        <v>-0.89012341618537905</v>
      </c>
      <c r="K99" s="491">
        <f t="shared" si="2"/>
        <v>19.153437910576994</v>
      </c>
      <c r="L99" s="395" t="s">
        <v>79</v>
      </c>
      <c r="M99" s="317" t="s">
        <v>74</v>
      </c>
      <c r="N99" s="317" t="s">
        <v>88</v>
      </c>
      <c r="O99" s="307" t="s">
        <v>35</v>
      </c>
      <c r="P99" s="314" t="s">
        <v>91</v>
      </c>
      <c r="Q99" s="501" t="s">
        <v>92</v>
      </c>
      <c r="R99" s="315" t="s">
        <v>86</v>
      </c>
      <c r="S99" s="176"/>
      <c r="T99" s="145"/>
      <c r="U99" s="145"/>
    </row>
    <row r="100" spans="1:21">
      <c r="A100" s="167">
        <v>1209</v>
      </c>
      <c r="B100" s="144" t="s">
        <v>89</v>
      </c>
      <c r="C100" s="156" t="s">
        <v>90</v>
      </c>
      <c r="D100" s="156">
        <v>1</v>
      </c>
      <c r="E100" s="156">
        <v>94</v>
      </c>
      <c r="F100" s="248">
        <v>210.85</v>
      </c>
      <c r="G100" s="270"/>
      <c r="H100" s="502"/>
      <c r="I100" s="248">
        <v>-1.46</v>
      </c>
      <c r="J100" s="450">
        <v>-0.89012341618537905</v>
      </c>
      <c r="K100" s="491">
        <f t="shared" si="2"/>
        <v>18.77345568777006</v>
      </c>
      <c r="L100" s="395" t="s">
        <v>79</v>
      </c>
      <c r="M100" s="317" t="s">
        <v>74</v>
      </c>
      <c r="N100" s="317" t="s">
        <v>88</v>
      </c>
      <c r="O100" s="307" t="s">
        <v>35</v>
      </c>
      <c r="P100" s="314" t="s">
        <v>91</v>
      </c>
      <c r="Q100" s="501" t="s">
        <v>92</v>
      </c>
      <c r="R100" s="315" t="s">
        <v>86</v>
      </c>
      <c r="S100" s="176"/>
      <c r="T100" s="145"/>
      <c r="U100" s="145"/>
    </row>
    <row r="101" spans="1:21">
      <c r="A101" s="167">
        <v>1209</v>
      </c>
      <c r="B101" s="144" t="s">
        <v>89</v>
      </c>
      <c r="C101" s="156" t="s">
        <v>90</v>
      </c>
      <c r="D101" s="156">
        <v>1</v>
      </c>
      <c r="E101" s="156">
        <v>94</v>
      </c>
      <c r="F101" s="248">
        <v>210.85</v>
      </c>
      <c r="G101" s="270"/>
      <c r="H101" s="502"/>
      <c r="I101" s="248">
        <v>-1.39</v>
      </c>
      <c r="J101" s="450">
        <v>-0.89012341618537905</v>
      </c>
      <c r="K101" s="491">
        <f t="shared" si="2"/>
        <v>18.441916242813996</v>
      </c>
      <c r="L101" s="395" t="s">
        <v>79</v>
      </c>
      <c r="M101" s="317" t="s">
        <v>74</v>
      </c>
      <c r="N101" s="317" t="s">
        <v>88</v>
      </c>
      <c r="O101" s="307" t="s">
        <v>35</v>
      </c>
      <c r="P101" s="314" t="s">
        <v>91</v>
      </c>
      <c r="Q101" s="501" t="s">
        <v>92</v>
      </c>
      <c r="R101" s="315" t="s">
        <v>86</v>
      </c>
      <c r="S101" s="176"/>
      <c r="T101" s="145"/>
      <c r="U101" s="145"/>
    </row>
    <row r="102" spans="1:21">
      <c r="A102" s="167">
        <v>1209</v>
      </c>
      <c r="B102" s="144" t="s">
        <v>89</v>
      </c>
      <c r="C102" s="156" t="s">
        <v>90</v>
      </c>
      <c r="D102" s="156">
        <v>1</v>
      </c>
      <c r="E102" s="156">
        <v>94</v>
      </c>
      <c r="F102" s="248">
        <v>210.85</v>
      </c>
      <c r="G102" s="270"/>
      <c r="H102" s="502"/>
      <c r="I102" s="248">
        <v>-1.26</v>
      </c>
      <c r="J102" s="450">
        <v>-0.89012341618537905</v>
      </c>
      <c r="K102" s="491">
        <f t="shared" si="2"/>
        <v>17.828540130752739</v>
      </c>
      <c r="L102" s="395" t="s">
        <v>79</v>
      </c>
      <c r="M102" s="317" t="s">
        <v>74</v>
      </c>
      <c r="N102" s="317" t="s">
        <v>88</v>
      </c>
      <c r="O102" s="307" t="s">
        <v>35</v>
      </c>
      <c r="P102" s="314" t="s">
        <v>91</v>
      </c>
      <c r="Q102" s="501" t="s">
        <v>92</v>
      </c>
      <c r="R102" s="315" t="s">
        <v>86</v>
      </c>
      <c r="S102" s="176"/>
      <c r="T102" s="145"/>
      <c r="U102" s="145"/>
    </row>
    <row r="103" spans="1:21">
      <c r="A103" s="167">
        <v>1209</v>
      </c>
      <c r="B103" s="144" t="s">
        <v>89</v>
      </c>
      <c r="C103" s="156" t="s">
        <v>90</v>
      </c>
      <c r="D103" s="156">
        <v>1</v>
      </c>
      <c r="E103" s="156">
        <v>99</v>
      </c>
      <c r="F103" s="248">
        <v>210.9</v>
      </c>
      <c r="G103" s="270"/>
      <c r="H103" s="502"/>
      <c r="I103" s="248">
        <v>-1.54</v>
      </c>
      <c r="J103" s="450">
        <v>-0.89012341618537905</v>
      </c>
      <c r="K103" s="491">
        <f t="shared" si="2"/>
        <v>19.153437910576994</v>
      </c>
      <c r="L103" s="395" t="s">
        <v>79</v>
      </c>
      <c r="M103" s="317" t="s">
        <v>74</v>
      </c>
      <c r="N103" s="317" t="s">
        <v>88</v>
      </c>
      <c r="O103" s="307" t="s">
        <v>35</v>
      </c>
      <c r="P103" s="314" t="s">
        <v>91</v>
      </c>
      <c r="Q103" s="501" t="s">
        <v>92</v>
      </c>
      <c r="R103" s="315" t="s">
        <v>86</v>
      </c>
      <c r="S103" s="176"/>
      <c r="T103" s="145"/>
      <c r="U103" s="145"/>
    </row>
    <row r="104" spans="1:21">
      <c r="A104" s="167">
        <v>1209</v>
      </c>
      <c r="B104" s="144" t="s">
        <v>89</v>
      </c>
      <c r="C104" s="156" t="s">
        <v>90</v>
      </c>
      <c r="D104" s="156">
        <v>1</v>
      </c>
      <c r="E104" s="156">
        <v>99</v>
      </c>
      <c r="F104" s="248">
        <v>210.9</v>
      </c>
      <c r="G104" s="270"/>
      <c r="H104" s="502"/>
      <c r="I104" s="248">
        <v>-1.54</v>
      </c>
      <c r="J104" s="450">
        <v>-0.89012341618537905</v>
      </c>
      <c r="K104" s="491">
        <f t="shared" si="2"/>
        <v>19.153437910576994</v>
      </c>
      <c r="L104" s="395" t="s">
        <v>79</v>
      </c>
      <c r="M104" s="317" t="s">
        <v>74</v>
      </c>
      <c r="N104" s="317" t="s">
        <v>88</v>
      </c>
      <c r="O104" s="307" t="s">
        <v>35</v>
      </c>
      <c r="P104" s="314" t="s">
        <v>91</v>
      </c>
      <c r="Q104" s="501" t="s">
        <v>92</v>
      </c>
      <c r="R104" s="315" t="s">
        <v>86</v>
      </c>
      <c r="S104" s="176"/>
      <c r="T104" s="145"/>
      <c r="U104" s="145"/>
    </row>
    <row r="105" spans="1:21">
      <c r="A105" s="167">
        <v>1209</v>
      </c>
      <c r="B105" s="144" t="s">
        <v>89</v>
      </c>
      <c r="C105" s="156" t="s">
        <v>90</v>
      </c>
      <c r="D105" s="156">
        <v>1</v>
      </c>
      <c r="E105" s="156">
        <v>99</v>
      </c>
      <c r="F105" s="248">
        <v>210.9</v>
      </c>
      <c r="G105" s="270"/>
      <c r="H105" s="502"/>
      <c r="I105" s="248">
        <v>-1.47</v>
      </c>
      <c r="J105" s="450">
        <v>-0.89012341618537905</v>
      </c>
      <c r="K105" s="491">
        <f t="shared" si="2"/>
        <v>18.820890465620931</v>
      </c>
      <c r="L105" s="395" t="s">
        <v>79</v>
      </c>
      <c r="M105" s="317" t="s">
        <v>74</v>
      </c>
      <c r="N105" s="317" t="s">
        <v>88</v>
      </c>
      <c r="O105" s="307" t="s">
        <v>35</v>
      </c>
      <c r="P105" s="314" t="s">
        <v>91</v>
      </c>
      <c r="Q105" s="501" t="s">
        <v>92</v>
      </c>
      <c r="R105" s="315" t="s">
        <v>86</v>
      </c>
      <c r="S105" s="176"/>
      <c r="T105" s="145"/>
      <c r="U105" s="145"/>
    </row>
    <row r="106" spans="1:21">
      <c r="A106" s="167">
        <v>1209</v>
      </c>
      <c r="B106" s="144" t="s">
        <v>89</v>
      </c>
      <c r="C106" s="156" t="s">
        <v>90</v>
      </c>
      <c r="D106" s="156">
        <v>1</v>
      </c>
      <c r="E106" s="156">
        <v>99</v>
      </c>
      <c r="F106" s="248">
        <v>210.9</v>
      </c>
      <c r="G106" s="270"/>
      <c r="H106" s="502"/>
      <c r="I106" s="248">
        <v>-1.45</v>
      </c>
      <c r="J106" s="450">
        <v>-0.89012341618537905</v>
      </c>
      <c r="K106" s="491">
        <f t="shared" si="2"/>
        <v>18.726038909919197</v>
      </c>
      <c r="L106" s="395" t="s">
        <v>79</v>
      </c>
      <c r="M106" s="317" t="s">
        <v>74</v>
      </c>
      <c r="N106" s="317" t="s">
        <v>88</v>
      </c>
      <c r="O106" s="307" t="s">
        <v>35</v>
      </c>
      <c r="P106" s="314" t="s">
        <v>91</v>
      </c>
      <c r="Q106" s="501" t="s">
        <v>92</v>
      </c>
      <c r="R106" s="315" t="s">
        <v>86</v>
      </c>
      <c r="S106" s="176"/>
      <c r="T106" s="145"/>
      <c r="U106" s="145"/>
    </row>
    <row r="107" spans="1:21">
      <c r="A107" s="167">
        <v>1209</v>
      </c>
      <c r="B107" s="144" t="s">
        <v>89</v>
      </c>
      <c r="C107" s="156" t="s">
        <v>90</v>
      </c>
      <c r="D107" s="156">
        <v>1</v>
      </c>
      <c r="E107" s="156">
        <v>99</v>
      </c>
      <c r="F107" s="248">
        <v>210.9</v>
      </c>
      <c r="G107" s="270"/>
      <c r="H107" s="502"/>
      <c r="I107" s="248">
        <v>-1.44</v>
      </c>
      <c r="J107" s="450">
        <v>-0.89012341618537905</v>
      </c>
      <c r="K107" s="491">
        <f t="shared" si="2"/>
        <v>18.678640132068331</v>
      </c>
      <c r="L107" s="395" t="s">
        <v>79</v>
      </c>
      <c r="M107" s="317" t="s">
        <v>74</v>
      </c>
      <c r="N107" s="317" t="s">
        <v>88</v>
      </c>
      <c r="O107" s="307" t="s">
        <v>35</v>
      </c>
      <c r="P107" s="314" t="s">
        <v>91</v>
      </c>
      <c r="Q107" s="501" t="s">
        <v>92</v>
      </c>
      <c r="R107" s="315" t="s">
        <v>86</v>
      </c>
      <c r="S107" s="176"/>
      <c r="T107" s="145"/>
      <c r="U107" s="145"/>
    </row>
    <row r="108" spans="1:21">
      <c r="A108" s="167">
        <v>1209</v>
      </c>
      <c r="B108" s="144" t="s">
        <v>89</v>
      </c>
      <c r="C108" s="156" t="s">
        <v>90</v>
      </c>
      <c r="D108" s="156">
        <v>1</v>
      </c>
      <c r="E108" s="156">
        <v>104</v>
      </c>
      <c r="F108" s="248">
        <v>210.95</v>
      </c>
      <c r="G108" s="270"/>
      <c r="H108" s="502"/>
      <c r="I108" s="248">
        <v>-1.86</v>
      </c>
      <c r="J108" s="450">
        <v>-0.89012341618537905</v>
      </c>
      <c r="K108" s="491">
        <f t="shared" si="2"/>
        <v>20.684886801804716</v>
      </c>
      <c r="L108" s="395" t="s">
        <v>79</v>
      </c>
      <c r="M108" s="317" t="s">
        <v>74</v>
      </c>
      <c r="N108" s="317" t="s">
        <v>88</v>
      </c>
      <c r="O108" s="307" t="s">
        <v>35</v>
      </c>
      <c r="P108" s="314" t="s">
        <v>91</v>
      </c>
      <c r="Q108" s="501" t="s">
        <v>92</v>
      </c>
      <c r="R108" s="315" t="s">
        <v>86</v>
      </c>
      <c r="S108" s="176"/>
      <c r="T108" s="145"/>
      <c r="U108" s="145"/>
    </row>
    <row r="109" spans="1:21">
      <c r="A109" s="167">
        <v>1209</v>
      </c>
      <c r="B109" s="144" t="s">
        <v>89</v>
      </c>
      <c r="C109" s="156" t="s">
        <v>90</v>
      </c>
      <c r="D109" s="156">
        <v>1</v>
      </c>
      <c r="E109" s="156">
        <v>104</v>
      </c>
      <c r="F109" s="248">
        <v>210.95</v>
      </c>
      <c r="G109" s="270"/>
      <c r="H109" s="502"/>
      <c r="I109" s="248">
        <v>-1.74</v>
      </c>
      <c r="J109" s="450">
        <v>-0.89012341618537905</v>
      </c>
      <c r="K109" s="491">
        <f t="shared" si="2"/>
        <v>20.10843346759432</v>
      </c>
      <c r="L109" s="395" t="s">
        <v>79</v>
      </c>
      <c r="M109" s="317" t="s">
        <v>74</v>
      </c>
      <c r="N109" s="317" t="s">
        <v>88</v>
      </c>
      <c r="O109" s="307" t="s">
        <v>35</v>
      </c>
      <c r="P109" s="314" t="s">
        <v>91</v>
      </c>
      <c r="Q109" s="501" t="s">
        <v>92</v>
      </c>
      <c r="R109" s="315" t="s">
        <v>86</v>
      </c>
      <c r="S109" s="176"/>
      <c r="T109" s="145"/>
      <c r="U109" s="145"/>
    </row>
    <row r="110" spans="1:21">
      <c r="A110" s="167">
        <v>1209</v>
      </c>
      <c r="B110" s="144" t="s">
        <v>89</v>
      </c>
      <c r="C110" s="156" t="s">
        <v>90</v>
      </c>
      <c r="D110" s="156">
        <v>1</v>
      </c>
      <c r="E110" s="156">
        <v>104</v>
      </c>
      <c r="F110" s="248">
        <v>210.95</v>
      </c>
      <c r="G110" s="270"/>
      <c r="H110" s="502"/>
      <c r="I110" s="248">
        <v>-1.71</v>
      </c>
      <c r="J110" s="450">
        <v>-0.89012341618537905</v>
      </c>
      <c r="K110" s="491">
        <f t="shared" si="2"/>
        <v>19.964725134041718</v>
      </c>
      <c r="L110" s="395" t="s">
        <v>79</v>
      </c>
      <c r="M110" s="317" t="s">
        <v>74</v>
      </c>
      <c r="N110" s="317" t="s">
        <v>88</v>
      </c>
      <c r="O110" s="307" t="s">
        <v>35</v>
      </c>
      <c r="P110" s="314" t="s">
        <v>91</v>
      </c>
      <c r="Q110" s="501" t="s">
        <v>92</v>
      </c>
      <c r="R110" s="315" t="s">
        <v>86</v>
      </c>
      <c r="S110" s="176"/>
      <c r="T110" s="145"/>
      <c r="U110" s="145"/>
    </row>
    <row r="111" spans="1:21">
      <c r="A111" s="167">
        <v>1209</v>
      </c>
      <c r="B111" s="144" t="s">
        <v>89</v>
      </c>
      <c r="C111" s="156" t="s">
        <v>90</v>
      </c>
      <c r="D111" s="156">
        <v>1</v>
      </c>
      <c r="E111" s="156">
        <v>104</v>
      </c>
      <c r="F111" s="248">
        <v>210.95</v>
      </c>
      <c r="G111" s="270"/>
      <c r="H111" s="502"/>
      <c r="I111" s="248">
        <v>-1.67</v>
      </c>
      <c r="J111" s="450">
        <v>-0.89012341618537905</v>
      </c>
      <c r="K111" s="491">
        <f t="shared" si="2"/>
        <v>19.773366022638257</v>
      </c>
      <c r="L111" s="395" t="s">
        <v>79</v>
      </c>
      <c r="M111" s="317" t="s">
        <v>74</v>
      </c>
      <c r="N111" s="317" t="s">
        <v>88</v>
      </c>
      <c r="O111" s="307" t="s">
        <v>35</v>
      </c>
      <c r="P111" s="314" t="s">
        <v>91</v>
      </c>
      <c r="Q111" s="501" t="s">
        <v>92</v>
      </c>
      <c r="R111" s="315" t="s">
        <v>86</v>
      </c>
      <c r="S111" s="176"/>
      <c r="T111" s="145"/>
      <c r="U111" s="145"/>
    </row>
    <row r="112" spans="1:21">
      <c r="A112" s="167">
        <v>1209</v>
      </c>
      <c r="B112" s="144" t="s">
        <v>89</v>
      </c>
      <c r="C112" s="156" t="s">
        <v>90</v>
      </c>
      <c r="D112" s="156">
        <v>1</v>
      </c>
      <c r="E112" s="156">
        <v>104</v>
      </c>
      <c r="F112" s="248">
        <v>210.95</v>
      </c>
      <c r="G112" s="270"/>
      <c r="H112" s="502"/>
      <c r="I112" s="248">
        <v>-1.49</v>
      </c>
      <c r="J112" s="450">
        <v>-0.89012341618537905</v>
      </c>
      <c r="K112" s="491">
        <f t="shared" si="2"/>
        <v>18.915814021322664</v>
      </c>
      <c r="L112" s="395" t="s">
        <v>79</v>
      </c>
      <c r="M112" s="317" t="s">
        <v>74</v>
      </c>
      <c r="N112" s="317" t="s">
        <v>88</v>
      </c>
      <c r="O112" s="307" t="s">
        <v>35</v>
      </c>
      <c r="P112" s="314" t="s">
        <v>91</v>
      </c>
      <c r="Q112" s="501" t="s">
        <v>92</v>
      </c>
      <c r="R112" s="315" t="s">
        <v>86</v>
      </c>
      <c r="S112" s="176"/>
      <c r="T112" s="145"/>
      <c r="U112" s="145"/>
    </row>
    <row r="113" spans="1:21">
      <c r="A113" s="167">
        <v>1209</v>
      </c>
      <c r="B113" s="144" t="s">
        <v>89</v>
      </c>
      <c r="C113" s="156" t="s">
        <v>90</v>
      </c>
      <c r="D113" s="156">
        <v>1</v>
      </c>
      <c r="E113" s="156">
        <v>109</v>
      </c>
      <c r="F113" s="248">
        <v>211</v>
      </c>
      <c r="G113" s="270"/>
      <c r="H113" s="502"/>
      <c r="I113" s="248">
        <v>-1.71</v>
      </c>
      <c r="J113" s="450">
        <v>-0.89012341618537905</v>
      </c>
      <c r="K113" s="491">
        <f t="shared" si="2"/>
        <v>19.964725134041718</v>
      </c>
      <c r="L113" s="395" t="s">
        <v>79</v>
      </c>
      <c r="M113" s="317" t="s">
        <v>74</v>
      </c>
      <c r="N113" s="317" t="s">
        <v>88</v>
      </c>
      <c r="O113" s="307" t="s">
        <v>35</v>
      </c>
      <c r="P113" s="314" t="s">
        <v>91</v>
      </c>
      <c r="Q113" s="501" t="s">
        <v>92</v>
      </c>
      <c r="R113" s="315" t="s">
        <v>86</v>
      </c>
      <c r="S113" s="176"/>
      <c r="T113" s="145"/>
      <c r="U113" s="145"/>
    </row>
    <row r="114" spans="1:21">
      <c r="A114" s="167">
        <v>1209</v>
      </c>
      <c r="B114" s="144" t="s">
        <v>89</v>
      </c>
      <c r="C114" s="156" t="s">
        <v>90</v>
      </c>
      <c r="D114" s="156">
        <v>1</v>
      </c>
      <c r="E114" s="156">
        <v>109</v>
      </c>
      <c r="F114" s="248">
        <v>211</v>
      </c>
      <c r="G114" s="270"/>
      <c r="H114" s="502"/>
      <c r="I114" s="248">
        <v>-1.56</v>
      </c>
      <c r="J114" s="450">
        <v>-0.89012341618537905</v>
      </c>
      <c r="K114" s="491">
        <f t="shared" si="2"/>
        <v>19.248613466278726</v>
      </c>
      <c r="L114" s="395" t="s">
        <v>79</v>
      </c>
      <c r="M114" s="317" t="s">
        <v>74</v>
      </c>
      <c r="N114" s="317" t="s">
        <v>88</v>
      </c>
      <c r="O114" s="307" t="s">
        <v>35</v>
      </c>
      <c r="P114" s="314" t="s">
        <v>91</v>
      </c>
      <c r="Q114" s="501" t="s">
        <v>92</v>
      </c>
      <c r="R114" s="315" t="s">
        <v>86</v>
      </c>
      <c r="S114" s="176"/>
      <c r="T114" s="145"/>
      <c r="U114" s="145"/>
    </row>
    <row r="115" spans="1:21">
      <c r="A115" s="167">
        <v>1209</v>
      </c>
      <c r="B115" s="144" t="s">
        <v>89</v>
      </c>
      <c r="C115" s="156" t="s">
        <v>90</v>
      </c>
      <c r="D115" s="156">
        <v>1</v>
      </c>
      <c r="E115" s="156">
        <v>109</v>
      </c>
      <c r="F115" s="248">
        <v>211</v>
      </c>
      <c r="G115" s="270"/>
      <c r="H115" s="502"/>
      <c r="I115" s="248">
        <v>-1.55</v>
      </c>
      <c r="J115" s="450">
        <v>-0.89012341618537905</v>
      </c>
      <c r="K115" s="491">
        <f t="shared" si="2"/>
        <v>19.20101668842786</v>
      </c>
      <c r="L115" s="395" t="s">
        <v>79</v>
      </c>
      <c r="M115" s="317" t="s">
        <v>74</v>
      </c>
      <c r="N115" s="317" t="s">
        <v>88</v>
      </c>
      <c r="O115" s="307" t="s">
        <v>35</v>
      </c>
      <c r="P115" s="314" t="s">
        <v>91</v>
      </c>
      <c r="Q115" s="501" t="s">
        <v>92</v>
      </c>
      <c r="R115" s="315" t="s">
        <v>86</v>
      </c>
      <c r="S115" s="176"/>
      <c r="T115" s="145"/>
      <c r="U115" s="145"/>
    </row>
    <row r="116" spans="1:21">
      <c r="A116" s="167">
        <v>1209</v>
      </c>
      <c r="B116" s="144" t="s">
        <v>89</v>
      </c>
      <c r="C116" s="156" t="s">
        <v>90</v>
      </c>
      <c r="D116" s="156">
        <v>1</v>
      </c>
      <c r="E116" s="156">
        <v>109</v>
      </c>
      <c r="F116" s="248">
        <v>211</v>
      </c>
      <c r="G116" s="270"/>
      <c r="H116" s="502"/>
      <c r="I116" s="248">
        <v>-1.49</v>
      </c>
      <c r="J116" s="450">
        <v>-0.89012341618537905</v>
      </c>
      <c r="K116" s="491">
        <f t="shared" si="2"/>
        <v>18.915814021322664</v>
      </c>
      <c r="L116" s="395" t="s">
        <v>79</v>
      </c>
      <c r="M116" s="317" t="s">
        <v>74</v>
      </c>
      <c r="N116" s="317" t="s">
        <v>88</v>
      </c>
      <c r="O116" s="307" t="s">
        <v>35</v>
      </c>
      <c r="P116" s="314" t="s">
        <v>91</v>
      </c>
      <c r="Q116" s="501" t="s">
        <v>92</v>
      </c>
      <c r="R116" s="315" t="s">
        <v>86</v>
      </c>
      <c r="S116" s="176"/>
      <c r="T116" s="145"/>
      <c r="U116" s="145"/>
    </row>
    <row r="117" spans="1:21">
      <c r="A117" s="167">
        <v>1209</v>
      </c>
      <c r="B117" s="144" t="s">
        <v>89</v>
      </c>
      <c r="C117" s="156" t="s">
        <v>90</v>
      </c>
      <c r="D117" s="156">
        <v>1</v>
      </c>
      <c r="E117" s="156">
        <v>109</v>
      </c>
      <c r="F117" s="248">
        <v>211</v>
      </c>
      <c r="G117" s="270"/>
      <c r="H117" s="502"/>
      <c r="I117" s="248">
        <v>-1.25</v>
      </c>
      <c r="J117" s="450">
        <v>-0.89012341618537905</v>
      </c>
      <c r="K117" s="491">
        <f t="shared" si="2"/>
        <v>17.781483352901869</v>
      </c>
      <c r="L117" s="395" t="s">
        <v>79</v>
      </c>
      <c r="M117" s="317" t="s">
        <v>74</v>
      </c>
      <c r="N117" s="317" t="s">
        <v>88</v>
      </c>
      <c r="O117" s="307" t="s">
        <v>35</v>
      </c>
      <c r="P117" s="314" t="s">
        <v>91</v>
      </c>
      <c r="Q117" s="501" t="s">
        <v>92</v>
      </c>
      <c r="R117" s="315" t="s">
        <v>86</v>
      </c>
      <c r="S117" s="176"/>
      <c r="T117" s="145"/>
      <c r="U117" s="145"/>
    </row>
    <row r="118" spans="1:21">
      <c r="A118" s="167">
        <v>1209</v>
      </c>
      <c r="B118" s="144" t="s">
        <v>89</v>
      </c>
      <c r="C118" s="156" t="s">
        <v>90</v>
      </c>
      <c r="D118" s="156">
        <v>1</v>
      </c>
      <c r="E118" s="156">
        <v>114</v>
      </c>
      <c r="F118" s="248">
        <v>211.05</v>
      </c>
      <c r="G118" s="270"/>
      <c r="H118" s="502"/>
      <c r="I118" s="248">
        <v>-1.83</v>
      </c>
      <c r="J118" s="450">
        <v>-0.89012341618537905</v>
      </c>
      <c r="K118" s="491">
        <f t="shared" si="2"/>
        <v>20.540530468252118</v>
      </c>
      <c r="L118" s="395" t="s">
        <v>79</v>
      </c>
      <c r="M118" s="317" t="s">
        <v>74</v>
      </c>
      <c r="N118" s="317" t="s">
        <v>88</v>
      </c>
      <c r="O118" s="307" t="s">
        <v>35</v>
      </c>
      <c r="P118" s="314" t="s">
        <v>91</v>
      </c>
      <c r="Q118" s="501" t="s">
        <v>92</v>
      </c>
      <c r="R118" s="315" t="s">
        <v>86</v>
      </c>
      <c r="S118" s="176"/>
      <c r="T118" s="145"/>
      <c r="U118" s="145"/>
    </row>
    <row r="119" spans="1:21">
      <c r="A119" s="167">
        <v>1209</v>
      </c>
      <c r="B119" s="144" t="s">
        <v>89</v>
      </c>
      <c r="C119" s="156" t="s">
        <v>90</v>
      </c>
      <c r="D119" s="156">
        <v>1</v>
      </c>
      <c r="E119" s="156">
        <v>114</v>
      </c>
      <c r="F119" s="248">
        <v>211.05</v>
      </c>
      <c r="G119" s="270"/>
      <c r="H119" s="502"/>
      <c r="I119" s="248">
        <v>-1.65</v>
      </c>
      <c r="J119" s="450">
        <v>-0.89012341618537905</v>
      </c>
      <c r="K119" s="491">
        <f t="shared" si="2"/>
        <v>19.677794466936522</v>
      </c>
      <c r="L119" s="395" t="s">
        <v>79</v>
      </c>
      <c r="M119" s="317" t="s">
        <v>74</v>
      </c>
      <c r="N119" s="317" t="s">
        <v>88</v>
      </c>
      <c r="O119" s="307" t="s">
        <v>35</v>
      </c>
      <c r="P119" s="314" t="s">
        <v>91</v>
      </c>
      <c r="Q119" s="501" t="s">
        <v>92</v>
      </c>
      <c r="R119" s="315" t="s">
        <v>86</v>
      </c>
      <c r="S119" s="176"/>
      <c r="T119" s="145"/>
      <c r="U119" s="145"/>
    </row>
    <row r="120" spans="1:21">
      <c r="A120" s="167">
        <v>1209</v>
      </c>
      <c r="B120" s="144" t="s">
        <v>89</v>
      </c>
      <c r="C120" s="156" t="s">
        <v>90</v>
      </c>
      <c r="D120" s="156">
        <v>1</v>
      </c>
      <c r="E120" s="156">
        <v>114</v>
      </c>
      <c r="F120" s="248">
        <v>211.05</v>
      </c>
      <c r="G120" s="270"/>
      <c r="H120" s="502"/>
      <c r="I120" s="248">
        <v>-1.61</v>
      </c>
      <c r="J120" s="450">
        <v>-0.89012341618537905</v>
      </c>
      <c r="K120" s="491">
        <f t="shared" si="2"/>
        <v>19.486867355533057</v>
      </c>
      <c r="L120" s="395" t="s">
        <v>79</v>
      </c>
      <c r="M120" s="317" t="s">
        <v>74</v>
      </c>
      <c r="N120" s="317" t="s">
        <v>88</v>
      </c>
      <c r="O120" s="307" t="s">
        <v>35</v>
      </c>
      <c r="P120" s="314" t="s">
        <v>91</v>
      </c>
      <c r="Q120" s="501" t="s">
        <v>92</v>
      </c>
      <c r="R120" s="315" t="s">
        <v>86</v>
      </c>
      <c r="S120" s="176"/>
      <c r="T120" s="145"/>
      <c r="U120" s="145"/>
    </row>
    <row r="121" spans="1:21">
      <c r="A121" s="167">
        <v>1209</v>
      </c>
      <c r="B121" s="144" t="s">
        <v>89</v>
      </c>
      <c r="C121" s="156" t="s">
        <v>90</v>
      </c>
      <c r="D121" s="156">
        <v>1</v>
      </c>
      <c r="E121" s="156">
        <v>114</v>
      </c>
      <c r="F121" s="248">
        <v>211.05</v>
      </c>
      <c r="G121" s="270"/>
      <c r="H121" s="502"/>
      <c r="I121" s="248">
        <v>-1.55</v>
      </c>
      <c r="J121" s="450">
        <v>-0.89012341618537905</v>
      </c>
      <c r="K121" s="491">
        <f t="shared" si="2"/>
        <v>19.20101668842786</v>
      </c>
      <c r="L121" s="395" t="s">
        <v>79</v>
      </c>
      <c r="M121" s="317" t="s">
        <v>74</v>
      </c>
      <c r="N121" s="317" t="s">
        <v>88</v>
      </c>
      <c r="O121" s="307" t="s">
        <v>35</v>
      </c>
      <c r="P121" s="314" t="s">
        <v>91</v>
      </c>
      <c r="Q121" s="501" t="s">
        <v>92</v>
      </c>
      <c r="R121" s="315" t="s">
        <v>86</v>
      </c>
      <c r="S121" s="176"/>
      <c r="T121" s="145"/>
      <c r="U121" s="145"/>
    </row>
    <row r="122" spans="1:21">
      <c r="A122" s="167">
        <v>1209</v>
      </c>
      <c r="B122" s="144" t="s">
        <v>89</v>
      </c>
      <c r="C122" s="156" t="s">
        <v>90</v>
      </c>
      <c r="D122" s="156">
        <v>1</v>
      </c>
      <c r="E122" s="156">
        <v>114</v>
      </c>
      <c r="F122" s="248">
        <v>211.05</v>
      </c>
      <c r="G122" s="270"/>
      <c r="H122" s="502"/>
      <c r="I122" s="248">
        <v>-1.24</v>
      </c>
      <c r="J122" s="450">
        <v>-0.89012341618537905</v>
      </c>
      <c r="K122" s="491">
        <f t="shared" si="2"/>
        <v>17.734444575051004</v>
      </c>
      <c r="L122" s="395" t="s">
        <v>79</v>
      </c>
      <c r="M122" s="317" t="s">
        <v>74</v>
      </c>
      <c r="N122" s="317" t="s">
        <v>88</v>
      </c>
      <c r="O122" s="307" t="s">
        <v>35</v>
      </c>
      <c r="P122" s="314" t="s">
        <v>91</v>
      </c>
      <c r="Q122" s="501" t="s">
        <v>92</v>
      </c>
      <c r="R122" s="315" t="s">
        <v>86</v>
      </c>
      <c r="S122" s="176"/>
      <c r="T122" s="145"/>
      <c r="U122" s="145"/>
    </row>
    <row r="123" spans="1:21">
      <c r="A123" s="167">
        <v>1209</v>
      </c>
      <c r="B123" s="144" t="s">
        <v>89</v>
      </c>
      <c r="C123" s="156" t="s">
        <v>90</v>
      </c>
      <c r="D123" s="156">
        <v>1</v>
      </c>
      <c r="E123" s="156">
        <v>119</v>
      </c>
      <c r="F123" s="396">
        <v>211.1</v>
      </c>
      <c r="G123" s="270" t="s">
        <v>20</v>
      </c>
      <c r="H123" s="502"/>
      <c r="I123" s="248">
        <v>-1.9</v>
      </c>
      <c r="J123" s="450">
        <v>-0.89012341618537905</v>
      </c>
      <c r="K123" s="492">
        <f t="shared" si="2"/>
        <v>20.877613913208183</v>
      </c>
      <c r="L123" s="395" t="s">
        <v>79</v>
      </c>
      <c r="M123" s="317" t="s">
        <v>74</v>
      </c>
      <c r="N123" s="317" t="s">
        <v>88</v>
      </c>
      <c r="O123" s="307" t="s">
        <v>35</v>
      </c>
      <c r="P123" s="314" t="s">
        <v>91</v>
      </c>
      <c r="Q123" s="501" t="s">
        <v>92</v>
      </c>
      <c r="R123" s="315" t="s">
        <v>86</v>
      </c>
      <c r="S123" s="176"/>
      <c r="T123" s="145"/>
      <c r="U123" s="145"/>
    </row>
    <row r="124" spans="1:21">
      <c r="A124" s="167">
        <v>1209</v>
      </c>
      <c r="B124" s="144" t="s">
        <v>89</v>
      </c>
      <c r="C124" s="156" t="s">
        <v>90</v>
      </c>
      <c r="D124" s="156">
        <v>1</v>
      </c>
      <c r="E124" s="156">
        <v>119</v>
      </c>
      <c r="F124" s="396">
        <v>211.1</v>
      </c>
      <c r="G124" s="270" t="s">
        <v>20</v>
      </c>
      <c r="H124" s="502"/>
      <c r="I124" s="248">
        <v>-1.79</v>
      </c>
      <c r="J124" s="450">
        <v>-0.89012341618537905</v>
      </c>
      <c r="K124" s="492">
        <f t="shared" si="2"/>
        <v>20.34830735684865</v>
      </c>
      <c r="L124" s="395" t="s">
        <v>79</v>
      </c>
      <c r="M124" s="317" t="s">
        <v>74</v>
      </c>
      <c r="N124" s="317" t="s">
        <v>88</v>
      </c>
      <c r="O124" s="307" t="s">
        <v>35</v>
      </c>
      <c r="P124" s="314" t="s">
        <v>91</v>
      </c>
      <c r="Q124" s="501" t="s">
        <v>92</v>
      </c>
      <c r="R124" s="315" t="s">
        <v>86</v>
      </c>
      <c r="S124" s="176"/>
      <c r="T124" s="145"/>
      <c r="U124" s="145"/>
    </row>
    <row r="125" spans="1:21">
      <c r="A125" s="167">
        <v>1209</v>
      </c>
      <c r="B125" s="144" t="s">
        <v>89</v>
      </c>
      <c r="C125" s="156" t="s">
        <v>90</v>
      </c>
      <c r="D125" s="156">
        <v>1</v>
      </c>
      <c r="E125" s="156">
        <v>119</v>
      </c>
      <c r="F125" s="396">
        <v>211.1</v>
      </c>
      <c r="G125" s="270" t="s">
        <v>20</v>
      </c>
      <c r="H125" s="502"/>
      <c r="I125" s="248">
        <v>-1.67</v>
      </c>
      <c r="J125" s="450">
        <v>-0.89012341618537905</v>
      </c>
      <c r="K125" s="492">
        <f t="shared" si="2"/>
        <v>19.773366022638257</v>
      </c>
      <c r="L125" s="395" t="s">
        <v>79</v>
      </c>
      <c r="M125" s="317" t="s">
        <v>74</v>
      </c>
      <c r="N125" s="317" t="s">
        <v>88</v>
      </c>
      <c r="O125" s="307" t="s">
        <v>35</v>
      </c>
      <c r="P125" s="314" t="s">
        <v>91</v>
      </c>
      <c r="Q125" s="501" t="s">
        <v>92</v>
      </c>
      <c r="R125" s="315" t="s">
        <v>86</v>
      </c>
      <c r="S125" s="176"/>
      <c r="T125" s="145"/>
      <c r="U125" s="145"/>
    </row>
    <row r="126" spans="1:21">
      <c r="A126" s="167">
        <v>1209</v>
      </c>
      <c r="B126" s="144" t="s">
        <v>89</v>
      </c>
      <c r="C126" s="156" t="s">
        <v>90</v>
      </c>
      <c r="D126" s="156">
        <v>1</v>
      </c>
      <c r="E126" s="156">
        <v>119</v>
      </c>
      <c r="F126" s="396">
        <v>211.1</v>
      </c>
      <c r="G126" s="270" t="s">
        <v>20</v>
      </c>
      <c r="H126" s="502"/>
      <c r="I126" s="248">
        <v>-1.58</v>
      </c>
      <c r="J126" s="450">
        <v>-0.89012341618537905</v>
      </c>
      <c r="K126" s="492">
        <f t="shared" si="2"/>
        <v>19.343861021980459</v>
      </c>
      <c r="L126" s="395" t="s">
        <v>79</v>
      </c>
      <c r="M126" s="317" t="s">
        <v>74</v>
      </c>
      <c r="N126" s="317" t="s">
        <v>88</v>
      </c>
      <c r="O126" s="307" t="s">
        <v>35</v>
      </c>
      <c r="P126" s="314" t="s">
        <v>91</v>
      </c>
      <c r="Q126" s="501" t="s">
        <v>92</v>
      </c>
      <c r="R126" s="315" t="s">
        <v>86</v>
      </c>
      <c r="S126" s="176"/>
      <c r="T126" s="145"/>
      <c r="U126" s="145"/>
    </row>
    <row r="127" spans="1:21">
      <c r="A127" s="167">
        <v>1209</v>
      </c>
      <c r="B127" s="144" t="s">
        <v>89</v>
      </c>
      <c r="C127" s="156" t="s">
        <v>90</v>
      </c>
      <c r="D127" s="156">
        <v>1</v>
      </c>
      <c r="E127" s="156">
        <v>119</v>
      </c>
      <c r="F127" s="396">
        <v>211.1</v>
      </c>
      <c r="G127" s="270" t="s">
        <v>20</v>
      </c>
      <c r="H127" s="502"/>
      <c r="I127" s="248">
        <v>-1.57</v>
      </c>
      <c r="J127" s="450">
        <v>-0.89012341618537905</v>
      </c>
      <c r="K127" s="492">
        <f t="shared" si="2"/>
        <v>19.29622824412959</v>
      </c>
      <c r="L127" s="395" t="s">
        <v>79</v>
      </c>
      <c r="M127" s="317" t="s">
        <v>74</v>
      </c>
      <c r="N127" s="317" t="s">
        <v>88</v>
      </c>
      <c r="O127" s="307" t="s">
        <v>35</v>
      </c>
      <c r="P127" s="314" t="s">
        <v>91</v>
      </c>
      <c r="Q127" s="501" t="s">
        <v>92</v>
      </c>
      <c r="R127" s="315" t="s">
        <v>86</v>
      </c>
      <c r="S127" s="176"/>
      <c r="T127" s="145"/>
      <c r="U127" s="145"/>
    </row>
    <row r="128" spans="1:21">
      <c r="A128" s="167">
        <v>1209</v>
      </c>
      <c r="B128" s="144" t="s">
        <v>89</v>
      </c>
      <c r="C128" s="156" t="s">
        <v>90</v>
      </c>
      <c r="D128" s="156">
        <v>1</v>
      </c>
      <c r="E128" s="156">
        <v>120</v>
      </c>
      <c r="F128" s="396">
        <v>211.11</v>
      </c>
      <c r="G128" s="270" t="s">
        <v>20</v>
      </c>
      <c r="H128" s="502"/>
      <c r="I128" s="248">
        <v>-1.92</v>
      </c>
      <c r="J128" s="450">
        <v>-0.89012341618537905</v>
      </c>
      <c r="K128" s="492">
        <f t="shared" si="2"/>
        <v>20.974085468909912</v>
      </c>
      <c r="L128" s="395" t="s">
        <v>79</v>
      </c>
      <c r="M128" s="317" t="s">
        <v>74</v>
      </c>
      <c r="N128" s="317" t="s">
        <v>88</v>
      </c>
      <c r="O128" s="307" t="s">
        <v>35</v>
      </c>
      <c r="P128" s="314" t="s">
        <v>91</v>
      </c>
      <c r="Q128" s="501" t="s">
        <v>92</v>
      </c>
      <c r="R128" s="315" t="s">
        <v>86</v>
      </c>
      <c r="S128" s="176"/>
      <c r="T128" s="145"/>
      <c r="U128" s="145"/>
    </row>
    <row r="129" spans="1:21">
      <c r="A129" s="167">
        <v>1209</v>
      </c>
      <c r="B129" s="144" t="s">
        <v>89</v>
      </c>
      <c r="C129" s="156" t="s">
        <v>90</v>
      </c>
      <c r="D129" s="156">
        <v>1</v>
      </c>
      <c r="E129" s="156">
        <v>120</v>
      </c>
      <c r="F129" s="396">
        <v>211.11</v>
      </c>
      <c r="G129" s="270" t="s">
        <v>20</v>
      </c>
      <c r="H129" s="502"/>
      <c r="I129" s="248">
        <v>-1.8</v>
      </c>
      <c r="J129" s="450">
        <v>-0.89012341618537905</v>
      </c>
      <c r="K129" s="492">
        <f t="shared" si="2"/>
        <v>20.396336134699517</v>
      </c>
      <c r="L129" s="395" t="s">
        <v>79</v>
      </c>
      <c r="M129" s="317" t="s">
        <v>74</v>
      </c>
      <c r="N129" s="317" t="s">
        <v>88</v>
      </c>
      <c r="O129" s="307" t="s">
        <v>35</v>
      </c>
      <c r="P129" s="314" t="s">
        <v>91</v>
      </c>
      <c r="Q129" s="501" t="s">
        <v>92</v>
      </c>
      <c r="R129" s="315" t="s">
        <v>86</v>
      </c>
      <c r="S129" s="176"/>
      <c r="T129" s="145"/>
      <c r="U129" s="145"/>
    </row>
    <row r="130" spans="1:21">
      <c r="A130" s="167">
        <v>1209</v>
      </c>
      <c r="B130" s="144" t="s">
        <v>89</v>
      </c>
      <c r="C130" s="156" t="s">
        <v>90</v>
      </c>
      <c r="D130" s="156">
        <v>1</v>
      </c>
      <c r="E130" s="156">
        <v>120</v>
      </c>
      <c r="F130" s="396">
        <v>211.11</v>
      </c>
      <c r="G130" s="270" t="s">
        <v>20</v>
      </c>
      <c r="H130" s="502"/>
      <c r="I130" s="248">
        <v>-1.72</v>
      </c>
      <c r="J130" s="450">
        <v>-0.89012341618537905</v>
      </c>
      <c r="K130" s="492">
        <f t="shared" si="2"/>
        <v>20.012609911892586</v>
      </c>
      <c r="L130" s="395" t="s">
        <v>79</v>
      </c>
      <c r="M130" s="317" t="s">
        <v>74</v>
      </c>
      <c r="N130" s="317" t="s">
        <v>88</v>
      </c>
      <c r="O130" s="307" t="s">
        <v>35</v>
      </c>
      <c r="P130" s="314" t="s">
        <v>91</v>
      </c>
      <c r="Q130" s="501" t="s">
        <v>92</v>
      </c>
      <c r="R130" s="315" t="s">
        <v>86</v>
      </c>
      <c r="S130" s="176"/>
      <c r="T130" s="145"/>
      <c r="U130" s="145"/>
    </row>
    <row r="131" spans="1:21">
      <c r="A131" s="167">
        <v>1209</v>
      </c>
      <c r="B131" s="144" t="s">
        <v>89</v>
      </c>
      <c r="C131" s="156" t="s">
        <v>90</v>
      </c>
      <c r="D131" s="156">
        <v>1</v>
      </c>
      <c r="E131" s="156">
        <v>120</v>
      </c>
      <c r="F131" s="396">
        <v>211.11</v>
      </c>
      <c r="G131" s="270" t="s">
        <v>20</v>
      </c>
      <c r="H131" s="502"/>
      <c r="I131" s="248">
        <v>-1.67</v>
      </c>
      <c r="J131" s="450">
        <v>-0.89012341618537905</v>
      </c>
      <c r="K131" s="492">
        <f t="shared" si="2"/>
        <v>19.773366022638257</v>
      </c>
      <c r="L131" s="395" t="s">
        <v>79</v>
      </c>
      <c r="M131" s="317" t="s">
        <v>74</v>
      </c>
      <c r="N131" s="317" t="s">
        <v>88</v>
      </c>
      <c r="O131" s="307" t="s">
        <v>35</v>
      </c>
      <c r="P131" s="314" t="s">
        <v>91</v>
      </c>
      <c r="Q131" s="501" t="s">
        <v>92</v>
      </c>
      <c r="R131" s="315" t="s">
        <v>86</v>
      </c>
      <c r="S131" s="176"/>
      <c r="T131" s="145"/>
      <c r="U131" s="145"/>
    </row>
    <row r="132" spans="1:21">
      <c r="A132" s="167">
        <v>1209</v>
      </c>
      <c r="B132" s="144" t="s">
        <v>89</v>
      </c>
      <c r="C132" s="156" t="s">
        <v>90</v>
      </c>
      <c r="D132" s="156">
        <v>1</v>
      </c>
      <c r="E132" s="156">
        <v>120</v>
      </c>
      <c r="F132" s="396">
        <v>211.11</v>
      </c>
      <c r="G132" s="270" t="s">
        <v>20</v>
      </c>
      <c r="H132" s="502"/>
      <c r="I132" s="248">
        <v>-1.63</v>
      </c>
      <c r="J132" s="450">
        <v>-0.89012341618537905</v>
      </c>
      <c r="K132" s="492">
        <f t="shared" si="2"/>
        <v>19.58229491123479</v>
      </c>
      <c r="L132" s="395" t="s">
        <v>79</v>
      </c>
      <c r="M132" s="317" t="s">
        <v>74</v>
      </c>
      <c r="N132" s="317" t="s">
        <v>88</v>
      </c>
      <c r="O132" s="307" t="s">
        <v>35</v>
      </c>
      <c r="P132" s="314" t="s">
        <v>91</v>
      </c>
      <c r="Q132" s="501" t="s">
        <v>92</v>
      </c>
      <c r="R132" s="315" t="s">
        <v>86</v>
      </c>
      <c r="S132" s="176"/>
      <c r="T132" s="145"/>
      <c r="U132" s="145"/>
    </row>
    <row r="133" spans="1:21">
      <c r="A133" s="167">
        <v>1209</v>
      </c>
      <c r="B133" s="144" t="s">
        <v>89</v>
      </c>
      <c r="C133" s="156" t="s">
        <v>90</v>
      </c>
      <c r="D133" s="156">
        <v>1</v>
      </c>
      <c r="E133" s="156">
        <v>121</v>
      </c>
      <c r="F133" s="396">
        <v>211.12</v>
      </c>
      <c r="G133" s="270" t="s">
        <v>20</v>
      </c>
      <c r="H133" s="502"/>
      <c r="I133" s="248">
        <v>-1.87</v>
      </c>
      <c r="J133" s="450">
        <v>-0.89012341618537905</v>
      </c>
      <c r="K133" s="492">
        <f t="shared" si="2"/>
        <v>20.73304157965558</v>
      </c>
      <c r="L133" s="395" t="s">
        <v>79</v>
      </c>
      <c r="M133" s="317" t="s">
        <v>74</v>
      </c>
      <c r="N133" s="317" t="s">
        <v>88</v>
      </c>
      <c r="O133" s="307" t="s">
        <v>35</v>
      </c>
      <c r="P133" s="314" t="s">
        <v>91</v>
      </c>
      <c r="Q133" s="501" t="s">
        <v>92</v>
      </c>
      <c r="R133" s="315" t="s">
        <v>86</v>
      </c>
      <c r="S133" s="176"/>
      <c r="T133" s="145"/>
      <c r="U133" s="145"/>
    </row>
    <row r="134" spans="1:21">
      <c r="A134" s="167">
        <v>1209</v>
      </c>
      <c r="B134" s="144" t="s">
        <v>89</v>
      </c>
      <c r="C134" s="156" t="s">
        <v>90</v>
      </c>
      <c r="D134" s="156">
        <v>1</v>
      </c>
      <c r="E134" s="156">
        <v>121</v>
      </c>
      <c r="F134" s="396">
        <v>211.12</v>
      </c>
      <c r="G134" s="270" t="s">
        <v>20</v>
      </c>
      <c r="H134" s="502"/>
      <c r="I134" s="248">
        <v>-1.65</v>
      </c>
      <c r="J134" s="450">
        <v>-0.89012341618537905</v>
      </c>
      <c r="K134" s="492">
        <f t="shared" si="2"/>
        <v>19.677794466936522</v>
      </c>
      <c r="L134" s="395" t="s">
        <v>79</v>
      </c>
      <c r="M134" s="317" t="s">
        <v>74</v>
      </c>
      <c r="N134" s="317" t="s">
        <v>88</v>
      </c>
      <c r="O134" s="307" t="s">
        <v>35</v>
      </c>
      <c r="P134" s="314" t="s">
        <v>91</v>
      </c>
      <c r="Q134" s="501" t="s">
        <v>92</v>
      </c>
      <c r="R134" s="315" t="s">
        <v>86</v>
      </c>
      <c r="S134" s="176"/>
      <c r="T134" s="145"/>
      <c r="U134" s="145"/>
    </row>
    <row r="135" spans="1:21">
      <c r="A135" s="167">
        <v>1209</v>
      </c>
      <c r="B135" s="144" t="s">
        <v>89</v>
      </c>
      <c r="C135" s="156" t="s">
        <v>90</v>
      </c>
      <c r="D135" s="156">
        <v>1</v>
      </c>
      <c r="E135" s="156">
        <v>121</v>
      </c>
      <c r="F135" s="396">
        <v>211.12</v>
      </c>
      <c r="G135" s="270" t="s">
        <v>20</v>
      </c>
      <c r="H135" s="502"/>
      <c r="I135" s="248">
        <v>-1.63</v>
      </c>
      <c r="J135" s="450">
        <v>-0.89012341618537905</v>
      </c>
      <c r="K135" s="492">
        <f t="shared" si="2"/>
        <v>19.58229491123479</v>
      </c>
      <c r="L135" s="395" t="s">
        <v>79</v>
      </c>
      <c r="M135" s="317" t="s">
        <v>74</v>
      </c>
      <c r="N135" s="317" t="s">
        <v>88</v>
      </c>
      <c r="O135" s="307" t="s">
        <v>35</v>
      </c>
      <c r="P135" s="314" t="s">
        <v>91</v>
      </c>
      <c r="Q135" s="501" t="s">
        <v>92</v>
      </c>
      <c r="R135" s="315" t="s">
        <v>86</v>
      </c>
      <c r="S135" s="176"/>
      <c r="T135" s="145"/>
      <c r="U135" s="145"/>
    </row>
    <row r="136" spans="1:21">
      <c r="A136" s="167">
        <v>1209</v>
      </c>
      <c r="B136" s="144" t="s">
        <v>89</v>
      </c>
      <c r="C136" s="156" t="s">
        <v>90</v>
      </c>
      <c r="D136" s="156">
        <v>1</v>
      </c>
      <c r="E136" s="156">
        <v>121</v>
      </c>
      <c r="F136" s="396">
        <v>211.12</v>
      </c>
      <c r="G136" s="270" t="s">
        <v>20</v>
      </c>
      <c r="H136" s="502"/>
      <c r="I136" s="248">
        <v>-1.49</v>
      </c>
      <c r="J136" s="450">
        <v>-0.89012341618537905</v>
      </c>
      <c r="K136" s="492">
        <f t="shared" si="2"/>
        <v>18.915814021322664</v>
      </c>
      <c r="L136" s="395" t="s">
        <v>79</v>
      </c>
      <c r="M136" s="317" t="s">
        <v>74</v>
      </c>
      <c r="N136" s="317" t="s">
        <v>88</v>
      </c>
      <c r="O136" s="307" t="s">
        <v>35</v>
      </c>
      <c r="P136" s="314" t="s">
        <v>91</v>
      </c>
      <c r="Q136" s="501" t="s">
        <v>92</v>
      </c>
      <c r="R136" s="315" t="s">
        <v>86</v>
      </c>
      <c r="S136" s="176"/>
      <c r="T136" s="145"/>
      <c r="U136" s="145"/>
    </row>
    <row r="137" spans="1:21">
      <c r="A137" s="167">
        <v>1209</v>
      </c>
      <c r="B137" s="144" t="s">
        <v>89</v>
      </c>
      <c r="C137" s="156" t="s">
        <v>90</v>
      </c>
      <c r="D137" s="156">
        <v>1</v>
      </c>
      <c r="E137" s="156">
        <v>122</v>
      </c>
      <c r="F137" s="396">
        <v>211.13</v>
      </c>
      <c r="G137" s="270" t="s">
        <v>20</v>
      </c>
      <c r="H137" s="502"/>
      <c r="I137" s="248">
        <v>-1.68</v>
      </c>
      <c r="J137" s="450">
        <v>-0.89012341618537905</v>
      </c>
      <c r="K137" s="492">
        <f t="shared" si="2"/>
        <v>19.821178800489122</v>
      </c>
      <c r="L137" s="395" t="s">
        <v>79</v>
      </c>
      <c r="M137" s="317" t="s">
        <v>74</v>
      </c>
      <c r="N137" s="317" t="s">
        <v>88</v>
      </c>
      <c r="O137" s="307" t="s">
        <v>35</v>
      </c>
      <c r="P137" s="314" t="s">
        <v>91</v>
      </c>
      <c r="Q137" s="501" t="s">
        <v>92</v>
      </c>
      <c r="R137" s="315" t="s">
        <v>86</v>
      </c>
      <c r="S137" s="176"/>
      <c r="T137" s="145"/>
      <c r="U137" s="145"/>
    </row>
    <row r="138" spans="1:21">
      <c r="A138" s="167">
        <v>1209</v>
      </c>
      <c r="B138" s="144" t="s">
        <v>89</v>
      </c>
      <c r="C138" s="156" t="s">
        <v>90</v>
      </c>
      <c r="D138" s="156">
        <v>1</v>
      </c>
      <c r="E138" s="156">
        <v>122</v>
      </c>
      <c r="F138" s="396">
        <v>211.13</v>
      </c>
      <c r="G138" s="270" t="s">
        <v>20</v>
      </c>
      <c r="H138" s="502"/>
      <c r="I138" s="248">
        <v>-1.68</v>
      </c>
      <c r="J138" s="450">
        <v>-0.89012341618537905</v>
      </c>
      <c r="K138" s="492">
        <f t="shared" si="2"/>
        <v>19.821178800489122</v>
      </c>
      <c r="L138" s="395" t="s">
        <v>79</v>
      </c>
      <c r="M138" s="317" t="s">
        <v>74</v>
      </c>
      <c r="N138" s="317" t="s">
        <v>88</v>
      </c>
      <c r="O138" s="307" t="s">
        <v>35</v>
      </c>
      <c r="P138" s="314" t="s">
        <v>91</v>
      </c>
      <c r="Q138" s="501" t="s">
        <v>92</v>
      </c>
      <c r="R138" s="315" t="s">
        <v>86</v>
      </c>
      <c r="S138" s="176"/>
      <c r="T138" s="145"/>
      <c r="U138" s="145"/>
    </row>
    <row r="139" spans="1:21">
      <c r="A139" s="167">
        <v>1209</v>
      </c>
      <c r="B139" s="144" t="s">
        <v>89</v>
      </c>
      <c r="C139" s="156" t="s">
        <v>90</v>
      </c>
      <c r="D139" s="156">
        <v>1</v>
      </c>
      <c r="E139" s="156">
        <v>122</v>
      </c>
      <c r="F139" s="396">
        <v>211.13</v>
      </c>
      <c r="G139" s="270" t="s">
        <v>20</v>
      </c>
      <c r="H139" s="502"/>
      <c r="I139" s="248">
        <v>-1.61</v>
      </c>
      <c r="J139" s="450">
        <v>-0.89012341618537905</v>
      </c>
      <c r="K139" s="492">
        <f t="shared" si="2"/>
        <v>19.486867355533057</v>
      </c>
      <c r="L139" s="395" t="s">
        <v>79</v>
      </c>
      <c r="M139" s="317" t="s">
        <v>74</v>
      </c>
      <c r="N139" s="317" t="s">
        <v>88</v>
      </c>
      <c r="O139" s="307" t="s">
        <v>35</v>
      </c>
      <c r="P139" s="314" t="s">
        <v>91</v>
      </c>
      <c r="Q139" s="501" t="s">
        <v>92</v>
      </c>
      <c r="R139" s="315" t="s">
        <v>86</v>
      </c>
      <c r="S139" s="176"/>
      <c r="T139" s="145"/>
      <c r="U139" s="145"/>
    </row>
    <row r="140" spans="1:21">
      <c r="A140" s="167">
        <v>1209</v>
      </c>
      <c r="B140" s="144" t="s">
        <v>89</v>
      </c>
      <c r="C140" s="156" t="s">
        <v>90</v>
      </c>
      <c r="D140" s="156">
        <v>1</v>
      </c>
      <c r="E140" s="156">
        <v>122</v>
      </c>
      <c r="F140" s="396">
        <v>211.13</v>
      </c>
      <c r="G140" s="270" t="s">
        <v>20</v>
      </c>
      <c r="H140" s="502"/>
      <c r="I140" s="248">
        <v>-1.31</v>
      </c>
      <c r="J140" s="450">
        <v>-0.89012341618537905</v>
      </c>
      <c r="K140" s="492">
        <f t="shared" si="2"/>
        <v>18.064094020007069</v>
      </c>
      <c r="L140" s="395" t="s">
        <v>79</v>
      </c>
      <c r="M140" s="317" t="s">
        <v>74</v>
      </c>
      <c r="N140" s="317" t="s">
        <v>88</v>
      </c>
      <c r="O140" s="307" t="s">
        <v>35</v>
      </c>
      <c r="P140" s="314" t="s">
        <v>91</v>
      </c>
      <c r="Q140" s="501" t="s">
        <v>92</v>
      </c>
      <c r="R140" s="315" t="s">
        <v>86</v>
      </c>
      <c r="S140" s="176"/>
      <c r="T140" s="145"/>
      <c r="U140" s="145"/>
    </row>
    <row r="141" spans="1:21">
      <c r="A141" s="167">
        <v>1209</v>
      </c>
      <c r="B141" s="144" t="s">
        <v>89</v>
      </c>
      <c r="C141" s="156" t="s">
        <v>90</v>
      </c>
      <c r="D141" s="156">
        <v>1</v>
      </c>
      <c r="E141" s="156">
        <v>123</v>
      </c>
      <c r="F141" s="396">
        <v>211.14</v>
      </c>
      <c r="G141" s="270" t="s">
        <v>20</v>
      </c>
      <c r="H141" s="502"/>
      <c r="I141" s="248">
        <v>-1.77</v>
      </c>
      <c r="J141" s="450">
        <v>-0.89012341618537905</v>
      </c>
      <c r="K141" s="492">
        <f t="shared" si="2"/>
        <v>20.252303801146919</v>
      </c>
      <c r="L141" s="395" t="s">
        <v>79</v>
      </c>
      <c r="M141" s="317" t="s">
        <v>74</v>
      </c>
      <c r="N141" s="317" t="s">
        <v>88</v>
      </c>
      <c r="O141" s="307" t="s">
        <v>35</v>
      </c>
      <c r="P141" s="314" t="s">
        <v>91</v>
      </c>
      <c r="Q141" s="501" t="s">
        <v>92</v>
      </c>
      <c r="R141" s="315" t="s">
        <v>86</v>
      </c>
      <c r="S141" s="176"/>
      <c r="T141" s="145"/>
      <c r="U141" s="145"/>
    </row>
    <row r="142" spans="1:21">
      <c r="A142" s="167">
        <v>1209</v>
      </c>
      <c r="B142" s="144" t="s">
        <v>89</v>
      </c>
      <c r="C142" s="156" t="s">
        <v>90</v>
      </c>
      <c r="D142" s="156">
        <v>1</v>
      </c>
      <c r="E142" s="156">
        <v>123</v>
      </c>
      <c r="F142" s="396">
        <v>211.14</v>
      </c>
      <c r="G142" s="270" t="s">
        <v>20</v>
      </c>
      <c r="H142" s="502"/>
      <c r="I142" s="248">
        <v>-1.75</v>
      </c>
      <c r="J142" s="450">
        <v>-0.89012341618537905</v>
      </c>
      <c r="K142" s="492">
        <f t="shared" ref="K142:K205" si="3">16.1-4.64*($I142-J142)+0.09*($I142-J142)^2</f>
        <v>20.156372245445187</v>
      </c>
      <c r="L142" s="395" t="s">
        <v>79</v>
      </c>
      <c r="M142" s="317" t="s">
        <v>74</v>
      </c>
      <c r="N142" s="317" t="s">
        <v>88</v>
      </c>
      <c r="O142" s="307" t="s">
        <v>35</v>
      </c>
      <c r="P142" s="314" t="s">
        <v>91</v>
      </c>
      <c r="Q142" s="501" t="s">
        <v>92</v>
      </c>
      <c r="R142" s="315" t="s">
        <v>86</v>
      </c>
      <c r="S142" s="176"/>
      <c r="T142" s="145"/>
      <c r="U142" s="145"/>
    </row>
    <row r="143" spans="1:21">
      <c r="A143" s="167">
        <v>1209</v>
      </c>
      <c r="B143" s="144" t="s">
        <v>89</v>
      </c>
      <c r="C143" s="156" t="s">
        <v>90</v>
      </c>
      <c r="D143" s="156">
        <v>1</v>
      </c>
      <c r="E143" s="156">
        <v>123</v>
      </c>
      <c r="F143" s="396">
        <v>211.14</v>
      </c>
      <c r="G143" s="270" t="s">
        <v>20</v>
      </c>
      <c r="H143" s="502"/>
      <c r="I143" s="248">
        <v>-1.54</v>
      </c>
      <c r="J143" s="450">
        <v>-0.89012341618537905</v>
      </c>
      <c r="K143" s="492">
        <f t="shared" si="3"/>
        <v>19.153437910576994</v>
      </c>
      <c r="L143" s="395" t="s">
        <v>79</v>
      </c>
      <c r="M143" s="317" t="s">
        <v>74</v>
      </c>
      <c r="N143" s="317" t="s">
        <v>88</v>
      </c>
      <c r="O143" s="307" t="s">
        <v>35</v>
      </c>
      <c r="P143" s="314" t="s">
        <v>91</v>
      </c>
      <c r="Q143" s="501" t="s">
        <v>92</v>
      </c>
      <c r="R143" s="315" t="s">
        <v>86</v>
      </c>
      <c r="S143" s="176"/>
      <c r="T143" s="145"/>
      <c r="U143" s="145"/>
    </row>
    <row r="144" spans="1:21">
      <c r="A144" s="167">
        <v>1209</v>
      </c>
      <c r="B144" s="144" t="s">
        <v>89</v>
      </c>
      <c r="C144" s="156" t="s">
        <v>90</v>
      </c>
      <c r="D144" s="156">
        <v>1</v>
      </c>
      <c r="E144" s="156">
        <v>124</v>
      </c>
      <c r="F144" s="396">
        <v>211.15</v>
      </c>
      <c r="G144" s="270" t="s">
        <v>20</v>
      </c>
      <c r="H144" s="502"/>
      <c r="I144" s="248">
        <v>-2.19</v>
      </c>
      <c r="J144" s="450">
        <v>-0.89012341618537905</v>
      </c>
      <c r="K144" s="492">
        <f t="shared" si="3"/>
        <v>22.283498470883302</v>
      </c>
      <c r="L144" s="395" t="s">
        <v>79</v>
      </c>
      <c r="M144" s="317" t="s">
        <v>74</v>
      </c>
      <c r="N144" s="317" t="s">
        <v>88</v>
      </c>
      <c r="O144" s="307" t="s">
        <v>35</v>
      </c>
      <c r="P144" s="314" t="s">
        <v>91</v>
      </c>
      <c r="Q144" s="501" t="s">
        <v>92</v>
      </c>
      <c r="R144" s="315" t="s">
        <v>86</v>
      </c>
      <c r="S144" s="176"/>
      <c r="T144" s="145"/>
      <c r="U144" s="145"/>
    </row>
    <row r="145" spans="1:21">
      <c r="A145" s="167">
        <v>1209</v>
      </c>
      <c r="B145" s="144" t="s">
        <v>89</v>
      </c>
      <c r="C145" s="156" t="s">
        <v>90</v>
      </c>
      <c r="D145" s="156">
        <v>1</v>
      </c>
      <c r="E145" s="156">
        <v>124</v>
      </c>
      <c r="F145" s="396">
        <v>211.15</v>
      </c>
      <c r="G145" s="270" t="s">
        <v>20</v>
      </c>
      <c r="H145" s="502"/>
      <c r="I145" s="248">
        <v>-2.11</v>
      </c>
      <c r="J145" s="450">
        <v>-0.89012341618537905</v>
      </c>
      <c r="K145" s="492">
        <f t="shared" si="3"/>
        <v>21.894156248076374</v>
      </c>
      <c r="L145" s="395" t="s">
        <v>79</v>
      </c>
      <c r="M145" s="317" t="s">
        <v>74</v>
      </c>
      <c r="N145" s="317" t="s">
        <v>88</v>
      </c>
      <c r="O145" s="307" t="s">
        <v>35</v>
      </c>
      <c r="P145" s="314" t="s">
        <v>91</v>
      </c>
      <c r="Q145" s="501" t="s">
        <v>92</v>
      </c>
      <c r="R145" s="315" t="s">
        <v>86</v>
      </c>
      <c r="S145" s="176"/>
      <c r="T145" s="145"/>
      <c r="U145" s="145"/>
    </row>
    <row r="146" spans="1:21">
      <c r="A146" s="167">
        <v>1209</v>
      </c>
      <c r="B146" s="144" t="s">
        <v>89</v>
      </c>
      <c r="C146" s="156" t="s">
        <v>90</v>
      </c>
      <c r="D146" s="156">
        <v>1</v>
      </c>
      <c r="E146" s="156">
        <v>124</v>
      </c>
      <c r="F146" s="396">
        <v>211.15</v>
      </c>
      <c r="G146" s="270" t="s">
        <v>20</v>
      </c>
      <c r="H146" s="502"/>
      <c r="I146" s="248">
        <v>-2.0299999999999998</v>
      </c>
      <c r="J146" s="450">
        <v>-0.89012341618537905</v>
      </c>
      <c r="K146" s="492">
        <f t="shared" si="3"/>
        <v>21.505966025269441</v>
      </c>
      <c r="L146" s="395" t="s">
        <v>79</v>
      </c>
      <c r="M146" s="317" t="s">
        <v>74</v>
      </c>
      <c r="N146" s="317" t="s">
        <v>88</v>
      </c>
      <c r="O146" s="307" t="s">
        <v>35</v>
      </c>
      <c r="P146" s="314" t="s">
        <v>91</v>
      </c>
      <c r="Q146" s="501" t="s">
        <v>92</v>
      </c>
      <c r="R146" s="315" t="s">
        <v>86</v>
      </c>
      <c r="S146" s="176"/>
      <c r="T146" s="145"/>
      <c r="U146" s="145"/>
    </row>
    <row r="147" spans="1:21">
      <c r="A147" s="167">
        <v>1209</v>
      </c>
      <c r="B147" s="144" t="s">
        <v>89</v>
      </c>
      <c r="C147" s="156" t="s">
        <v>90</v>
      </c>
      <c r="D147" s="156">
        <v>1</v>
      </c>
      <c r="E147" s="156">
        <v>124</v>
      </c>
      <c r="F147" s="396">
        <v>211.15</v>
      </c>
      <c r="G147" s="270" t="s">
        <v>20</v>
      </c>
      <c r="H147" s="502"/>
      <c r="I147" s="248">
        <v>-1.76</v>
      </c>
      <c r="J147" s="450">
        <v>-0.89012341618537905</v>
      </c>
      <c r="K147" s="492">
        <f t="shared" si="3"/>
        <v>20.204329023296054</v>
      </c>
      <c r="L147" s="395" t="s">
        <v>79</v>
      </c>
      <c r="M147" s="317" t="s">
        <v>74</v>
      </c>
      <c r="N147" s="317" t="s">
        <v>88</v>
      </c>
      <c r="O147" s="307" t="s">
        <v>35</v>
      </c>
      <c r="P147" s="314" t="s">
        <v>91</v>
      </c>
      <c r="Q147" s="501" t="s">
        <v>92</v>
      </c>
      <c r="R147" s="315" t="s">
        <v>86</v>
      </c>
      <c r="S147" s="176"/>
      <c r="T147" s="145"/>
      <c r="U147" s="145"/>
    </row>
    <row r="148" spans="1:21">
      <c r="A148" s="167">
        <v>1209</v>
      </c>
      <c r="B148" s="144" t="s">
        <v>89</v>
      </c>
      <c r="C148" s="156" t="s">
        <v>90</v>
      </c>
      <c r="D148" s="156">
        <v>1</v>
      </c>
      <c r="E148" s="156">
        <v>124</v>
      </c>
      <c r="F148" s="396">
        <v>211.15</v>
      </c>
      <c r="G148" s="270" t="s">
        <v>20</v>
      </c>
      <c r="H148" s="502"/>
      <c r="I148" s="248">
        <v>-1.62</v>
      </c>
      <c r="J148" s="450">
        <v>-0.89012341618537905</v>
      </c>
      <c r="K148" s="492">
        <f t="shared" si="3"/>
        <v>19.534572133383925</v>
      </c>
      <c r="L148" s="395" t="s">
        <v>79</v>
      </c>
      <c r="M148" s="317" t="s">
        <v>74</v>
      </c>
      <c r="N148" s="317" t="s">
        <v>88</v>
      </c>
      <c r="O148" s="307" t="s">
        <v>35</v>
      </c>
      <c r="P148" s="314" t="s">
        <v>91</v>
      </c>
      <c r="Q148" s="501" t="s">
        <v>92</v>
      </c>
      <c r="R148" s="315" t="s">
        <v>86</v>
      </c>
      <c r="S148" s="176"/>
      <c r="T148" s="145"/>
      <c r="U148" s="145"/>
    </row>
    <row r="149" spans="1:21">
      <c r="A149" s="167">
        <v>1209</v>
      </c>
      <c r="B149" s="144" t="s">
        <v>89</v>
      </c>
      <c r="C149" s="156" t="s">
        <v>90</v>
      </c>
      <c r="D149" s="156">
        <v>1</v>
      </c>
      <c r="E149" s="156">
        <v>125</v>
      </c>
      <c r="F149" s="396">
        <v>211.16</v>
      </c>
      <c r="G149" s="270" t="s">
        <v>20</v>
      </c>
      <c r="H149" s="502"/>
      <c r="I149" s="248">
        <v>-2.14</v>
      </c>
      <c r="J149" s="450">
        <v>-0.89012341618537905</v>
      </c>
      <c r="K149" s="492">
        <f t="shared" si="3"/>
        <v>22.04002458162897</v>
      </c>
      <c r="L149" s="395" t="s">
        <v>79</v>
      </c>
      <c r="M149" s="317" t="s">
        <v>74</v>
      </c>
      <c r="N149" s="317" t="s">
        <v>88</v>
      </c>
      <c r="O149" s="307" t="s">
        <v>35</v>
      </c>
      <c r="P149" s="314" t="s">
        <v>91</v>
      </c>
      <c r="Q149" s="501" t="s">
        <v>92</v>
      </c>
      <c r="R149" s="315" t="s">
        <v>86</v>
      </c>
      <c r="S149" s="176"/>
      <c r="T149" s="145"/>
      <c r="U149" s="145"/>
    </row>
    <row r="150" spans="1:21">
      <c r="A150" s="167">
        <v>1209</v>
      </c>
      <c r="B150" s="144" t="s">
        <v>89</v>
      </c>
      <c r="C150" s="156" t="s">
        <v>90</v>
      </c>
      <c r="D150" s="156">
        <v>1</v>
      </c>
      <c r="E150" s="156">
        <v>125</v>
      </c>
      <c r="F150" s="396">
        <v>211.16</v>
      </c>
      <c r="G150" s="270" t="s">
        <v>20</v>
      </c>
      <c r="H150" s="502"/>
      <c r="I150" s="248">
        <v>-2.0499999999999998</v>
      </c>
      <c r="J150" s="450">
        <v>-0.89012341618537905</v>
      </c>
      <c r="K150" s="492">
        <f t="shared" si="3"/>
        <v>21.602905580971175</v>
      </c>
      <c r="L150" s="395" t="s">
        <v>79</v>
      </c>
      <c r="M150" s="317" t="s">
        <v>74</v>
      </c>
      <c r="N150" s="317" t="s">
        <v>88</v>
      </c>
      <c r="O150" s="307" t="s">
        <v>35</v>
      </c>
      <c r="P150" s="314" t="s">
        <v>91</v>
      </c>
      <c r="Q150" s="501" t="s">
        <v>92</v>
      </c>
      <c r="R150" s="315" t="s">
        <v>86</v>
      </c>
      <c r="S150" s="176"/>
      <c r="T150" s="145"/>
      <c r="U150" s="145"/>
    </row>
    <row r="151" spans="1:21">
      <c r="A151" s="167">
        <v>1209</v>
      </c>
      <c r="B151" s="144" t="s">
        <v>89</v>
      </c>
      <c r="C151" s="156" t="s">
        <v>90</v>
      </c>
      <c r="D151" s="156">
        <v>1</v>
      </c>
      <c r="E151" s="156">
        <v>125</v>
      </c>
      <c r="F151" s="396">
        <v>211.16</v>
      </c>
      <c r="G151" s="270" t="s">
        <v>20</v>
      </c>
      <c r="H151" s="502"/>
      <c r="I151" s="248">
        <v>-1.92</v>
      </c>
      <c r="J151" s="450">
        <v>-0.89012341618537905</v>
      </c>
      <c r="K151" s="492">
        <f t="shared" si="3"/>
        <v>20.974085468909912</v>
      </c>
      <c r="L151" s="395" t="s">
        <v>79</v>
      </c>
      <c r="M151" s="317" t="s">
        <v>74</v>
      </c>
      <c r="N151" s="317" t="s">
        <v>88</v>
      </c>
      <c r="O151" s="307" t="s">
        <v>35</v>
      </c>
      <c r="P151" s="314" t="s">
        <v>91</v>
      </c>
      <c r="Q151" s="501" t="s">
        <v>92</v>
      </c>
      <c r="R151" s="315" t="s">
        <v>86</v>
      </c>
      <c r="S151" s="176"/>
      <c r="T151" s="145"/>
      <c r="U151" s="145"/>
    </row>
    <row r="152" spans="1:21">
      <c r="A152" s="167">
        <v>1209</v>
      </c>
      <c r="B152" s="144" t="s">
        <v>89</v>
      </c>
      <c r="C152" s="156" t="s">
        <v>90</v>
      </c>
      <c r="D152" s="156">
        <v>1</v>
      </c>
      <c r="E152" s="156">
        <v>125</v>
      </c>
      <c r="F152" s="396">
        <v>211.16</v>
      </c>
      <c r="G152" s="270" t="s">
        <v>20</v>
      </c>
      <c r="H152" s="502"/>
      <c r="I152" s="248">
        <v>-1.89</v>
      </c>
      <c r="J152" s="450">
        <v>-0.89012341618537905</v>
      </c>
      <c r="K152" s="492">
        <f t="shared" si="3"/>
        <v>20.829405135357312</v>
      </c>
      <c r="L152" s="395" t="s">
        <v>79</v>
      </c>
      <c r="M152" s="317" t="s">
        <v>74</v>
      </c>
      <c r="N152" s="317" t="s">
        <v>88</v>
      </c>
      <c r="O152" s="307" t="s">
        <v>35</v>
      </c>
      <c r="P152" s="314" t="s">
        <v>91</v>
      </c>
      <c r="Q152" s="501" t="s">
        <v>92</v>
      </c>
      <c r="R152" s="315" t="s">
        <v>86</v>
      </c>
      <c r="S152" s="176"/>
      <c r="T152" s="145"/>
      <c r="U152" s="145"/>
    </row>
    <row r="153" spans="1:21">
      <c r="A153" s="167">
        <v>1209</v>
      </c>
      <c r="B153" s="144" t="s">
        <v>89</v>
      </c>
      <c r="C153" s="156" t="s">
        <v>90</v>
      </c>
      <c r="D153" s="156">
        <v>1</v>
      </c>
      <c r="E153" s="156">
        <v>125</v>
      </c>
      <c r="F153" s="396">
        <v>211.16</v>
      </c>
      <c r="G153" s="270" t="s">
        <v>20</v>
      </c>
      <c r="H153" s="502"/>
      <c r="I153" s="248">
        <v>-1.58</v>
      </c>
      <c r="J153" s="450">
        <v>-0.89012341618537905</v>
      </c>
      <c r="K153" s="492">
        <f t="shared" si="3"/>
        <v>19.343861021980459</v>
      </c>
      <c r="L153" s="395" t="s">
        <v>79</v>
      </c>
      <c r="M153" s="317" t="s">
        <v>74</v>
      </c>
      <c r="N153" s="317" t="s">
        <v>88</v>
      </c>
      <c r="O153" s="307" t="s">
        <v>35</v>
      </c>
      <c r="P153" s="314" t="s">
        <v>91</v>
      </c>
      <c r="Q153" s="501" t="s">
        <v>92</v>
      </c>
      <c r="R153" s="315" t="s">
        <v>86</v>
      </c>
      <c r="S153" s="176"/>
      <c r="T153" s="145"/>
      <c r="U153" s="145"/>
    </row>
    <row r="154" spans="1:21">
      <c r="A154" s="167">
        <v>1209</v>
      </c>
      <c r="B154" s="144" t="s">
        <v>89</v>
      </c>
      <c r="C154" s="156" t="s">
        <v>90</v>
      </c>
      <c r="D154" s="156">
        <v>1</v>
      </c>
      <c r="E154" s="156">
        <v>126</v>
      </c>
      <c r="F154" s="396">
        <v>211.17</v>
      </c>
      <c r="G154" s="270" t="s">
        <v>20</v>
      </c>
      <c r="H154" s="502"/>
      <c r="I154" s="248">
        <v>-2.2000000000000002</v>
      </c>
      <c r="J154" s="450">
        <v>-0.89012341618537905</v>
      </c>
      <c r="K154" s="492">
        <f t="shared" si="3"/>
        <v>22.33224724873417</v>
      </c>
      <c r="L154" s="395" t="s">
        <v>79</v>
      </c>
      <c r="M154" s="317" t="s">
        <v>74</v>
      </c>
      <c r="N154" s="317" t="s">
        <v>88</v>
      </c>
      <c r="O154" s="307" t="s">
        <v>35</v>
      </c>
      <c r="P154" s="314" t="s">
        <v>91</v>
      </c>
      <c r="Q154" s="501" t="s">
        <v>92</v>
      </c>
      <c r="R154" s="315" t="s">
        <v>86</v>
      </c>
      <c r="S154" s="176"/>
      <c r="T154" s="145"/>
      <c r="U154" s="145"/>
    </row>
    <row r="155" spans="1:21">
      <c r="A155" s="167">
        <v>1209</v>
      </c>
      <c r="B155" s="144" t="s">
        <v>89</v>
      </c>
      <c r="C155" s="156" t="s">
        <v>90</v>
      </c>
      <c r="D155" s="156">
        <v>1</v>
      </c>
      <c r="E155" s="156">
        <v>126</v>
      </c>
      <c r="F155" s="396">
        <v>211.17</v>
      </c>
      <c r="G155" s="270" t="s">
        <v>20</v>
      </c>
      <c r="H155" s="502"/>
      <c r="I155" s="248">
        <v>-2.14</v>
      </c>
      <c r="J155" s="450">
        <v>-0.89012341618537905</v>
      </c>
      <c r="K155" s="492">
        <f t="shared" si="3"/>
        <v>22.04002458162897</v>
      </c>
      <c r="L155" s="395" t="s">
        <v>79</v>
      </c>
      <c r="M155" s="317" t="s">
        <v>74</v>
      </c>
      <c r="N155" s="317" t="s">
        <v>88</v>
      </c>
      <c r="O155" s="307" t="s">
        <v>35</v>
      </c>
      <c r="P155" s="314" t="s">
        <v>91</v>
      </c>
      <c r="Q155" s="501" t="s">
        <v>92</v>
      </c>
      <c r="R155" s="315" t="s">
        <v>86</v>
      </c>
      <c r="S155" s="176"/>
      <c r="T155" s="145"/>
      <c r="U155" s="145"/>
    </row>
    <row r="156" spans="1:21">
      <c r="A156" s="167">
        <v>1209</v>
      </c>
      <c r="B156" s="144" t="s">
        <v>89</v>
      </c>
      <c r="C156" s="156" t="s">
        <v>90</v>
      </c>
      <c r="D156" s="156">
        <v>1</v>
      </c>
      <c r="E156" s="156">
        <v>126</v>
      </c>
      <c r="F156" s="396">
        <v>211.17</v>
      </c>
      <c r="G156" s="270" t="s">
        <v>20</v>
      </c>
      <c r="H156" s="502"/>
      <c r="I156" s="248">
        <v>-1.99</v>
      </c>
      <c r="J156" s="450">
        <v>-0.89012341618537905</v>
      </c>
      <c r="K156" s="492">
        <f t="shared" si="3"/>
        <v>21.312302913865977</v>
      </c>
      <c r="L156" s="395" t="s">
        <v>79</v>
      </c>
      <c r="M156" s="317" t="s">
        <v>74</v>
      </c>
      <c r="N156" s="317" t="s">
        <v>88</v>
      </c>
      <c r="O156" s="307" t="s">
        <v>35</v>
      </c>
      <c r="P156" s="314" t="s">
        <v>91</v>
      </c>
      <c r="Q156" s="501" t="s">
        <v>92</v>
      </c>
      <c r="R156" s="315" t="s">
        <v>86</v>
      </c>
      <c r="S156" s="176"/>
      <c r="T156" s="145"/>
      <c r="U156" s="145"/>
    </row>
    <row r="157" spans="1:21">
      <c r="A157" s="167">
        <v>1209</v>
      </c>
      <c r="B157" s="144" t="s">
        <v>89</v>
      </c>
      <c r="C157" s="156" t="s">
        <v>90</v>
      </c>
      <c r="D157" s="156">
        <v>1</v>
      </c>
      <c r="E157" s="156">
        <v>126</v>
      </c>
      <c r="F157" s="396">
        <v>211.17</v>
      </c>
      <c r="G157" s="270" t="s">
        <v>20</v>
      </c>
      <c r="H157" s="502"/>
      <c r="I157" s="248">
        <v>-1.76</v>
      </c>
      <c r="J157" s="450">
        <v>-0.89012341618537905</v>
      </c>
      <c r="K157" s="492">
        <f t="shared" si="3"/>
        <v>20.204329023296054</v>
      </c>
      <c r="L157" s="395" t="s">
        <v>79</v>
      </c>
      <c r="M157" s="317" t="s">
        <v>74</v>
      </c>
      <c r="N157" s="317" t="s">
        <v>88</v>
      </c>
      <c r="O157" s="307" t="s">
        <v>35</v>
      </c>
      <c r="P157" s="314" t="s">
        <v>91</v>
      </c>
      <c r="Q157" s="501" t="s">
        <v>92</v>
      </c>
      <c r="R157" s="315" t="s">
        <v>86</v>
      </c>
      <c r="S157" s="176"/>
      <c r="T157" s="145"/>
      <c r="U157" s="145"/>
    </row>
    <row r="158" spans="1:21">
      <c r="A158" s="167">
        <v>1209</v>
      </c>
      <c r="B158" s="144" t="s">
        <v>89</v>
      </c>
      <c r="C158" s="156" t="s">
        <v>90</v>
      </c>
      <c r="D158" s="156">
        <v>1</v>
      </c>
      <c r="E158" s="156">
        <v>126</v>
      </c>
      <c r="F158" s="396">
        <v>211.17</v>
      </c>
      <c r="G158" s="270" t="s">
        <v>20</v>
      </c>
      <c r="H158" s="502"/>
      <c r="I158" s="248">
        <v>-1.71</v>
      </c>
      <c r="J158" s="450">
        <v>-0.89012341618537905</v>
      </c>
      <c r="K158" s="492">
        <f t="shared" si="3"/>
        <v>19.964725134041718</v>
      </c>
      <c r="L158" s="395" t="s">
        <v>79</v>
      </c>
      <c r="M158" s="317" t="s">
        <v>74</v>
      </c>
      <c r="N158" s="317" t="s">
        <v>88</v>
      </c>
      <c r="O158" s="307" t="s">
        <v>35</v>
      </c>
      <c r="P158" s="314" t="s">
        <v>91</v>
      </c>
      <c r="Q158" s="501" t="s">
        <v>92</v>
      </c>
      <c r="R158" s="315" t="s">
        <v>86</v>
      </c>
      <c r="S158" s="176"/>
      <c r="T158" s="145"/>
      <c r="U158" s="145"/>
    </row>
    <row r="159" spans="1:21">
      <c r="A159" s="167">
        <v>1209</v>
      </c>
      <c r="B159" s="144" t="s">
        <v>89</v>
      </c>
      <c r="C159" s="156" t="s">
        <v>90</v>
      </c>
      <c r="D159" s="156">
        <v>1</v>
      </c>
      <c r="E159" s="156">
        <v>127</v>
      </c>
      <c r="F159" s="396">
        <v>211.18</v>
      </c>
      <c r="G159" s="270" t="s">
        <v>20</v>
      </c>
      <c r="H159" s="502"/>
      <c r="I159" s="248">
        <v>-2.1</v>
      </c>
      <c r="J159" s="450">
        <v>-0.89012341618537905</v>
      </c>
      <c r="K159" s="492">
        <f t="shared" si="3"/>
        <v>21.845569470225506</v>
      </c>
      <c r="L159" s="395" t="s">
        <v>79</v>
      </c>
      <c r="M159" s="317" t="s">
        <v>74</v>
      </c>
      <c r="N159" s="317" t="s">
        <v>88</v>
      </c>
      <c r="O159" s="307" t="s">
        <v>35</v>
      </c>
      <c r="P159" s="314" t="s">
        <v>91</v>
      </c>
      <c r="Q159" s="501" t="s">
        <v>92</v>
      </c>
      <c r="R159" s="315" t="s">
        <v>86</v>
      </c>
      <c r="S159" s="176"/>
      <c r="T159" s="145"/>
      <c r="U159" s="145"/>
    </row>
    <row r="160" spans="1:21">
      <c r="A160" s="167">
        <v>1209</v>
      </c>
      <c r="B160" s="144" t="s">
        <v>89</v>
      </c>
      <c r="C160" s="156" t="s">
        <v>90</v>
      </c>
      <c r="D160" s="156">
        <v>1</v>
      </c>
      <c r="E160" s="156">
        <v>127</v>
      </c>
      <c r="F160" s="396">
        <v>211.18</v>
      </c>
      <c r="G160" s="270" t="s">
        <v>20</v>
      </c>
      <c r="H160" s="502"/>
      <c r="I160" s="248">
        <v>-2.08</v>
      </c>
      <c r="J160" s="450">
        <v>-0.89012341618537905</v>
      </c>
      <c r="K160" s="492">
        <f t="shared" si="3"/>
        <v>21.748449914523775</v>
      </c>
      <c r="L160" s="395" t="s">
        <v>79</v>
      </c>
      <c r="M160" s="317" t="s">
        <v>74</v>
      </c>
      <c r="N160" s="317" t="s">
        <v>88</v>
      </c>
      <c r="O160" s="307" t="s">
        <v>35</v>
      </c>
      <c r="P160" s="314" t="s">
        <v>91</v>
      </c>
      <c r="Q160" s="501" t="s">
        <v>92</v>
      </c>
      <c r="R160" s="315" t="s">
        <v>86</v>
      </c>
      <c r="S160" s="176"/>
      <c r="T160" s="145"/>
      <c r="U160" s="145"/>
    </row>
    <row r="161" spans="1:21">
      <c r="A161" s="167">
        <v>1209</v>
      </c>
      <c r="B161" s="144" t="s">
        <v>89</v>
      </c>
      <c r="C161" s="156" t="s">
        <v>90</v>
      </c>
      <c r="D161" s="156">
        <v>1</v>
      </c>
      <c r="E161" s="156">
        <v>127</v>
      </c>
      <c r="F161" s="396">
        <v>211.18</v>
      </c>
      <c r="G161" s="270" t="s">
        <v>20</v>
      </c>
      <c r="H161" s="502"/>
      <c r="I161" s="248">
        <v>-1.95</v>
      </c>
      <c r="J161" s="450">
        <v>-0.89012341618537905</v>
      </c>
      <c r="K161" s="492">
        <f t="shared" si="3"/>
        <v>21.118927802462512</v>
      </c>
      <c r="L161" s="395" t="s">
        <v>79</v>
      </c>
      <c r="M161" s="317" t="s">
        <v>74</v>
      </c>
      <c r="N161" s="317" t="s">
        <v>88</v>
      </c>
      <c r="O161" s="307" t="s">
        <v>35</v>
      </c>
      <c r="P161" s="314" t="s">
        <v>91</v>
      </c>
      <c r="Q161" s="501" t="s">
        <v>92</v>
      </c>
      <c r="R161" s="315" t="s">
        <v>86</v>
      </c>
      <c r="S161" s="176"/>
      <c r="T161" s="145"/>
      <c r="U161" s="145"/>
    </row>
    <row r="162" spans="1:21">
      <c r="A162" s="167">
        <v>1209</v>
      </c>
      <c r="B162" s="144" t="s">
        <v>89</v>
      </c>
      <c r="C162" s="156" t="s">
        <v>90</v>
      </c>
      <c r="D162" s="156">
        <v>1</v>
      </c>
      <c r="E162" s="156">
        <v>127</v>
      </c>
      <c r="F162" s="396">
        <v>211.18</v>
      </c>
      <c r="G162" s="270" t="s">
        <v>20</v>
      </c>
      <c r="H162" s="502"/>
      <c r="I162" s="248">
        <v>-1.93</v>
      </c>
      <c r="J162" s="450">
        <v>-0.89012341618537905</v>
      </c>
      <c r="K162" s="492">
        <f t="shared" si="3"/>
        <v>21.022348246760778</v>
      </c>
      <c r="L162" s="395" t="s">
        <v>79</v>
      </c>
      <c r="M162" s="317" t="s">
        <v>74</v>
      </c>
      <c r="N162" s="317" t="s">
        <v>88</v>
      </c>
      <c r="O162" s="307" t="s">
        <v>35</v>
      </c>
      <c r="P162" s="314" t="s">
        <v>91</v>
      </c>
      <c r="Q162" s="501" t="s">
        <v>92</v>
      </c>
      <c r="R162" s="315" t="s">
        <v>86</v>
      </c>
      <c r="S162" s="176"/>
      <c r="T162" s="145"/>
      <c r="U162" s="145"/>
    </row>
    <row r="163" spans="1:21">
      <c r="A163" s="167">
        <v>1209</v>
      </c>
      <c r="B163" s="144" t="s">
        <v>89</v>
      </c>
      <c r="C163" s="156" t="s">
        <v>90</v>
      </c>
      <c r="D163" s="156">
        <v>1</v>
      </c>
      <c r="E163" s="156">
        <v>127</v>
      </c>
      <c r="F163" s="396">
        <v>211.18</v>
      </c>
      <c r="G163" s="270" t="s">
        <v>20</v>
      </c>
      <c r="H163" s="502"/>
      <c r="I163" s="248">
        <v>-1.93</v>
      </c>
      <c r="J163" s="450">
        <v>-0.89012341618537905</v>
      </c>
      <c r="K163" s="492">
        <f t="shared" si="3"/>
        <v>21.022348246760778</v>
      </c>
      <c r="L163" s="395" t="s">
        <v>79</v>
      </c>
      <c r="M163" s="317" t="s">
        <v>74</v>
      </c>
      <c r="N163" s="317" t="s">
        <v>88</v>
      </c>
      <c r="O163" s="307" t="s">
        <v>35</v>
      </c>
      <c r="P163" s="314" t="s">
        <v>91</v>
      </c>
      <c r="Q163" s="501" t="s">
        <v>92</v>
      </c>
      <c r="R163" s="315" t="s">
        <v>86</v>
      </c>
      <c r="S163" s="176"/>
      <c r="T163" s="145"/>
      <c r="U163" s="145"/>
    </row>
    <row r="164" spans="1:21">
      <c r="A164" s="167">
        <v>1209</v>
      </c>
      <c r="B164" s="144" t="s">
        <v>89</v>
      </c>
      <c r="C164" s="156" t="s">
        <v>90</v>
      </c>
      <c r="D164" s="156">
        <v>1</v>
      </c>
      <c r="E164" s="156">
        <v>128</v>
      </c>
      <c r="F164" s="396">
        <v>211.19</v>
      </c>
      <c r="G164" s="270" t="s">
        <v>20</v>
      </c>
      <c r="H164" s="502"/>
      <c r="I164" s="248">
        <v>-1.98</v>
      </c>
      <c r="J164" s="450">
        <v>-0.89012341618537905</v>
      </c>
      <c r="K164" s="492">
        <f t="shared" si="3"/>
        <v>21.263932136015111</v>
      </c>
      <c r="L164" s="395" t="s">
        <v>79</v>
      </c>
      <c r="M164" s="317" t="s">
        <v>74</v>
      </c>
      <c r="N164" s="317" t="s">
        <v>88</v>
      </c>
      <c r="O164" s="307" t="s">
        <v>35</v>
      </c>
      <c r="P164" s="314" t="s">
        <v>91</v>
      </c>
      <c r="Q164" s="501" t="s">
        <v>92</v>
      </c>
      <c r="R164" s="315" t="s">
        <v>86</v>
      </c>
      <c r="S164" s="176"/>
      <c r="T164" s="145"/>
      <c r="U164" s="145"/>
    </row>
    <row r="165" spans="1:21">
      <c r="A165" s="167">
        <v>1209</v>
      </c>
      <c r="B165" s="144" t="s">
        <v>89</v>
      </c>
      <c r="C165" s="156" t="s">
        <v>90</v>
      </c>
      <c r="D165" s="156">
        <v>1</v>
      </c>
      <c r="E165" s="156">
        <v>128</v>
      </c>
      <c r="F165" s="396">
        <v>211.19</v>
      </c>
      <c r="G165" s="270" t="s">
        <v>20</v>
      </c>
      <c r="H165" s="502"/>
      <c r="I165" s="248">
        <v>-1.93</v>
      </c>
      <c r="J165" s="450">
        <v>-0.89012341618537905</v>
      </c>
      <c r="K165" s="492">
        <f t="shared" si="3"/>
        <v>21.022348246760778</v>
      </c>
      <c r="L165" s="395" t="s">
        <v>79</v>
      </c>
      <c r="M165" s="317" t="s">
        <v>74</v>
      </c>
      <c r="N165" s="317" t="s">
        <v>88</v>
      </c>
      <c r="O165" s="307" t="s">
        <v>35</v>
      </c>
      <c r="P165" s="314" t="s">
        <v>91</v>
      </c>
      <c r="Q165" s="501" t="s">
        <v>92</v>
      </c>
      <c r="R165" s="315" t="s">
        <v>86</v>
      </c>
      <c r="S165" s="176"/>
      <c r="T165" s="145"/>
      <c r="U165" s="145"/>
    </row>
    <row r="166" spans="1:21">
      <c r="A166" s="167">
        <v>1209</v>
      </c>
      <c r="B166" s="144" t="s">
        <v>89</v>
      </c>
      <c r="C166" s="156" t="s">
        <v>90</v>
      </c>
      <c r="D166" s="156">
        <v>1</v>
      </c>
      <c r="E166" s="156">
        <v>128</v>
      </c>
      <c r="F166" s="396">
        <v>211.19</v>
      </c>
      <c r="G166" s="270" t="s">
        <v>20</v>
      </c>
      <c r="H166" s="502"/>
      <c r="I166" s="248">
        <v>-1.81</v>
      </c>
      <c r="J166" s="450">
        <v>-0.89012341618537905</v>
      </c>
      <c r="K166" s="492">
        <f t="shared" si="3"/>
        <v>20.444382912550385</v>
      </c>
      <c r="L166" s="395" t="s">
        <v>79</v>
      </c>
      <c r="M166" s="317" t="s">
        <v>74</v>
      </c>
      <c r="N166" s="317" t="s">
        <v>88</v>
      </c>
      <c r="O166" s="307" t="s">
        <v>35</v>
      </c>
      <c r="P166" s="314" t="s">
        <v>91</v>
      </c>
      <c r="Q166" s="501" t="s">
        <v>92</v>
      </c>
      <c r="R166" s="315" t="s">
        <v>86</v>
      </c>
      <c r="S166" s="176"/>
      <c r="T166" s="145"/>
      <c r="U166" s="145"/>
    </row>
    <row r="167" spans="1:21">
      <c r="A167" s="167">
        <v>1209</v>
      </c>
      <c r="B167" s="144" t="s">
        <v>89</v>
      </c>
      <c r="C167" s="156" t="s">
        <v>90</v>
      </c>
      <c r="D167" s="156">
        <v>1</v>
      </c>
      <c r="E167" s="156">
        <v>128</v>
      </c>
      <c r="F167" s="396">
        <v>211.19</v>
      </c>
      <c r="G167" s="270" t="s">
        <v>20</v>
      </c>
      <c r="H167" s="502"/>
      <c r="I167" s="248">
        <v>-1.7</v>
      </c>
      <c r="J167" s="450">
        <v>-0.89012341618537905</v>
      </c>
      <c r="K167" s="492">
        <f t="shared" si="3"/>
        <v>19.916858356190854</v>
      </c>
      <c r="L167" s="395" t="s">
        <v>79</v>
      </c>
      <c r="M167" s="317" t="s">
        <v>74</v>
      </c>
      <c r="N167" s="317" t="s">
        <v>88</v>
      </c>
      <c r="O167" s="307" t="s">
        <v>35</v>
      </c>
      <c r="P167" s="314" t="s">
        <v>91</v>
      </c>
      <c r="Q167" s="501" t="s">
        <v>92</v>
      </c>
      <c r="R167" s="315" t="s">
        <v>86</v>
      </c>
      <c r="S167" s="176"/>
      <c r="T167" s="145"/>
      <c r="U167" s="145"/>
    </row>
    <row r="168" spans="1:21">
      <c r="A168" s="167">
        <v>1209</v>
      </c>
      <c r="B168" s="144" t="s">
        <v>89</v>
      </c>
      <c r="C168" s="156" t="s">
        <v>90</v>
      </c>
      <c r="D168" s="156">
        <v>1</v>
      </c>
      <c r="E168" s="156">
        <v>128</v>
      </c>
      <c r="F168" s="396">
        <v>211.19</v>
      </c>
      <c r="G168" s="270" t="s">
        <v>20</v>
      </c>
      <c r="H168" s="502"/>
      <c r="I168" s="248">
        <v>-1.7</v>
      </c>
      <c r="J168" s="450">
        <v>-0.89012341618537905</v>
      </c>
      <c r="K168" s="492">
        <f t="shared" si="3"/>
        <v>19.916858356190854</v>
      </c>
      <c r="L168" s="395" t="s">
        <v>79</v>
      </c>
      <c r="M168" s="317" t="s">
        <v>74</v>
      </c>
      <c r="N168" s="317" t="s">
        <v>88</v>
      </c>
      <c r="O168" s="307" t="s">
        <v>35</v>
      </c>
      <c r="P168" s="314" t="s">
        <v>91</v>
      </c>
      <c r="Q168" s="501" t="s">
        <v>92</v>
      </c>
      <c r="R168" s="315" t="s">
        <v>86</v>
      </c>
      <c r="S168" s="176"/>
      <c r="T168" s="145"/>
      <c r="U168" s="145"/>
    </row>
    <row r="169" spans="1:21">
      <c r="A169" s="167">
        <v>1209</v>
      </c>
      <c r="B169" s="144" t="s">
        <v>89</v>
      </c>
      <c r="C169" s="156" t="s">
        <v>90</v>
      </c>
      <c r="D169" s="156">
        <v>1</v>
      </c>
      <c r="E169" s="156">
        <v>129</v>
      </c>
      <c r="F169" s="396">
        <v>211.2</v>
      </c>
      <c r="G169" s="270" t="s">
        <v>20</v>
      </c>
      <c r="H169" s="502"/>
      <c r="I169" s="248">
        <v>-2.17</v>
      </c>
      <c r="J169" s="450">
        <v>-0.89012341618537905</v>
      </c>
      <c r="K169" s="492">
        <f t="shared" si="3"/>
        <v>22.186054915181572</v>
      </c>
      <c r="L169" s="395" t="s">
        <v>79</v>
      </c>
      <c r="M169" s="317" t="s">
        <v>74</v>
      </c>
      <c r="N169" s="317" t="s">
        <v>88</v>
      </c>
      <c r="O169" s="307" t="s">
        <v>35</v>
      </c>
      <c r="P169" s="314" t="s">
        <v>91</v>
      </c>
      <c r="Q169" s="501" t="s">
        <v>92</v>
      </c>
      <c r="R169" s="315" t="s">
        <v>86</v>
      </c>
      <c r="S169" s="176"/>
      <c r="T169" s="145"/>
      <c r="U169" s="145"/>
    </row>
    <row r="170" spans="1:21">
      <c r="A170" s="167">
        <v>1209</v>
      </c>
      <c r="B170" s="144" t="s">
        <v>89</v>
      </c>
      <c r="C170" s="156" t="s">
        <v>90</v>
      </c>
      <c r="D170" s="156">
        <v>1</v>
      </c>
      <c r="E170" s="156">
        <v>129</v>
      </c>
      <c r="F170" s="396">
        <v>211.2</v>
      </c>
      <c r="G170" s="270" t="s">
        <v>20</v>
      </c>
      <c r="H170" s="502"/>
      <c r="I170" s="248">
        <v>-2.13</v>
      </c>
      <c r="J170" s="450">
        <v>-0.89012341618537905</v>
      </c>
      <c r="K170" s="492">
        <f t="shared" si="3"/>
        <v>21.991383803778106</v>
      </c>
      <c r="L170" s="395" t="s">
        <v>79</v>
      </c>
      <c r="M170" s="317" t="s">
        <v>74</v>
      </c>
      <c r="N170" s="317" t="s">
        <v>88</v>
      </c>
      <c r="O170" s="307" t="s">
        <v>35</v>
      </c>
      <c r="P170" s="314" t="s">
        <v>91</v>
      </c>
      <c r="Q170" s="501" t="s">
        <v>92</v>
      </c>
      <c r="R170" s="315" t="s">
        <v>86</v>
      </c>
      <c r="S170" s="176"/>
      <c r="T170" s="145"/>
      <c r="U170" s="145"/>
    </row>
    <row r="171" spans="1:21">
      <c r="A171" s="167">
        <v>1209</v>
      </c>
      <c r="B171" s="144" t="s">
        <v>89</v>
      </c>
      <c r="C171" s="156" t="s">
        <v>90</v>
      </c>
      <c r="D171" s="156">
        <v>1</v>
      </c>
      <c r="E171" s="156">
        <v>129</v>
      </c>
      <c r="F171" s="396">
        <v>211.2</v>
      </c>
      <c r="G171" s="270" t="s">
        <v>20</v>
      </c>
      <c r="H171" s="502"/>
      <c r="I171" s="248">
        <v>-1.9</v>
      </c>
      <c r="J171" s="450">
        <v>-0.89012341618537905</v>
      </c>
      <c r="K171" s="492">
        <f t="shared" si="3"/>
        <v>20.877613913208183</v>
      </c>
      <c r="L171" s="395" t="s">
        <v>79</v>
      </c>
      <c r="M171" s="317" t="s">
        <v>74</v>
      </c>
      <c r="N171" s="317" t="s">
        <v>88</v>
      </c>
      <c r="O171" s="307" t="s">
        <v>35</v>
      </c>
      <c r="P171" s="314" t="s">
        <v>91</v>
      </c>
      <c r="Q171" s="501" t="s">
        <v>92</v>
      </c>
      <c r="R171" s="315" t="s">
        <v>86</v>
      </c>
      <c r="S171" s="176"/>
      <c r="T171" s="145"/>
      <c r="U171" s="145"/>
    </row>
    <row r="172" spans="1:21">
      <c r="A172" s="167">
        <v>1209</v>
      </c>
      <c r="B172" s="144" t="s">
        <v>89</v>
      </c>
      <c r="C172" s="156" t="s">
        <v>90</v>
      </c>
      <c r="D172" s="156">
        <v>1</v>
      </c>
      <c r="E172" s="156">
        <v>129</v>
      </c>
      <c r="F172" s="396">
        <v>211.2</v>
      </c>
      <c r="G172" s="270" t="s">
        <v>20</v>
      </c>
      <c r="H172" s="502"/>
      <c r="I172" s="248">
        <v>-1.89</v>
      </c>
      <c r="J172" s="450">
        <v>-0.89012341618537905</v>
      </c>
      <c r="K172" s="492">
        <f t="shared" si="3"/>
        <v>20.829405135357312</v>
      </c>
      <c r="L172" s="395" t="s">
        <v>79</v>
      </c>
      <c r="M172" s="317" t="s">
        <v>74</v>
      </c>
      <c r="N172" s="317" t="s">
        <v>88</v>
      </c>
      <c r="O172" s="307" t="s">
        <v>35</v>
      </c>
      <c r="P172" s="314" t="s">
        <v>91</v>
      </c>
      <c r="Q172" s="501" t="s">
        <v>92</v>
      </c>
      <c r="R172" s="315" t="s">
        <v>86</v>
      </c>
      <c r="S172" s="176"/>
      <c r="T172" s="145"/>
      <c r="U172" s="145"/>
    </row>
    <row r="173" spans="1:21">
      <c r="A173" s="167">
        <v>1209</v>
      </c>
      <c r="B173" s="144" t="s">
        <v>89</v>
      </c>
      <c r="C173" s="156" t="s">
        <v>90</v>
      </c>
      <c r="D173" s="156">
        <v>1</v>
      </c>
      <c r="E173" s="156">
        <v>129</v>
      </c>
      <c r="F173" s="396">
        <v>211.2</v>
      </c>
      <c r="G173" s="270" t="s">
        <v>20</v>
      </c>
      <c r="H173" s="502"/>
      <c r="I173" s="248">
        <v>-1.86</v>
      </c>
      <c r="J173" s="450">
        <v>-0.89012341618537905</v>
      </c>
      <c r="K173" s="492">
        <f t="shared" si="3"/>
        <v>20.684886801804716</v>
      </c>
      <c r="L173" s="395" t="s">
        <v>79</v>
      </c>
      <c r="M173" s="317" t="s">
        <v>74</v>
      </c>
      <c r="N173" s="317" t="s">
        <v>88</v>
      </c>
      <c r="O173" s="307" t="s">
        <v>35</v>
      </c>
      <c r="P173" s="314" t="s">
        <v>91</v>
      </c>
      <c r="Q173" s="501" t="s">
        <v>92</v>
      </c>
      <c r="R173" s="315" t="s">
        <v>86</v>
      </c>
      <c r="S173" s="176"/>
      <c r="T173" s="145"/>
      <c r="U173" s="145"/>
    </row>
    <row r="174" spans="1:21">
      <c r="A174" s="167">
        <v>1209</v>
      </c>
      <c r="B174" s="144" t="s">
        <v>89</v>
      </c>
      <c r="C174" s="156" t="s">
        <v>90</v>
      </c>
      <c r="D174" s="156">
        <v>1</v>
      </c>
      <c r="E174" s="156">
        <v>130</v>
      </c>
      <c r="F174" s="396">
        <v>211.21</v>
      </c>
      <c r="G174" s="270" t="s">
        <v>20</v>
      </c>
      <c r="H174" s="502"/>
      <c r="I174" s="248">
        <v>-2.21</v>
      </c>
      <c r="J174" s="450">
        <v>-0.89012341618537905</v>
      </c>
      <c r="K174" s="492">
        <f t="shared" si="3"/>
        <v>22.381014026585035</v>
      </c>
      <c r="L174" s="395" t="s">
        <v>79</v>
      </c>
      <c r="M174" s="317" t="s">
        <v>74</v>
      </c>
      <c r="N174" s="317" t="s">
        <v>88</v>
      </c>
      <c r="O174" s="307" t="s">
        <v>35</v>
      </c>
      <c r="P174" s="314" t="s">
        <v>91</v>
      </c>
      <c r="Q174" s="501" t="s">
        <v>92</v>
      </c>
      <c r="R174" s="315" t="s">
        <v>86</v>
      </c>
      <c r="S174" s="176"/>
      <c r="T174" s="145"/>
      <c r="U174" s="145"/>
    </row>
    <row r="175" spans="1:21">
      <c r="A175" s="167">
        <v>1209</v>
      </c>
      <c r="B175" s="144" t="s">
        <v>89</v>
      </c>
      <c r="C175" s="156" t="s">
        <v>90</v>
      </c>
      <c r="D175" s="156">
        <v>1</v>
      </c>
      <c r="E175" s="156">
        <v>130</v>
      </c>
      <c r="F175" s="396">
        <v>211.21</v>
      </c>
      <c r="G175" s="270" t="s">
        <v>20</v>
      </c>
      <c r="H175" s="502"/>
      <c r="I175" s="248">
        <v>-2.14</v>
      </c>
      <c r="J175" s="450">
        <v>-0.89012341618537905</v>
      </c>
      <c r="K175" s="492">
        <f t="shared" si="3"/>
        <v>22.04002458162897</v>
      </c>
      <c r="L175" s="395" t="s">
        <v>79</v>
      </c>
      <c r="M175" s="317" t="s">
        <v>74</v>
      </c>
      <c r="N175" s="317" t="s">
        <v>88</v>
      </c>
      <c r="O175" s="307" t="s">
        <v>35</v>
      </c>
      <c r="P175" s="314" t="s">
        <v>91</v>
      </c>
      <c r="Q175" s="501" t="s">
        <v>92</v>
      </c>
      <c r="R175" s="315" t="s">
        <v>86</v>
      </c>
      <c r="S175" s="176"/>
      <c r="T175" s="145"/>
      <c r="U175" s="145"/>
    </row>
    <row r="176" spans="1:21">
      <c r="A176" s="167">
        <v>1209</v>
      </c>
      <c r="B176" s="144" t="s">
        <v>89</v>
      </c>
      <c r="C176" s="156" t="s">
        <v>90</v>
      </c>
      <c r="D176" s="156">
        <v>1</v>
      </c>
      <c r="E176" s="156">
        <v>130</v>
      </c>
      <c r="F176" s="396">
        <v>211.21</v>
      </c>
      <c r="G176" s="270" t="s">
        <v>20</v>
      </c>
      <c r="H176" s="502"/>
      <c r="I176" s="248">
        <v>-1.98</v>
      </c>
      <c r="J176" s="450">
        <v>-0.89012341618537905</v>
      </c>
      <c r="K176" s="492">
        <f t="shared" si="3"/>
        <v>21.263932136015111</v>
      </c>
      <c r="L176" s="395" t="s">
        <v>79</v>
      </c>
      <c r="M176" s="317" t="s">
        <v>74</v>
      </c>
      <c r="N176" s="317" t="s">
        <v>88</v>
      </c>
      <c r="O176" s="307" t="s">
        <v>35</v>
      </c>
      <c r="P176" s="314" t="s">
        <v>91</v>
      </c>
      <c r="Q176" s="501" t="s">
        <v>92</v>
      </c>
      <c r="R176" s="315" t="s">
        <v>86</v>
      </c>
      <c r="S176" s="176"/>
      <c r="T176" s="145"/>
      <c r="U176" s="145"/>
    </row>
    <row r="177" spans="1:21">
      <c r="A177" s="167">
        <v>1209</v>
      </c>
      <c r="B177" s="144" t="s">
        <v>89</v>
      </c>
      <c r="C177" s="156" t="s">
        <v>90</v>
      </c>
      <c r="D177" s="156">
        <v>1</v>
      </c>
      <c r="E177" s="156">
        <v>130</v>
      </c>
      <c r="F177" s="396">
        <v>211.21</v>
      </c>
      <c r="G177" s="270" t="s">
        <v>20</v>
      </c>
      <c r="H177" s="502"/>
      <c r="I177" s="248">
        <v>-1.96</v>
      </c>
      <c r="J177" s="450">
        <v>-0.89012341618537905</v>
      </c>
      <c r="K177" s="492">
        <f t="shared" si="3"/>
        <v>21.167244580313376</v>
      </c>
      <c r="L177" s="395" t="s">
        <v>79</v>
      </c>
      <c r="M177" s="317" t="s">
        <v>74</v>
      </c>
      <c r="N177" s="317" t="s">
        <v>88</v>
      </c>
      <c r="O177" s="307" t="s">
        <v>35</v>
      </c>
      <c r="P177" s="314" t="s">
        <v>91</v>
      </c>
      <c r="Q177" s="501" t="s">
        <v>92</v>
      </c>
      <c r="R177" s="315" t="s">
        <v>86</v>
      </c>
      <c r="S177" s="176"/>
      <c r="T177" s="145"/>
      <c r="U177" s="145"/>
    </row>
    <row r="178" spans="1:21">
      <c r="A178" s="167">
        <v>1209</v>
      </c>
      <c r="B178" s="144" t="s">
        <v>89</v>
      </c>
      <c r="C178" s="156" t="s">
        <v>90</v>
      </c>
      <c r="D178" s="156">
        <v>1</v>
      </c>
      <c r="E178" s="156">
        <v>130</v>
      </c>
      <c r="F178" s="396">
        <v>211.21</v>
      </c>
      <c r="G178" s="270" t="s">
        <v>20</v>
      </c>
      <c r="H178" s="502"/>
      <c r="I178" s="248">
        <v>-1.79</v>
      </c>
      <c r="J178" s="450">
        <v>-0.89012341618537905</v>
      </c>
      <c r="K178" s="492">
        <f t="shared" si="3"/>
        <v>20.34830735684865</v>
      </c>
      <c r="L178" s="395" t="s">
        <v>79</v>
      </c>
      <c r="M178" s="317" t="s">
        <v>74</v>
      </c>
      <c r="N178" s="317" t="s">
        <v>88</v>
      </c>
      <c r="O178" s="307" t="s">
        <v>35</v>
      </c>
      <c r="P178" s="314" t="s">
        <v>91</v>
      </c>
      <c r="Q178" s="501" t="s">
        <v>92</v>
      </c>
      <c r="R178" s="315" t="s">
        <v>86</v>
      </c>
      <c r="S178" s="176"/>
      <c r="T178" s="145"/>
      <c r="U178" s="145"/>
    </row>
    <row r="179" spans="1:21">
      <c r="A179" s="167">
        <v>1209</v>
      </c>
      <c r="B179" s="144" t="s">
        <v>89</v>
      </c>
      <c r="C179" s="156" t="s">
        <v>90</v>
      </c>
      <c r="D179" s="156">
        <v>1</v>
      </c>
      <c r="E179" s="156">
        <v>131</v>
      </c>
      <c r="F179" s="396">
        <v>211.22</v>
      </c>
      <c r="G179" s="270" t="s">
        <v>20</v>
      </c>
      <c r="H179" s="502"/>
      <c r="I179" s="248">
        <v>-2.06</v>
      </c>
      <c r="J179" s="450">
        <v>-0.89012341618537905</v>
      </c>
      <c r="K179" s="492">
        <f t="shared" si="3"/>
        <v>21.651402358822043</v>
      </c>
      <c r="L179" s="395" t="s">
        <v>79</v>
      </c>
      <c r="M179" s="317" t="s">
        <v>74</v>
      </c>
      <c r="N179" s="317" t="s">
        <v>88</v>
      </c>
      <c r="O179" s="307" t="s">
        <v>35</v>
      </c>
      <c r="P179" s="314" t="s">
        <v>91</v>
      </c>
      <c r="Q179" s="501" t="s">
        <v>92</v>
      </c>
      <c r="R179" s="315" t="s">
        <v>86</v>
      </c>
      <c r="S179" s="176"/>
      <c r="T179" s="145"/>
      <c r="U179" s="145"/>
    </row>
    <row r="180" spans="1:21">
      <c r="A180" s="167">
        <v>1209</v>
      </c>
      <c r="B180" s="144" t="s">
        <v>89</v>
      </c>
      <c r="C180" s="156" t="s">
        <v>90</v>
      </c>
      <c r="D180" s="156">
        <v>1</v>
      </c>
      <c r="E180" s="156">
        <v>131</v>
      </c>
      <c r="F180" s="396">
        <v>211.22</v>
      </c>
      <c r="G180" s="270" t="s">
        <v>20</v>
      </c>
      <c r="H180" s="502"/>
      <c r="I180" s="248">
        <v>-1.99</v>
      </c>
      <c r="J180" s="450">
        <v>-0.89012341618537905</v>
      </c>
      <c r="K180" s="492">
        <f t="shared" si="3"/>
        <v>21.312302913865977</v>
      </c>
      <c r="L180" s="395" t="s">
        <v>79</v>
      </c>
      <c r="M180" s="317" t="s">
        <v>74</v>
      </c>
      <c r="N180" s="317" t="s">
        <v>88</v>
      </c>
      <c r="O180" s="307" t="s">
        <v>35</v>
      </c>
      <c r="P180" s="314" t="s">
        <v>91</v>
      </c>
      <c r="Q180" s="501" t="s">
        <v>92</v>
      </c>
      <c r="R180" s="315" t="s">
        <v>86</v>
      </c>
      <c r="S180" s="176"/>
      <c r="T180" s="145"/>
      <c r="U180" s="145"/>
    </row>
    <row r="181" spans="1:21">
      <c r="A181" s="167">
        <v>1209</v>
      </c>
      <c r="B181" s="144" t="s">
        <v>89</v>
      </c>
      <c r="C181" s="156" t="s">
        <v>90</v>
      </c>
      <c r="D181" s="156">
        <v>1</v>
      </c>
      <c r="E181" s="156">
        <v>131</v>
      </c>
      <c r="F181" s="396">
        <v>211.22</v>
      </c>
      <c r="G181" s="270" t="s">
        <v>20</v>
      </c>
      <c r="H181" s="502"/>
      <c r="I181" s="248">
        <v>-1.96</v>
      </c>
      <c r="J181" s="450">
        <v>-0.89012341618537905</v>
      </c>
      <c r="K181" s="492">
        <f t="shared" si="3"/>
        <v>21.167244580313376</v>
      </c>
      <c r="L181" s="395" t="s">
        <v>79</v>
      </c>
      <c r="M181" s="317" t="s">
        <v>74</v>
      </c>
      <c r="N181" s="317" t="s">
        <v>88</v>
      </c>
      <c r="O181" s="307" t="s">
        <v>35</v>
      </c>
      <c r="P181" s="314" t="s">
        <v>91</v>
      </c>
      <c r="Q181" s="501" t="s">
        <v>92</v>
      </c>
      <c r="R181" s="315" t="s">
        <v>86</v>
      </c>
      <c r="S181" s="176"/>
      <c r="T181" s="145"/>
      <c r="U181" s="145"/>
    </row>
    <row r="182" spans="1:21">
      <c r="A182" s="167">
        <v>1209</v>
      </c>
      <c r="B182" s="144" t="s">
        <v>89</v>
      </c>
      <c r="C182" s="156" t="s">
        <v>90</v>
      </c>
      <c r="D182" s="156">
        <v>1</v>
      </c>
      <c r="E182" s="156">
        <v>131</v>
      </c>
      <c r="F182" s="396">
        <v>211.22</v>
      </c>
      <c r="G182" s="270" t="s">
        <v>20</v>
      </c>
      <c r="H182" s="502"/>
      <c r="I182" s="248">
        <v>-1.95</v>
      </c>
      <c r="J182" s="450">
        <v>-0.89012341618537905</v>
      </c>
      <c r="K182" s="492">
        <f t="shared" si="3"/>
        <v>21.118927802462512</v>
      </c>
      <c r="L182" s="395" t="s">
        <v>79</v>
      </c>
      <c r="M182" s="317" t="s">
        <v>74</v>
      </c>
      <c r="N182" s="317" t="s">
        <v>88</v>
      </c>
      <c r="O182" s="307" t="s">
        <v>35</v>
      </c>
      <c r="P182" s="314" t="s">
        <v>91</v>
      </c>
      <c r="Q182" s="501" t="s">
        <v>92</v>
      </c>
      <c r="R182" s="315" t="s">
        <v>86</v>
      </c>
      <c r="S182" s="176"/>
      <c r="T182" s="145"/>
      <c r="U182" s="145"/>
    </row>
    <row r="183" spans="1:21">
      <c r="A183" s="167">
        <v>1209</v>
      </c>
      <c r="B183" s="144" t="s">
        <v>89</v>
      </c>
      <c r="C183" s="156" t="s">
        <v>90</v>
      </c>
      <c r="D183" s="156">
        <v>1</v>
      </c>
      <c r="E183" s="156">
        <v>131</v>
      </c>
      <c r="F183" s="396">
        <v>211.22</v>
      </c>
      <c r="G183" s="270" t="s">
        <v>20</v>
      </c>
      <c r="H183" s="502"/>
      <c r="I183" s="248">
        <v>-1.91</v>
      </c>
      <c r="J183" s="450">
        <v>-0.89012341618537905</v>
      </c>
      <c r="K183" s="492">
        <f t="shared" si="3"/>
        <v>20.925840691059047</v>
      </c>
      <c r="L183" s="395" t="s">
        <v>79</v>
      </c>
      <c r="M183" s="317" t="s">
        <v>74</v>
      </c>
      <c r="N183" s="317" t="s">
        <v>88</v>
      </c>
      <c r="O183" s="307" t="s">
        <v>35</v>
      </c>
      <c r="P183" s="314" t="s">
        <v>91</v>
      </c>
      <c r="Q183" s="501" t="s">
        <v>92</v>
      </c>
      <c r="R183" s="315" t="s">
        <v>86</v>
      </c>
      <c r="S183" s="176"/>
      <c r="T183" s="145"/>
      <c r="U183" s="145"/>
    </row>
    <row r="184" spans="1:21">
      <c r="A184" s="167">
        <v>1209</v>
      </c>
      <c r="B184" s="144" t="s">
        <v>89</v>
      </c>
      <c r="C184" s="156" t="s">
        <v>90</v>
      </c>
      <c r="D184" s="156">
        <v>1</v>
      </c>
      <c r="E184" s="156">
        <v>132</v>
      </c>
      <c r="F184" s="396">
        <v>211.23</v>
      </c>
      <c r="G184" s="270" t="s">
        <v>20</v>
      </c>
      <c r="H184" s="502"/>
      <c r="I184" s="248">
        <v>-2.09</v>
      </c>
      <c r="J184" s="450">
        <v>-0.89012341618537905</v>
      </c>
      <c r="K184" s="492">
        <f t="shared" si="3"/>
        <v>21.797000692374642</v>
      </c>
      <c r="L184" s="395" t="s">
        <v>79</v>
      </c>
      <c r="M184" s="317" t="s">
        <v>74</v>
      </c>
      <c r="N184" s="317" t="s">
        <v>88</v>
      </c>
      <c r="O184" s="307" t="s">
        <v>35</v>
      </c>
      <c r="P184" s="314" t="s">
        <v>91</v>
      </c>
      <c r="Q184" s="501" t="s">
        <v>92</v>
      </c>
      <c r="R184" s="315" t="s">
        <v>86</v>
      </c>
      <c r="S184" s="176"/>
      <c r="T184" s="145"/>
      <c r="U184" s="145"/>
    </row>
    <row r="185" spans="1:21">
      <c r="A185" s="167">
        <v>1209</v>
      </c>
      <c r="B185" s="144" t="s">
        <v>89</v>
      </c>
      <c r="C185" s="156" t="s">
        <v>90</v>
      </c>
      <c r="D185" s="156">
        <v>1</v>
      </c>
      <c r="E185" s="156">
        <v>132</v>
      </c>
      <c r="F185" s="396">
        <v>211.23</v>
      </c>
      <c r="G185" s="270" t="s">
        <v>20</v>
      </c>
      <c r="H185" s="502"/>
      <c r="I185" s="248">
        <v>-2.0099999999999998</v>
      </c>
      <c r="J185" s="450">
        <v>-0.89012341618537905</v>
      </c>
      <c r="K185" s="492">
        <f t="shared" si="3"/>
        <v>21.409098469567709</v>
      </c>
      <c r="L185" s="395" t="s">
        <v>79</v>
      </c>
      <c r="M185" s="317" t="s">
        <v>74</v>
      </c>
      <c r="N185" s="317" t="s">
        <v>88</v>
      </c>
      <c r="O185" s="307" t="s">
        <v>35</v>
      </c>
      <c r="P185" s="314" t="s">
        <v>91</v>
      </c>
      <c r="Q185" s="501" t="s">
        <v>92</v>
      </c>
      <c r="R185" s="315" t="s">
        <v>86</v>
      </c>
      <c r="S185" s="176"/>
      <c r="T185" s="145"/>
      <c r="U185" s="145"/>
    </row>
    <row r="186" spans="1:21">
      <c r="A186" s="167">
        <v>1209</v>
      </c>
      <c r="B186" s="144" t="s">
        <v>89</v>
      </c>
      <c r="C186" s="156" t="s">
        <v>90</v>
      </c>
      <c r="D186" s="156">
        <v>1</v>
      </c>
      <c r="E186" s="156">
        <v>132</v>
      </c>
      <c r="F186" s="396">
        <v>211.23</v>
      </c>
      <c r="G186" s="270" t="s">
        <v>20</v>
      </c>
      <c r="H186" s="502"/>
      <c r="I186" s="248">
        <v>-1.93</v>
      </c>
      <c r="J186" s="450">
        <v>-0.89012341618537905</v>
      </c>
      <c r="K186" s="492">
        <f t="shared" si="3"/>
        <v>21.022348246760778</v>
      </c>
      <c r="L186" s="395" t="s">
        <v>79</v>
      </c>
      <c r="M186" s="317" t="s">
        <v>74</v>
      </c>
      <c r="N186" s="317" t="s">
        <v>88</v>
      </c>
      <c r="O186" s="307" t="s">
        <v>35</v>
      </c>
      <c r="P186" s="314" t="s">
        <v>91</v>
      </c>
      <c r="Q186" s="501" t="s">
        <v>92</v>
      </c>
      <c r="R186" s="315" t="s">
        <v>86</v>
      </c>
      <c r="S186" s="176"/>
      <c r="T186" s="145"/>
      <c r="U186" s="145"/>
    </row>
    <row r="187" spans="1:21">
      <c r="A187" s="167">
        <v>1209</v>
      </c>
      <c r="B187" s="144" t="s">
        <v>89</v>
      </c>
      <c r="C187" s="156" t="s">
        <v>90</v>
      </c>
      <c r="D187" s="156">
        <v>1</v>
      </c>
      <c r="E187" s="156">
        <v>132</v>
      </c>
      <c r="F187" s="396">
        <v>211.23</v>
      </c>
      <c r="G187" s="270" t="s">
        <v>20</v>
      </c>
      <c r="H187" s="502"/>
      <c r="I187" s="248">
        <v>-1.79</v>
      </c>
      <c r="J187" s="450">
        <v>-0.89012341618537905</v>
      </c>
      <c r="K187" s="492">
        <f t="shared" si="3"/>
        <v>20.34830735684865</v>
      </c>
      <c r="L187" s="395" t="s">
        <v>79</v>
      </c>
      <c r="M187" s="317" t="s">
        <v>74</v>
      </c>
      <c r="N187" s="317" t="s">
        <v>88</v>
      </c>
      <c r="O187" s="307" t="s">
        <v>35</v>
      </c>
      <c r="P187" s="314" t="s">
        <v>91</v>
      </c>
      <c r="Q187" s="501" t="s">
        <v>92</v>
      </c>
      <c r="R187" s="315" t="s">
        <v>86</v>
      </c>
      <c r="S187" s="176"/>
      <c r="T187" s="145"/>
      <c r="U187" s="145"/>
    </row>
    <row r="188" spans="1:21">
      <c r="A188" s="167">
        <v>1209</v>
      </c>
      <c r="B188" s="144" t="s">
        <v>89</v>
      </c>
      <c r="C188" s="156" t="s">
        <v>90</v>
      </c>
      <c r="D188" s="156">
        <v>1</v>
      </c>
      <c r="E188" s="156">
        <v>132</v>
      </c>
      <c r="F188" s="396">
        <v>211.23</v>
      </c>
      <c r="G188" s="270" t="s">
        <v>20</v>
      </c>
      <c r="H188" s="502"/>
      <c r="I188" s="248">
        <v>-1.77</v>
      </c>
      <c r="J188" s="450">
        <v>-0.89012341618537905</v>
      </c>
      <c r="K188" s="492">
        <f t="shared" si="3"/>
        <v>20.252303801146919</v>
      </c>
      <c r="L188" s="395" t="s">
        <v>79</v>
      </c>
      <c r="M188" s="317" t="s">
        <v>74</v>
      </c>
      <c r="N188" s="317" t="s">
        <v>88</v>
      </c>
      <c r="O188" s="307" t="s">
        <v>35</v>
      </c>
      <c r="P188" s="314" t="s">
        <v>91</v>
      </c>
      <c r="Q188" s="501" t="s">
        <v>92</v>
      </c>
      <c r="R188" s="315" t="s">
        <v>86</v>
      </c>
      <c r="S188" s="176"/>
      <c r="T188" s="145"/>
      <c r="U188" s="145"/>
    </row>
    <row r="189" spans="1:21">
      <c r="A189" s="167">
        <v>1209</v>
      </c>
      <c r="B189" s="144" t="s">
        <v>89</v>
      </c>
      <c r="C189" s="156" t="s">
        <v>90</v>
      </c>
      <c r="D189" s="156">
        <v>1</v>
      </c>
      <c r="E189" s="156">
        <v>132</v>
      </c>
      <c r="F189" s="396">
        <v>211.23</v>
      </c>
      <c r="G189" s="270" t="s">
        <v>20</v>
      </c>
      <c r="H189" s="502"/>
      <c r="I189" s="248">
        <v>-1.68</v>
      </c>
      <c r="J189" s="450">
        <v>-0.89012341618537905</v>
      </c>
      <c r="K189" s="492">
        <f t="shared" si="3"/>
        <v>19.821178800489122</v>
      </c>
      <c r="L189" s="395" t="s">
        <v>79</v>
      </c>
      <c r="M189" s="317" t="s">
        <v>74</v>
      </c>
      <c r="N189" s="317" t="s">
        <v>88</v>
      </c>
      <c r="O189" s="307" t="s">
        <v>35</v>
      </c>
      <c r="P189" s="314" t="s">
        <v>91</v>
      </c>
      <c r="Q189" s="501" t="s">
        <v>92</v>
      </c>
      <c r="R189" s="315" t="s">
        <v>86</v>
      </c>
      <c r="S189" s="176"/>
      <c r="T189" s="145"/>
      <c r="U189" s="145"/>
    </row>
    <row r="190" spans="1:21">
      <c r="A190" s="167">
        <v>1209</v>
      </c>
      <c r="B190" s="144" t="s">
        <v>89</v>
      </c>
      <c r="C190" s="156" t="s">
        <v>90</v>
      </c>
      <c r="D190" s="156">
        <v>1</v>
      </c>
      <c r="E190" s="156">
        <v>132</v>
      </c>
      <c r="F190" s="396">
        <v>211.23</v>
      </c>
      <c r="G190" s="270" t="s">
        <v>20</v>
      </c>
      <c r="H190" s="502"/>
      <c r="I190" s="248">
        <v>-1.58</v>
      </c>
      <c r="J190" s="450">
        <v>-0.89012341618537905</v>
      </c>
      <c r="K190" s="492">
        <f t="shared" si="3"/>
        <v>19.343861021980459</v>
      </c>
      <c r="L190" s="395" t="s">
        <v>79</v>
      </c>
      <c r="M190" s="317" t="s">
        <v>74</v>
      </c>
      <c r="N190" s="317" t="s">
        <v>88</v>
      </c>
      <c r="O190" s="307" t="s">
        <v>35</v>
      </c>
      <c r="P190" s="314" t="s">
        <v>91</v>
      </c>
      <c r="Q190" s="501" t="s">
        <v>92</v>
      </c>
      <c r="R190" s="315" t="s">
        <v>86</v>
      </c>
      <c r="S190" s="176"/>
      <c r="T190" s="145"/>
      <c r="U190" s="145"/>
    </row>
    <row r="191" spans="1:21">
      <c r="A191" s="167">
        <v>1209</v>
      </c>
      <c r="B191" s="144" t="s">
        <v>89</v>
      </c>
      <c r="C191" s="156" t="s">
        <v>90</v>
      </c>
      <c r="D191" s="156">
        <v>1</v>
      </c>
      <c r="E191" s="156">
        <v>133</v>
      </c>
      <c r="F191" s="396">
        <v>211.24</v>
      </c>
      <c r="G191" s="270" t="s">
        <v>20</v>
      </c>
      <c r="H191" s="502"/>
      <c r="I191" s="248">
        <v>-2.3199999999999998</v>
      </c>
      <c r="J191" s="450">
        <v>-0.89012341618537905</v>
      </c>
      <c r="K191" s="492">
        <f t="shared" si="3"/>
        <v>22.918636582944565</v>
      </c>
      <c r="L191" s="395" t="s">
        <v>79</v>
      </c>
      <c r="M191" s="317" t="s">
        <v>74</v>
      </c>
      <c r="N191" s="317" t="s">
        <v>88</v>
      </c>
      <c r="O191" s="307" t="s">
        <v>35</v>
      </c>
      <c r="P191" s="314" t="s">
        <v>91</v>
      </c>
      <c r="Q191" s="501" t="s">
        <v>92</v>
      </c>
      <c r="R191" s="315" t="s">
        <v>86</v>
      </c>
      <c r="S191" s="176"/>
      <c r="T191" s="145"/>
      <c r="U191" s="145"/>
    </row>
    <row r="192" spans="1:21">
      <c r="A192" s="167">
        <v>1209</v>
      </c>
      <c r="B192" s="144" t="s">
        <v>89</v>
      </c>
      <c r="C192" s="156" t="s">
        <v>90</v>
      </c>
      <c r="D192" s="156">
        <v>1</v>
      </c>
      <c r="E192" s="156">
        <v>133</v>
      </c>
      <c r="F192" s="396">
        <v>211.24</v>
      </c>
      <c r="G192" s="270" t="s">
        <v>20</v>
      </c>
      <c r="H192" s="502"/>
      <c r="I192" s="248">
        <v>-2.16</v>
      </c>
      <c r="J192" s="450">
        <v>-0.89012341618537905</v>
      </c>
      <c r="K192" s="492">
        <f t="shared" si="3"/>
        <v>22.137360137330706</v>
      </c>
      <c r="L192" s="395" t="s">
        <v>79</v>
      </c>
      <c r="M192" s="317" t="s">
        <v>74</v>
      </c>
      <c r="N192" s="317" t="s">
        <v>88</v>
      </c>
      <c r="O192" s="307" t="s">
        <v>35</v>
      </c>
      <c r="P192" s="314" t="s">
        <v>91</v>
      </c>
      <c r="Q192" s="501" t="s">
        <v>92</v>
      </c>
      <c r="R192" s="315" t="s">
        <v>86</v>
      </c>
      <c r="S192" s="176"/>
      <c r="T192" s="145"/>
      <c r="U192" s="145"/>
    </row>
    <row r="193" spans="1:21">
      <c r="A193" s="167">
        <v>1209</v>
      </c>
      <c r="B193" s="144" t="s">
        <v>89</v>
      </c>
      <c r="C193" s="156" t="s">
        <v>90</v>
      </c>
      <c r="D193" s="156">
        <v>1</v>
      </c>
      <c r="E193" s="156">
        <v>133</v>
      </c>
      <c r="F193" s="396">
        <v>211.24</v>
      </c>
      <c r="G193" s="270" t="s">
        <v>20</v>
      </c>
      <c r="H193" s="502"/>
      <c r="I193" s="248">
        <v>-2.14</v>
      </c>
      <c r="J193" s="450">
        <v>-0.89012341618537905</v>
      </c>
      <c r="K193" s="492">
        <f t="shared" si="3"/>
        <v>22.04002458162897</v>
      </c>
      <c r="L193" s="395" t="s">
        <v>79</v>
      </c>
      <c r="M193" s="317" t="s">
        <v>74</v>
      </c>
      <c r="N193" s="317" t="s">
        <v>88</v>
      </c>
      <c r="O193" s="307" t="s">
        <v>35</v>
      </c>
      <c r="P193" s="314" t="s">
        <v>91</v>
      </c>
      <c r="Q193" s="501" t="s">
        <v>92</v>
      </c>
      <c r="R193" s="315" t="s">
        <v>86</v>
      </c>
      <c r="S193" s="176"/>
      <c r="T193" s="145"/>
      <c r="U193" s="145"/>
    </row>
    <row r="194" spans="1:21">
      <c r="A194" s="167">
        <v>1209</v>
      </c>
      <c r="B194" s="144" t="s">
        <v>89</v>
      </c>
      <c r="C194" s="156" t="s">
        <v>90</v>
      </c>
      <c r="D194" s="156">
        <v>1</v>
      </c>
      <c r="E194" s="156">
        <v>133</v>
      </c>
      <c r="F194" s="396">
        <v>211.24</v>
      </c>
      <c r="G194" s="270" t="s">
        <v>20</v>
      </c>
      <c r="H194" s="502"/>
      <c r="I194" s="248">
        <v>-1.96</v>
      </c>
      <c r="J194" s="450">
        <v>-0.89012341618537905</v>
      </c>
      <c r="K194" s="492">
        <f t="shared" si="3"/>
        <v>21.167244580313376</v>
      </c>
      <c r="L194" s="395" t="s">
        <v>79</v>
      </c>
      <c r="M194" s="317" t="s">
        <v>74</v>
      </c>
      <c r="N194" s="317" t="s">
        <v>88</v>
      </c>
      <c r="O194" s="307" t="s">
        <v>35</v>
      </c>
      <c r="P194" s="314" t="s">
        <v>91</v>
      </c>
      <c r="Q194" s="501" t="s">
        <v>92</v>
      </c>
      <c r="R194" s="315" t="s">
        <v>86</v>
      </c>
      <c r="S194" s="176"/>
      <c r="T194" s="145"/>
      <c r="U194" s="145"/>
    </row>
    <row r="195" spans="1:21">
      <c r="A195" s="167">
        <v>1209</v>
      </c>
      <c r="B195" s="144" t="s">
        <v>89</v>
      </c>
      <c r="C195" s="156" t="s">
        <v>90</v>
      </c>
      <c r="D195" s="156">
        <v>1</v>
      </c>
      <c r="E195" s="156">
        <v>133</v>
      </c>
      <c r="F195" s="396">
        <v>211.24</v>
      </c>
      <c r="G195" s="270" t="s">
        <v>20</v>
      </c>
      <c r="H195" s="502"/>
      <c r="I195" s="248">
        <v>-1.94</v>
      </c>
      <c r="J195" s="450">
        <v>-0.89012341618537905</v>
      </c>
      <c r="K195" s="492">
        <f t="shared" si="3"/>
        <v>21.070629024611645</v>
      </c>
      <c r="L195" s="395" t="s">
        <v>79</v>
      </c>
      <c r="M195" s="317" t="s">
        <v>74</v>
      </c>
      <c r="N195" s="317" t="s">
        <v>88</v>
      </c>
      <c r="O195" s="307" t="s">
        <v>35</v>
      </c>
      <c r="P195" s="314" t="s">
        <v>91</v>
      </c>
      <c r="Q195" s="501" t="s">
        <v>92</v>
      </c>
      <c r="R195" s="315" t="s">
        <v>86</v>
      </c>
      <c r="S195" s="176"/>
      <c r="T195" s="145"/>
      <c r="U195" s="145"/>
    </row>
    <row r="196" spans="1:21">
      <c r="A196" s="167">
        <v>1209</v>
      </c>
      <c r="B196" s="144" t="s">
        <v>89</v>
      </c>
      <c r="C196" s="156" t="s">
        <v>90</v>
      </c>
      <c r="D196" s="156">
        <v>1</v>
      </c>
      <c r="E196" s="156">
        <v>133</v>
      </c>
      <c r="F196" s="396">
        <v>211.24</v>
      </c>
      <c r="G196" s="270" t="s">
        <v>20</v>
      </c>
      <c r="H196" s="502"/>
      <c r="I196" s="248">
        <v>-1.93</v>
      </c>
      <c r="J196" s="450">
        <v>-0.89012341618537905</v>
      </c>
      <c r="K196" s="492">
        <f t="shared" si="3"/>
        <v>21.022348246760778</v>
      </c>
      <c r="L196" s="395" t="s">
        <v>79</v>
      </c>
      <c r="M196" s="317" t="s">
        <v>74</v>
      </c>
      <c r="N196" s="317" t="s">
        <v>88</v>
      </c>
      <c r="O196" s="307" t="s">
        <v>35</v>
      </c>
      <c r="P196" s="314" t="s">
        <v>91</v>
      </c>
      <c r="Q196" s="501" t="s">
        <v>92</v>
      </c>
      <c r="R196" s="315" t="s">
        <v>86</v>
      </c>
      <c r="S196" s="176"/>
      <c r="T196" s="145"/>
      <c r="U196" s="145"/>
    </row>
    <row r="197" spans="1:21">
      <c r="A197" s="167">
        <v>1209</v>
      </c>
      <c r="B197" s="144" t="s">
        <v>89</v>
      </c>
      <c r="C197" s="156" t="s">
        <v>90</v>
      </c>
      <c r="D197" s="156">
        <v>1</v>
      </c>
      <c r="E197" s="156">
        <v>133</v>
      </c>
      <c r="F197" s="396">
        <v>211.24</v>
      </c>
      <c r="G197" s="270" t="s">
        <v>20</v>
      </c>
      <c r="H197" s="502"/>
      <c r="I197" s="248">
        <v>-1.85</v>
      </c>
      <c r="J197" s="450">
        <v>-0.89012341618537905</v>
      </c>
      <c r="K197" s="492">
        <f t="shared" si="3"/>
        <v>20.636750023953851</v>
      </c>
      <c r="L197" s="395" t="s">
        <v>79</v>
      </c>
      <c r="M197" s="317" t="s">
        <v>74</v>
      </c>
      <c r="N197" s="317" t="s">
        <v>88</v>
      </c>
      <c r="O197" s="307" t="s">
        <v>35</v>
      </c>
      <c r="P197" s="314" t="s">
        <v>91</v>
      </c>
      <c r="Q197" s="501" t="s">
        <v>92</v>
      </c>
      <c r="R197" s="315" t="s">
        <v>86</v>
      </c>
      <c r="S197" s="176"/>
      <c r="T197" s="145"/>
      <c r="U197" s="145"/>
    </row>
    <row r="198" spans="1:21">
      <c r="A198" s="167">
        <v>1209</v>
      </c>
      <c r="B198" s="144" t="s">
        <v>89</v>
      </c>
      <c r="C198" s="156" t="s">
        <v>90</v>
      </c>
      <c r="D198" s="156">
        <v>1</v>
      </c>
      <c r="E198" s="156">
        <v>133</v>
      </c>
      <c r="F198" s="396">
        <v>211.24</v>
      </c>
      <c r="G198" s="270" t="s">
        <v>20</v>
      </c>
      <c r="H198" s="502"/>
      <c r="I198" s="248">
        <v>-1.83</v>
      </c>
      <c r="J198" s="450">
        <v>-0.89012341618537905</v>
      </c>
      <c r="K198" s="492">
        <f t="shared" si="3"/>
        <v>20.540530468252118</v>
      </c>
      <c r="L198" s="395" t="s">
        <v>79</v>
      </c>
      <c r="M198" s="317" t="s">
        <v>74</v>
      </c>
      <c r="N198" s="317" t="s">
        <v>88</v>
      </c>
      <c r="O198" s="307" t="s">
        <v>35</v>
      </c>
      <c r="P198" s="314" t="s">
        <v>91</v>
      </c>
      <c r="Q198" s="501" t="s">
        <v>92</v>
      </c>
      <c r="R198" s="315" t="s">
        <v>86</v>
      </c>
      <c r="S198" s="176"/>
      <c r="T198" s="145"/>
      <c r="U198" s="145"/>
    </row>
    <row r="199" spans="1:21">
      <c r="A199" s="167">
        <v>1209</v>
      </c>
      <c r="B199" s="144" t="s">
        <v>89</v>
      </c>
      <c r="C199" s="156" t="s">
        <v>90</v>
      </c>
      <c r="D199" s="156">
        <v>1</v>
      </c>
      <c r="E199" s="156">
        <v>134</v>
      </c>
      <c r="F199" s="248">
        <v>211.25</v>
      </c>
      <c r="G199" s="270" t="s">
        <v>32</v>
      </c>
      <c r="H199" s="502"/>
      <c r="I199" s="248">
        <v>-1.97</v>
      </c>
      <c r="J199" s="450">
        <v>-0.89012341618537905</v>
      </c>
      <c r="K199" s="491">
        <f t="shared" si="3"/>
        <v>21.215579358164245</v>
      </c>
      <c r="L199" s="395" t="s">
        <v>79</v>
      </c>
      <c r="M199" s="317" t="s">
        <v>74</v>
      </c>
      <c r="N199" s="317" t="s">
        <v>88</v>
      </c>
      <c r="O199" s="307" t="s">
        <v>35</v>
      </c>
      <c r="P199" s="314" t="s">
        <v>91</v>
      </c>
      <c r="Q199" s="501" t="s">
        <v>92</v>
      </c>
      <c r="R199" s="315" t="s">
        <v>86</v>
      </c>
      <c r="S199" s="176"/>
      <c r="T199" s="145"/>
      <c r="U199" s="145"/>
    </row>
    <row r="200" spans="1:21">
      <c r="A200" s="167">
        <v>1209</v>
      </c>
      <c r="B200" s="144" t="s">
        <v>89</v>
      </c>
      <c r="C200" s="156" t="s">
        <v>90</v>
      </c>
      <c r="D200" s="156">
        <v>1</v>
      </c>
      <c r="E200" s="156">
        <v>134</v>
      </c>
      <c r="F200" s="248">
        <v>211.25</v>
      </c>
      <c r="G200" s="270" t="s">
        <v>32</v>
      </c>
      <c r="H200" s="502"/>
      <c r="I200" s="248">
        <v>-1.9</v>
      </c>
      <c r="J200" s="450">
        <v>-0.89012341618537905</v>
      </c>
      <c r="K200" s="491">
        <f t="shared" si="3"/>
        <v>20.877613913208183</v>
      </c>
      <c r="L200" s="395" t="s">
        <v>79</v>
      </c>
      <c r="M200" s="317" t="s">
        <v>74</v>
      </c>
      <c r="N200" s="317" t="s">
        <v>88</v>
      </c>
      <c r="O200" s="307" t="s">
        <v>35</v>
      </c>
      <c r="P200" s="314" t="s">
        <v>91</v>
      </c>
      <c r="Q200" s="501" t="s">
        <v>92</v>
      </c>
      <c r="R200" s="315" t="s">
        <v>86</v>
      </c>
      <c r="S200" s="176"/>
      <c r="T200" s="145"/>
      <c r="U200" s="145"/>
    </row>
    <row r="201" spans="1:21">
      <c r="A201" s="167">
        <v>1209</v>
      </c>
      <c r="B201" s="144" t="s">
        <v>89</v>
      </c>
      <c r="C201" s="156" t="s">
        <v>90</v>
      </c>
      <c r="D201" s="156">
        <v>1</v>
      </c>
      <c r="E201" s="156">
        <v>134</v>
      </c>
      <c r="F201" s="248">
        <v>211.25</v>
      </c>
      <c r="G201" s="270" t="s">
        <v>32</v>
      </c>
      <c r="H201" s="502"/>
      <c r="I201" s="248">
        <v>-1.89</v>
      </c>
      <c r="J201" s="450">
        <v>-0.89012341618537905</v>
      </c>
      <c r="K201" s="491">
        <f t="shared" si="3"/>
        <v>20.829405135357312</v>
      </c>
      <c r="L201" s="395" t="s">
        <v>79</v>
      </c>
      <c r="M201" s="317" t="s">
        <v>74</v>
      </c>
      <c r="N201" s="317" t="s">
        <v>88</v>
      </c>
      <c r="O201" s="307" t="s">
        <v>35</v>
      </c>
      <c r="P201" s="314" t="s">
        <v>91</v>
      </c>
      <c r="Q201" s="501" t="s">
        <v>92</v>
      </c>
      <c r="R201" s="315" t="s">
        <v>86</v>
      </c>
      <c r="S201" s="176"/>
      <c r="T201" s="145"/>
      <c r="U201" s="145"/>
    </row>
    <row r="202" spans="1:21">
      <c r="A202" s="167">
        <v>1209</v>
      </c>
      <c r="B202" s="144" t="s">
        <v>89</v>
      </c>
      <c r="C202" s="156" t="s">
        <v>90</v>
      </c>
      <c r="D202" s="156">
        <v>1</v>
      </c>
      <c r="E202" s="156">
        <v>134</v>
      </c>
      <c r="F202" s="248">
        <v>211.25</v>
      </c>
      <c r="G202" s="270" t="s">
        <v>32</v>
      </c>
      <c r="H202" s="502"/>
      <c r="I202" s="248">
        <v>-1.88</v>
      </c>
      <c r="J202" s="450">
        <v>-0.89012341618537905</v>
      </c>
      <c r="K202" s="491">
        <f t="shared" si="3"/>
        <v>20.78121435750645</v>
      </c>
      <c r="L202" s="395" t="s">
        <v>79</v>
      </c>
      <c r="M202" s="317" t="s">
        <v>74</v>
      </c>
      <c r="N202" s="317" t="s">
        <v>88</v>
      </c>
      <c r="O202" s="307" t="s">
        <v>35</v>
      </c>
      <c r="P202" s="314" t="s">
        <v>91</v>
      </c>
      <c r="Q202" s="501" t="s">
        <v>92</v>
      </c>
      <c r="R202" s="315" t="s">
        <v>86</v>
      </c>
      <c r="S202" s="176"/>
      <c r="T202" s="145"/>
      <c r="U202" s="145"/>
    </row>
    <row r="203" spans="1:21">
      <c r="A203" s="167">
        <v>1209</v>
      </c>
      <c r="B203" s="144" t="s">
        <v>89</v>
      </c>
      <c r="C203" s="156" t="s">
        <v>90</v>
      </c>
      <c r="D203" s="156">
        <v>1</v>
      </c>
      <c r="E203" s="156">
        <v>134</v>
      </c>
      <c r="F203" s="248">
        <v>211.25</v>
      </c>
      <c r="G203" s="270" t="s">
        <v>32</v>
      </c>
      <c r="H203" s="502"/>
      <c r="I203" s="248">
        <v>-1.86</v>
      </c>
      <c r="J203" s="450">
        <v>-0.89012341618537905</v>
      </c>
      <c r="K203" s="491">
        <f t="shared" si="3"/>
        <v>20.684886801804716</v>
      </c>
      <c r="L203" s="395" t="s">
        <v>79</v>
      </c>
      <c r="M203" s="317" t="s">
        <v>74</v>
      </c>
      <c r="N203" s="317" t="s">
        <v>88</v>
      </c>
      <c r="O203" s="307" t="s">
        <v>35</v>
      </c>
      <c r="P203" s="314" t="s">
        <v>91</v>
      </c>
      <c r="Q203" s="501" t="s">
        <v>92</v>
      </c>
      <c r="R203" s="315" t="s">
        <v>86</v>
      </c>
      <c r="S203" s="176"/>
      <c r="T203" s="145"/>
      <c r="U203" s="145"/>
    </row>
    <row r="204" spans="1:21">
      <c r="A204" s="167">
        <v>1209</v>
      </c>
      <c r="B204" s="144" t="s">
        <v>89</v>
      </c>
      <c r="C204" s="156" t="s">
        <v>90</v>
      </c>
      <c r="D204" s="156">
        <v>1</v>
      </c>
      <c r="E204" s="156">
        <v>134</v>
      </c>
      <c r="F204" s="248">
        <v>211.25</v>
      </c>
      <c r="G204" s="270" t="s">
        <v>32</v>
      </c>
      <c r="H204" s="502"/>
      <c r="I204" s="248">
        <v>-1.86</v>
      </c>
      <c r="J204" s="450">
        <v>-0.89012341618537905</v>
      </c>
      <c r="K204" s="491">
        <f t="shared" si="3"/>
        <v>20.684886801804716</v>
      </c>
      <c r="L204" s="395" t="s">
        <v>79</v>
      </c>
      <c r="M204" s="317" t="s">
        <v>74</v>
      </c>
      <c r="N204" s="317" t="s">
        <v>88</v>
      </c>
      <c r="O204" s="307" t="s">
        <v>35</v>
      </c>
      <c r="P204" s="314" t="s">
        <v>91</v>
      </c>
      <c r="Q204" s="501" t="s">
        <v>92</v>
      </c>
      <c r="R204" s="315" t="s">
        <v>86</v>
      </c>
      <c r="S204" s="176"/>
      <c r="T204" s="145"/>
      <c r="U204" s="145"/>
    </row>
    <row r="205" spans="1:21">
      <c r="A205" s="167">
        <v>1209</v>
      </c>
      <c r="B205" s="144" t="s">
        <v>89</v>
      </c>
      <c r="C205" s="156" t="s">
        <v>90</v>
      </c>
      <c r="D205" s="156">
        <v>1</v>
      </c>
      <c r="E205" s="156">
        <v>134</v>
      </c>
      <c r="F205" s="248">
        <v>211.25</v>
      </c>
      <c r="G205" s="270" t="s">
        <v>32</v>
      </c>
      <c r="H205" s="502"/>
      <c r="I205" s="248">
        <v>-1.71</v>
      </c>
      <c r="J205" s="450">
        <v>-0.89012341618537905</v>
      </c>
      <c r="K205" s="491">
        <f t="shared" si="3"/>
        <v>19.964725134041718</v>
      </c>
      <c r="L205" s="395" t="s">
        <v>79</v>
      </c>
      <c r="M205" s="317" t="s">
        <v>74</v>
      </c>
      <c r="N205" s="317" t="s">
        <v>88</v>
      </c>
      <c r="O205" s="307" t="s">
        <v>35</v>
      </c>
      <c r="P205" s="314" t="s">
        <v>91</v>
      </c>
      <c r="Q205" s="501" t="s">
        <v>92</v>
      </c>
      <c r="R205" s="315" t="s">
        <v>86</v>
      </c>
      <c r="S205" s="176"/>
      <c r="T205" s="145"/>
      <c r="U205" s="145"/>
    </row>
    <row r="206" spans="1:21">
      <c r="A206" s="167">
        <v>1209</v>
      </c>
      <c r="B206" s="144" t="s">
        <v>89</v>
      </c>
      <c r="C206" s="156" t="s">
        <v>90</v>
      </c>
      <c r="D206" s="156">
        <v>1</v>
      </c>
      <c r="E206" s="156">
        <v>135</v>
      </c>
      <c r="F206" s="248">
        <v>211.26</v>
      </c>
      <c r="G206" s="270" t="s">
        <v>32</v>
      </c>
      <c r="H206" s="502"/>
      <c r="I206" s="248">
        <v>-1.82</v>
      </c>
      <c r="J206" s="450">
        <v>-0.89012341618537905</v>
      </c>
      <c r="K206" s="491">
        <f t="shared" ref="K206:K231" si="4">16.1-4.64*($I206-J206)+0.09*($I206-J206)^2</f>
        <v>20.492447690401249</v>
      </c>
      <c r="L206" s="395" t="s">
        <v>79</v>
      </c>
      <c r="M206" s="317" t="s">
        <v>74</v>
      </c>
      <c r="N206" s="317" t="s">
        <v>88</v>
      </c>
      <c r="O206" s="307" t="s">
        <v>35</v>
      </c>
      <c r="P206" s="314" t="s">
        <v>91</v>
      </c>
      <c r="Q206" s="501" t="s">
        <v>92</v>
      </c>
      <c r="R206" s="315" t="s">
        <v>86</v>
      </c>
      <c r="S206" s="176"/>
      <c r="T206" s="145"/>
      <c r="U206" s="145"/>
    </row>
    <row r="207" spans="1:21">
      <c r="A207" s="167">
        <v>1209</v>
      </c>
      <c r="B207" s="144" t="s">
        <v>89</v>
      </c>
      <c r="C207" s="156" t="s">
        <v>90</v>
      </c>
      <c r="D207" s="156">
        <v>1</v>
      </c>
      <c r="E207" s="156">
        <v>135</v>
      </c>
      <c r="F207" s="248">
        <v>211.26</v>
      </c>
      <c r="G207" s="270" t="s">
        <v>32</v>
      </c>
      <c r="H207" s="502"/>
      <c r="I207" s="248">
        <v>-1.79</v>
      </c>
      <c r="J207" s="450">
        <v>-0.89012341618537905</v>
      </c>
      <c r="K207" s="491">
        <f t="shared" si="4"/>
        <v>20.34830735684865</v>
      </c>
      <c r="L207" s="395" t="s">
        <v>79</v>
      </c>
      <c r="M207" s="317" t="s">
        <v>74</v>
      </c>
      <c r="N207" s="317" t="s">
        <v>88</v>
      </c>
      <c r="O207" s="307" t="s">
        <v>35</v>
      </c>
      <c r="P207" s="314" t="s">
        <v>91</v>
      </c>
      <c r="Q207" s="501" t="s">
        <v>92</v>
      </c>
      <c r="R207" s="315" t="s">
        <v>86</v>
      </c>
      <c r="S207" s="176"/>
      <c r="T207" s="145"/>
      <c r="U207" s="145"/>
    </row>
    <row r="208" spans="1:21">
      <c r="A208" s="167">
        <v>1209</v>
      </c>
      <c r="B208" s="144" t="s">
        <v>89</v>
      </c>
      <c r="C208" s="156" t="s">
        <v>90</v>
      </c>
      <c r="D208" s="156">
        <v>1</v>
      </c>
      <c r="E208" s="156">
        <v>135</v>
      </c>
      <c r="F208" s="248">
        <v>211.26</v>
      </c>
      <c r="G208" s="270" t="s">
        <v>32</v>
      </c>
      <c r="H208" s="502"/>
      <c r="I208" s="248">
        <v>-1.66</v>
      </c>
      <c r="J208" s="450">
        <v>-0.89012341618537905</v>
      </c>
      <c r="K208" s="491">
        <f t="shared" si="4"/>
        <v>19.725571244787389</v>
      </c>
      <c r="L208" s="395" t="s">
        <v>79</v>
      </c>
      <c r="M208" s="317" t="s">
        <v>74</v>
      </c>
      <c r="N208" s="317" t="s">
        <v>88</v>
      </c>
      <c r="O208" s="307" t="s">
        <v>35</v>
      </c>
      <c r="P208" s="314" t="s">
        <v>91</v>
      </c>
      <c r="Q208" s="501" t="s">
        <v>92</v>
      </c>
      <c r="R208" s="315" t="s">
        <v>86</v>
      </c>
      <c r="S208" s="176"/>
      <c r="T208" s="145"/>
      <c r="U208" s="145"/>
    </row>
    <row r="209" spans="1:21">
      <c r="A209" s="167">
        <v>1209</v>
      </c>
      <c r="B209" s="144" t="s">
        <v>89</v>
      </c>
      <c r="C209" s="156" t="s">
        <v>90</v>
      </c>
      <c r="D209" s="156">
        <v>1</v>
      </c>
      <c r="E209" s="156">
        <v>135</v>
      </c>
      <c r="F209" s="248">
        <v>211.26</v>
      </c>
      <c r="G209" s="270" t="s">
        <v>32</v>
      </c>
      <c r="H209" s="502"/>
      <c r="I209" s="248">
        <v>-1.56</v>
      </c>
      <c r="J209" s="450">
        <v>-0.89012341618537905</v>
      </c>
      <c r="K209" s="491">
        <f t="shared" si="4"/>
        <v>19.248613466278726</v>
      </c>
      <c r="L209" s="395" t="s">
        <v>79</v>
      </c>
      <c r="M209" s="317" t="s">
        <v>74</v>
      </c>
      <c r="N209" s="317" t="s">
        <v>88</v>
      </c>
      <c r="O209" s="307" t="s">
        <v>35</v>
      </c>
      <c r="P209" s="314" t="s">
        <v>91</v>
      </c>
      <c r="Q209" s="501" t="s">
        <v>92</v>
      </c>
      <c r="R209" s="315" t="s">
        <v>86</v>
      </c>
      <c r="S209" s="176"/>
      <c r="T209" s="145"/>
      <c r="U209" s="145"/>
    </row>
    <row r="210" spans="1:21">
      <c r="A210" s="167">
        <v>1209</v>
      </c>
      <c r="B210" s="144" t="s">
        <v>89</v>
      </c>
      <c r="C210" s="156" t="s">
        <v>90</v>
      </c>
      <c r="D210" s="156">
        <v>1</v>
      </c>
      <c r="E210" s="156">
        <v>136</v>
      </c>
      <c r="F210" s="396">
        <v>211.27</v>
      </c>
      <c r="G210" s="270" t="s">
        <v>196</v>
      </c>
      <c r="H210" s="502"/>
      <c r="I210" s="248">
        <v>-1.64</v>
      </c>
      <c r="J210" s="450">
        <v>-0.89012341618537905</v>
      </c>
      <c r="K210" s="494">
        <f t="shared" si="4"/>
        <v>19.630035689085656</v>
      </c>
      <c r="L210" s="395" t="s">
        <v>79</v>
      </c>
      <c r="M210" s="317" t="s">
        <v>74</v>
      </c>
      <c r="N210" s="317" t="s">
        <v>88</v>
      </c>
      <c r="O210" s="307" t="s">
        <v>35</v>
      </c>
      <c r="P210" s="314" t="s">
        <v>91</v>
      </c>
      <c r="Q210" s="501" t="s">
        <v>92</v>
      </c>
      <c r="R210" s="315" t="s">
        <v>86</v>
      </c>
      <c r="S210" s="176" t="s">
        <v>754</v>
      </c>
      <c r="T210" s="145"/>
      <c r="U210" s="145"/>
    </row>
    <row r="211" spans="1:21">
      <c r="A211" s="167">
        <v>1209</v>
      </c>
      <c r="B211" s="144" t="s">
        <v>89</v>
      </c>
      <c r="C211" s="156" t="s">
        <v>90</v>
      </c>
      <c r="D211" s="156">
        <v>1</v>
      </c>
      <c r="E211" s="156">
        <v>136</v>
      </c>
      <c r="F211" s="396">
        <v>211.27</v>
      </c>
      <c r="G211" s="270" t="s">
        <v>196</v>
      </c>
      <c r="H211" s="502"/>
      <c r="I211" s="248">
        <v>-1.61</v>
      </c>
      <c r="J211" s="450">
        <v>-0.89012341618537905</v>
      </c>
      <c r="K211" s="494">
        <f t="shared" si="4"/>
        <v>19.486867355533057</v>
      </c>
      <c r="L211" s="395" t="s">
        <v>79</v>
      </c>
      <c r="M211" s="317" t="s">
        <v>74</v>
      </c>
      <c r="N211" s="317" t="s">
        <v>88</v>
      </c>
      <c r="O211" s="307" t="s">
        <v>35</v>
      </c>
      <c r="P211" s="314" t="s">
        <v>91</v>
      </c>
      <c r="Q211" s="501" t="s">
        <v>92</v>
      </c>
      <c r="R211" s="315" t="s">
        <v>86</v>
      </c>
      <c r="S211" s="176" t="s">
        <v>754</v>
      </c>
      <c r="T211" s="145"/>
      <c r="U211" s="145"/>
    </row>
    <row r="212" spans="1:21">
      <c r="A212" s="167">
        <v>1209</v>
      </c>
      <c r="B212" s="144" t="s">
        <v>89</v>
      </c>
      <c r="C212" s="156" t="s">
        <v>90</v>
      </c>
      <c r="D212" s="156">
        <v>1</v>
      </c>
      <c r="E212" s="156">
        <v>136</v>
      </c>
      <c r="F212" s="396">
        <v>211.27</v>
      </c>
      <c r="G212" s="270" t="s">
        <v>196</v>
      </c>
      <c r="H212" s="502"/>
      <c r="I212" s="248">
        <v>-1.47</v>
      </c>
      <c r="J212" s="450">
        <v>-0.89012341618537905</v>
      </c>
      <c r="K212" s="494">
        <f t="shared" si="4"/>
        <v>18.820890465620931</v>
      </c>
      <c r="L212" s="395" t="s">
        <v>79</v>
      </c>
      <c r="M212" s="317" t="s">
        <v>74</v>
      </c>
      <c r="N212" s="317" t="s">
        <v>88</v>
      </c>
      <c r="O212" s="307" t="s">
        <v>35</v>
      </c>
      <c r="P212" s="314" t="s">
        <v>91</v>
      </c>
      <c r="Q212" s="501" t="s">
        <v>92</v>
      </c>
      <c r="R212" s="315" t="s">
        <v>86</v>
      </c>
      <c r="S212" s="176" t="s">
        <v>754</v>
      </c>
      <c r="T212" s="145"/>
      <c r="U212" s="145"/>
    </row>
    <row r="213" spans="1:21">
      <c r="A213" s="167">
        <v>1209</v>
      </c>
      <c r="B213" s="144" t="s">
        <v>89</v>
      </c>
      <c r="C213" s="156" t="s">
        <v>90</v>
      </c>
      <c r="D213" s="156">
        <v>1</v>
      </c>
      <c r="E213" s="156">
        <v>136</v>
      </c>
      <c r="F213" s="396">
        <v>211.27</v>
      </c>
      <c r="G213" s="270" t="s">
        <v>196</v>
      </c>
      <c r="H213" s="502"/>
      <c r="I213" s="248">
        <v>-1.24</v>
      </c>
      <c r="J213" s="450">
        <v>-0.89012341618537905</v>
      </c>
      <c r="K213" s="494">
        <f t="shared" si="4"/>
        <v>17.734444575051004</v>
      </c>
      <c r="L213" s="395" t="s">
        <v>79</v>
      </c>
      <c r="M213" s="317" t="s">
        <v>74</v>
      </c>
      <c r="N213" s="317" t="s">
        <v>88</v>
      </c>
      <c r="O213" s="307" t="s">
        <v>35</v>
      </c>
      <c r="P213" s="314" t="s">
        <v>91</v>
      </c>
      <c r="Q213" s="501" t="s">
        <v>92</v>
      </c>
      <c r="R213" s="315" t="s">
        <v>86</v>
      </c>
      <c r="S213" s="176" t="s">
        <v>754</v>
      </c>
      <c r="T213" s="145"/>
      <c r="U213" s="145"/>
    </row>
    <row r="214" spans="1:21">
      <c r="A214" s="167">
        <v>1209</v>
      </c>
      <c r="B214" s="144" t="s">
        <v>89</v>
      </c>
      <c r="C214" s="156" t="s">
        <v>90</v>
      </c>
      <c r="D214" s="156">
        <v>1</v>
      </c>
      <c r="E214" s="156">
        <v>137</v>
      </c>
      <c r="F214" s="396">
        <v>211.28</v>
      </c>
      <c r="G214" s="270" t="s">
        <v>196</v>
      </c>
      <c r="H214" s="502"/>
      <c r="I214" s="248">
        <v>-1.58</v>
      </c>
      <c r="J214" s="450">
        <v>-0.89012341618537905</v>
      </c>
      <c r="K214" s="494">
        <f t="shared" si="4"/>
        <v>19.343861021980459</v>
      </c>
      <c r="L214" s="395" t="s">
        <v>79</v>
      </c>
      <c r="M214" s="317" t="s">
        <v>74</v>
      </c>
      <c r="N214" s="317" t="s">
        <v>88</v>
      </c>
      <c r="O214" s="307" t="s">
        <v>35</v>
      </c>
      <c r="P214" s="314" t="s">
        <v>91</v>
      </c>
      <c r="Q214" s="501" t="s">
        <v>92</v>
      </c>
      <c r="R214" s="315" t="s">
        <v>86</v>
      </c>
      <c r="S214" s="176" t="s">
        <v>754</v>
      </c>
      <c r="T214" s="145"/>
      <c r="U214" s="145"/>
    </row>
    <row r="215" spans="1:21">
      <c r="A215" s="167">
        <v>1209</v>
      </c>
      <c r="B215" s="144" t="s">
        <v>89</v>
      </c>
      <c r="C215" s="156" t="s">
        <v>90</v>
      </c>
      <c r="D215" s="156">
        <v>1</v>
      </c>
      <c r="E215" s="156">
        <v>137</v>
      </c>
      <c r="F215" s="396">
        <v>211.28</v>
      </c>
      <c r="G215" s="270" t="s">
        <v>196</v>
      </c>
      <c r="H215" s="502"/>
      <c r="I215" s="248">
        <v>-1.31</v>
      </c>
      <c r="J215" s="450">
        <v>-0.89012341618537905</v>
      </c>
      <c r="K215" s="494">
        <f t="shared" si="4"/>
        <v>18.064094020007069</v>
      </c>
      <c r="L215" s="395" t="s">
        <v>79</v>
      </c>
      <c r="M215" s="317" t="s">
        <v>74</v>
      </c>
      <c r="N215" s="317" t="s">
        <v>88</v>
      </c>
      <c r="O215" s="307" t="s">
        <v>35</v>
      </c>
      <c r="P215" s="314" t="s">
        <v>91</v>
      </c>
      <c r="Q215" s="501" t="s">
        <v>92</v>
      </c>
      <c r="R215" s="315" t="s">
        <v>86</v>
      </c>
      <c r="S215" s="176" t="s">
        <v>754</v>
      </c>
      <c r="T215" s="145"/>
      <c r="U215" s="145"/>
    </row>
    <row r="216" spans="1:21">
      <c r="A216" s="167">
        <v>1209</v>
      </c>
      <c r="B216" s="144" t="s">
        <v>89</v>
      </c>
      <c r="C216" s="156" t="s">
        <v>90</v>
      </c>
      <c r="D216" s="156">
        <v>1</v>
      </c>
      <c r="E216" s="156">
        <v>137</v>
      </c>
      <c r="F216" s="396">
        <v>211.28</v>
      </c>
      <c r="G216" s="270" t="s">
        <v>196</v>
      </c>
      <c r="H216" s="502"/>
      <c r="I216" s="248">
        <v>-0.73</v>
      </c>
      <c r="J216" s="450">
        <v>-0.89012341618537905</v>
      </c>
      <c r="K216" s="494">
        <f t="shared" si="4"/>
        <v>15.359334904656821</v>
      </c>
      <c r="L216" s="395" t="s">
        <v>79</v>
      </c>
      <c r="M216" s="317" t="s">
        <v>74</v>
      </c>
      <c r="N216" s="317" t="s">
        <v>88</v>
      </c>
      <c r="O216" s="307" t="s">
        <v>35</v>
      </c>
      <c r="P216" s="314" t="s">
        <v>91</v>
      </c>
      <c r="Q216" s="501" t="s">
        <v>92</v>
      </c>
      <c r="R216" s="315" t="s">
        <v>86</v>
      </c>
      <c r="S216" s="176" t="s">
        <v>754</v>
      </c>
      <c r="T216" s="145"/>
      <c r="U216" s="145"/>
    </row>
    <row r="217" spans="1:21">
      <c r="A217" s="167">
        <v>1209</v>
      </c>
      <c r="B217" s="144" t="s">
        <v>89</v>
      </c>
      <c r="C217" s="156" t="s">
        <v>90</v>
      </c>
      <c r="D217" s="156">
        <v>1</v>
      </c>
      <c r="E217" s="156">
        <v>138</v>
      </c>
      <c r="F217" s="396">
        <v>211.29</v>
      </c>
      <c r="G217" s="270" t="s">
        <v>196</v>
      </c>
      <c r="H217" s="502"/>
      <c r="I217" s="248">
        <v>-1.83</v>
      </c>
      <c r="J217" s="450">
        <v>-0.89012341618537905</v>
      </c>
      <c r="K217" s="494">
        <f t="shared" si="4"/>
        <v>20.540530468252118</v>
      </c>
      <c r="L217" s="395" t="s">
        <v>79</v>
      </c>
      <c r="M217" s="317" t="s">
        <v>74</v>
      </c>
      <c r="N217" s="317" t="s">
        <v>88</v>
      </c>
      <c r="O217" s="307" t="s">
        <v>35</v>
      </c>
      <c r="P217" s="314" t="s">
        <v>91</v>
      </c>
      <c r="Q217" s="501" t="s">
        <v>92</v>
      </c>
      <c r="R217" s="315" t="s">
        <v>86</v>
      </c>
      <c r="S217" s="176" t="s">
        <v>754</v>
      </c>
      <c r="T217" s="145"/>
      <c r="U217" s="145"/>
    </row>
    <row r="218" spans="1:21">
      <c r="A218" s="167">
        <v>1209</v>
      </c>
      <c r="B218" s="144" t="s">
        <v>89</v>
      </c>
      <c r="C218" s="156" t="s">
        <v>90</v>
      </c>
      <c r="D218" s="156">
        <v>1</v>
      </c>
      <c r="E218" s="156">
        <v>138</v>
      </c>
      <c r="F218" s="396">
        <v>211.29</v>
      </c>
      <c r="G218" s="270" t="s">
        <v>196</v>
      </c>
      <c r="H218" s="502"/>
      <c r="I218" s="248">
        <v>-1.61</v>
      </c>
      <c r="J218" s="450">
        <v>-0.89012341618537905</v>
      </c>
      <c r="K218" s="494">
        <f t="shared" si="4"/>
        <v>19.486867355533057</v>
      </c>
      <c r="L218" s="395" t="s">
        <v>79</v>
      </c>
      <c r="M218" s="317" t="s">
        <v>74</v>
      </c>
      <c r="N218" s="317" t="s">
        <v>88</v>
      </c>
      <c r="O218" s="307" t="s">
        <v>35</v>
      </c>
      <c r="P218" s="314" t="s">
        <v>91</v>
      </c>
      <c r="Q218" s="501" t="s">
        <v>92</v>
      </c>
      <c r="R218" s="315" t="s">
        <v>86</v>
      </c>
      <c r="S218" s="176" t="s">
        <v>754</v>
      </c>
      <c r="T218" s="145"/>
      <c r="U218" s="145"/>
    </row>
    <row r="219" spans="1:21">
      <c r="A219" s="167">
        <v>1209</v>
      </c>
      <c r="B219" s="144" t="s">
        <v>89</v>
      </c>
      <c r="C219" s="156" t="s">
        <v>90</v>
      </c>
      <c r="D219" s="156">
        <v>1</v>
      </c>
      <c r="E219" s="156">
        <v>138</v>
      </c>
      <c r="F219" s="396">
        <v>211.29</v>
      </c>
      <c r="G219" s="270" t="s">
        <v>196</v>
      </c>
      <c r="H219" s="502"/>
      <c r="I219" s="248">
        <v>-1.24</v>
      </c>
      <c r="J219" s="450">
        <v>-0.89012341618537905</v>
      </c>
      <c r="K219" s="494">
        <f t="shared" si="4"/>
        <v>17.734444575051004</v>
      </c>
      <c r="L219" s="395" t="s">
        <v>79</v>
      </c>
      <c r="M219" s="317" t="s">
        <v>74</v>
      </c>
      <c r="N219" s="317" t="s">
        <v>88</v>
      </c>
      <c r="O219" s="307" t="s">
        <v>35</v>
      </c>
      <c r="P219" s="314" t="s">
        <v>91</v>
      </c>
      <c r="Q219" s="501" t="s">
        <v>92</v>
      </c>
      <c r="R219" s="315" t="s">
        <v>86</v>
      </c>
      <c r="S219" s="176" t="s">
        <v>754</v>
      </c>
      <c r="T219" s="145"/>
      <c r="U219" s="145"/>
    </row>
    <row r="220" spans="1:21">
      <c r="A220" s="167">
        <v>1209</v>
      </c>
      <c r="B220" s="144" t="s">
        <v>89</v>
      </c>
      <c r="C220" s="156" t="s">
        <v>90</v>
      </c>
      <c r="D220" s="156">
        <v>1</v>
      </c>
      <c r="E220" s="156">
        <v>139</v>
      </c>
      <c r="F220" s="396">
        <v>211.3</v>
      </c>
      <c r="G220" s="270" t="s">
        <v>196</v>
      </c>
      <c r="H220" s="502"/>
      <c r="I220" s="248">
        <v>-1.9</v>
      </c>
      <c r="J220" s="450">
        <v>-0.89012341618537905</v>
      </c>
      <c r="K220" s="494">
        <f t="shared" si="4"/>
        <v>20.877613913208183</v>
      </c>
      <c r="L220" s="395" t="s">
        <v>79</v>
      </c>
      <c r="M220" s="317" t="s">
        <v>74</v>
      </c>
      <c r="N220" s="317" t="s">
        <v>88</v>
      </c>
      <c r="O220" s="307" t="s">
        <v>35</v>
      </c>
      <c r="P220" s="314" t="s">
        <v>91</v>
      </c>
      <c r="Q220" s="501" t="s">
        <v>92</v>
      </c>
      <c r="R220" s="315" t="s">
        <v>86</v>
      </c>
      <c r="S220" s="176" t="s">
        <v>754</v>
      </c>
      <c r="T220" s="145"/>
      <c r="U220" s="145"/>
    </row>
    <row r="221" spans="1:21">
      <c r="A221" s="167">
        <v>1209</v>
      </c>
      <c r="B221" s="144" t="s">
        <v>89</v>
      </c>
      <c r="C221" s="156" t="s">
        <v>90</v>
      </c>
      <c r="D221" s="156">
        <v>1</v>
      </c>
      <c r="E221" s="156">
        <v>139</v>
      </c>
      <c r="F221" s="396">
        <v>211.3</v>
      </c>
      <c r="G221" s="270" t="s">
        <v>196</v>
      </c>
      <c r="H221" s="502"/>
      <c r="I221" s="248">
        <v>-1.73</v>
      </c>
      <c r="J221" s="450">
        <v>-0.89012341618537905</v>
      </c>
      <c r="K221" s="494">
        <f t="shared" si="4"/>
        <v>20.060512689743451</v>
      </c>
      <c r="L221" s="395" t="s">
        <v>79</v>
      </c>
      <c r="M221" s="317" t="s">
        <v>74</v>
      </c>
      <c r="N221" s="317" t="s">
        <v>88</v>
      </c>
      <c r="O221" s="307" t="s">
        <v>35</v>
      </c>
      <c r="P221" s="314" t="s">
        <v>91</v>
      </c>
      <c r="Q221" s="501" t="s">
        <v>92</v>
      </c>
      <c r="R221" s="315" t="s">
        <v>86</v>
      </c>
      <c r="S221" s="176" t="s">
        <v>754</v>
      </c>
      <c r="T221" s="145"/>
      <c r="U221" s="145"/>
    </row>
    <row r="222" spans="1:21">
      <c r="A222" s="167">
        <v>1209</v>
      </c>
      <c r="B222" s="144" t="s">
        <v>89</v>
      </c>
      <c r="C222" s="156" t="s">
        <v>90</v>
      </c>
      <c r="D222" s="156">
        <v>1</v>
      </c>
      <c r="E222" s="156">
        <v>139</v>
      </c>
      <c r="F222" s="396">
        <v>211.3</v>
      </c>
      <c r="G222" s="270" t="s">
        <v>196</v>
      </c>
      <c r="H222" s="502"/>
      <c r="I222" s="248">
        <v>-1.51</v>
      </c>
      <c r="J222" s="450">
        <v>-0.89012341618537905</v>
      </c>
      <c r="K222" s="494">
        <f t="shared" si="4"/>
        <v>19.010809577024396</v>
      </c>
      <c r="L222" s="395" t="s">
        <v>79</v>
      </c>
      <c r="M222" s="317" t="s">
        <v>74</v>
      </c>
      <c r="N222" s="317" t="s">
        <v>88</v>
      </c>
      <c r="O222" s="307" t="s">
        <v>35</v>
      </c>
      <c r="P222" s="314" t="s">
        <v>91</v>
      </c>
      <c r="Q222" s="501" t="s">
        <v>92</v>
      </c>
      <c r="R222" s="315" t="s">
        <v>86</v>
      </c>
      <c r="S222" s="176" t="s">
        <v>754</v>
      </c>
      <c r="T222" s="145"/>
      <c r="U222" s="145"/>
    </row>
    <row r="223" spans="1:21">
      <c r="A223" s="167">
        <v>1209</v>
      </c>
      <c r="B223" s="144" t="s">
        <v>89</v>
      </c>
      <c r="C223" s="156" t="s">
        <v>90</v>
      </c>
      <c r="D223" s="156">
        <v>1</v>
      </c>
      <c r="E223" s="156">
        <v>139</v>
      </c>
      <c r="F223" s="396">
        <v>211.3</v>
      </c>
      <c r="G223" s="270" t="s">
        <v>196</v>
      </c>
      <c r="H223" s="502"/>
      <c r="I223" s="248">
        <v>-1.5</v>
      </c>
      <c r="J223" s="450">
        <v>-0.89012341618537905</v>
      </c>
      <c r="K223" s="494">
        <f t="shared" si="4"/>
        <v>18.963302799173526</v>
      </c>
      <c r="L223" s="395" t="s">
        <v>79</v>
      </c>
      <c r="M223" s="317" t="s">
        <v>74</v>
      </c>
      <c r="N223" s="317" t="s">
        <v>88</v>
      </c>
      <c r="O223" s="307" t="s">
        <v>35</v>
      </c>
      <c r="P223" s="314" t="s">
        <v>91</v>
      </c>
      <c r="Q223" s="501" t="s">
        <v>92</v>
      </c>
      <c r="R223" s="315" t="s">
        <v>86</v>
      </c>
      <c r="S223" s="176" t="s">
        <v>754</v>
      </c>
      <c r="T223" s="145"/>
      <c r="U223" s="145"/>
    </row>
    <row r="224" spans="1:21">
      <c r="A224" s="167">
        <v>1209</v>
      </c>
      <c r="B224" s="144" t="s">
        <v>89</v>
      </c>
      <c r="C224" s="156" t="s">
        <v>90</v>
      </c>
      <c r="D224" s="156">
        <v>1</v>
      </c>
      <c r="E224" s="156">
        <v>139</v>
      </c>
      <c r="F224" s="396">
        <v>211.3</v>
      </c>
      <c r="G224" s="270" t="s">
        <v>196</v>
      </c>
      <c r="H224" s="502"/>
      <c r="I224" s="248">
        <v>-1.47</v>
      </c>
      <c r="J224" s="450">
        <v>-0.89012341618537905</v>
      </c>
      <c r="K224" s="494">
        <f t="shared" si="4"/>
        <v>18.820890465620931</v>
      </c>
      <c r="L224" s="395" t="s">
        <v>79</v>
      </c>
      <c r="M224" s="317" t="s">
        <v>74</v>
      </c>
      <c r="N224" s="317" t="s">
        <v>88</v>
      </c>
      <c r="O224" s="307" t="s">
        <v>35</v>
      </c>
      <c r="P224" s="314" t="s">
        <v>91</v>
      </c>
      <c r="Q224" s="501" t="s">
        <v>92</v>
      </c>
      <c r="R224" s="315" t="s">
        <v>86</v>
      </c>
      <c r="S224" s="176" t="s">
        <v>754</v>
      </c>
      <c r="T224" s="145"/>
      <c r="U224" s="145"/>
    </row>
    <row r="225" spans="1:21">
      <c r="A225" s="167">
        <v>1209</v>
      </c>
      <c r="B225" s="144" t="s">
        <v>89</v>
      </c>
      <c r="C225" s="156" t="s">
        <v>90</v>
      </c>
      <c r="D225" s="156">
        <v>1</v>
      </c>
      <c r="E225" s="156">
        <v>144</v>
      </c>
      <c r="F225" s="396">
        <v>211.35</v>
      </c>
      <c r="G225" s="270" t="s">
        <v>196</v>
      </c>
      <c r="H225" s="502"/>
      <c r="I225" s="248">
        <v>-1.56</v>
      </c>
      <c r="J225" s="450">
        <v>-0.89012341618537905</v>
      </c>
      <c r="K225" s="494">
        <f t="shared" si="4"/>
        <v>19.248613466278726</v>
      </c>
      <c r="L225" s="395" t="s">
        <v>79</v>
      </c>
      <c r="M225" s="317" t="s">
        <v>74</v>
      </c>
      <c r="N225" s="317" t="s">
        <v>88</v>
      </c>
      <c r="O225" s="307" t="s">
        <v>35</v>
      </c>
      <c r="P225" s="314" t="s">
        <v>91</v>
      </c>
      <c r="Q225" s="501" t="s">
        <v>92</v>
      </c>
      <c r="R225" s="315" t="s">
        <v>86</v>
      </c>
      <c r="S225" s="176" t="s">
        <v>754</v>
      </c>
      <c r="T225" s="145"/>
      <c r="U225" s="145"/>
    </row>
    <row r="226" spans="1:21">
      <c r="A226" s="167">
        <v>1209</v>
      </c>
      <c r="B226" s="144" t="s">
        <v>89</v>
      </c>
      <c r="C226" s="156" t="s">
        <v>90</v>
      </c>
      <c r="D226" s="156">
        <v>1</v>
      </c>
      <c r="E226" s="156">
        <v>144</v>
      </c>
      <c r="F226" s="396">
        <v>211.35</v>
      </c>
      <c r="G226" s="270" t="s">
        <v>196</v>
      </c>
      <c r="H226" s="502"/>
      <c r="I226" s="248">
        <v>-1.52</v>
      </c>
      <c r="J226" s="450">
        <v>-0.89012341618537905</v>
      </c>
      <c r="K226" s="494">
        <f t="shared" si="4"/>
        <v>19.05833435487526</v>
      </c>
      <c r="L226" s="395" t="s">
        <v>79</v>
      </c>
      <c r="M226" s="317" t="s">
        <v>74</v>
      </c>
      <c r="N226" s="317" t="s">
        <v>88</v>
      </c>
      <c r="O226" s="307" t="s">
        <v>35</v>
      </c>
      <c r="P226" s="314" t="s">
        <v>91</v>
      </c>
      <c r="Q226" s="501" t="s">
        <v>92</v>
      </c>
      <c r="R226" s="315" t="s">
        <v>86</v>
      </c>
      <c r="S226" s="176" t="s">
        <v>754</v>
      </c>
      <c r="T226" s="145"/>
      <c r="U226" s="145"/>
    </row>
    <row r="227" spans="1:21">
      <c r="A227" s="167">
        <v>1209</v>
      </c>
      <c r="B227" s="144" t="s">
        <v>89</v>
      </c>
      <c r="C227" s="156" t="s">
        <v>90</v>
      </c>
      <c r="D227" s="156">
        <v>1</v>
      </c>
      <c r="E227" s="156">
        <v>144</v>
      </c>
      <c r="F227" s="396">
        <v>211.35</v>
      </c>
      <c r="G227" s="270" t="s">
        <v>196</v>
      </c>
      <c r="H227" s="502"/>
      <c r="I227" s="248">
        <v>-1.43</v>
      </c>
      <c r="J227" s="450">
        <v>-0.89012341618537905</v>
      </c>
      <c r="K227" s="494">
        <f t="shared" si="4"/>
        <v>18.631259354217462</v>
      </c>
      <c r="L227" s="395" t="s">
        <v>79</v>
      </c>
      <c r="M227" s="317" t="s">
        <v>74</v>
      </c>
      <c r="N227" s="317" t="s">
        <v>88</v>
      </c>
      <c r="O227" s="307" t="s">
        <v>35</v>
      </c>
      <c r="P227" s="314" t="s">
        <v>91</v>
      </c>
      <c r="Q227" s="501" t="s">
        <v>92</v>
      </c>
      <c r="R227" s="315" t="s">
        <v>86</v>
      </c>
      <c r="S227" s="176" t="s">
        <v>754</v>
      </c>
      <c r="T227" s="145"/>
      <c r="U227" s="145"/>
    </row>
    <row r="228" spans="1:21">
      <c r="A228" s="167">
        <v>1209</v>
      </c>
      <c r="B228" s="144" t="s">
        <v>89</v>
      </c>
      <c r="C228" s="156" t="s">
        <v>90</v>
      </c>
      <c r="D228" s="156">
        <v>1</v>
      </c>
      <c r="E228" s="156">
        <v>144</v>
      </c>
      <c r="F228" s="396">
        <v>211.35</v>
      </c>
      <c r="G228" s="270" t="s">
        <v>196</v>
      </c>
      <c r="H228" s="502"/>
      <c r="I228" s="248">
        <v>-1.31</v>
      </c>
      <c r="J228" s="450">
        <v>-0.89012341618537905</v>
      </c>
      <c r="K228" s="494">
        <f t="shared" si="4"/>
        <v>18.064094020007069</v>
      </c>
      <c r="L228" s="395" t="s">
        <v>79</v>
      </c>
      <c r="M228" s="317" t="s">
        <v>74</v>
      </c>
      <c r="N228" s="317" t="s">
        <v>88</v>
      </c>
      <c r="O228" s="307" t="s">
        <v>35</v>
      </c>
      <c r="P228" s="314" t="s">
        <v>91</v>
      </c>
      <c r="Q228" s="501" t="s">
        <v>92</v>
      </c>
      <c r="R228" s="315" t="s">
        <v>86</v>
      </c>
      <c r="S228" s="176" t="s">
        <v>754</v>
      </c>
      <c r="T228" s="145"/>
      <c r="U228" s="145"/>
    </row>
    <row r="229" spans="1:21">
      <c r="A229" s="167">
        <v>1209</v>
      </c>
      <c r="B229" s="144" t="s">
        <v>89</v>
      </c>
      <c r="C229" s="156" t="s">
        <v>90</v>
      </c>
      <c r="D229" s="156">
        <v>1</v>
      </c>
      <c r="E229" s="156">
        <v>148</v>
      </c>
      <c r="F229" s="396">
        <v>211.39</v>
      </c>
      <c r="G229" s="270" t="s">
        <v>196</v>
      </c>
      <c r="H229" s="502"/>
      <c r="I229" s="248">
        <v>-1.51</v>
      </c>
      <c r="J229" s="450">
        <v>-0.89012341618537905</v>
      </c>
      <c r="K229" s="494">
        <f t="shared" si="4"/>
        <v>19.010809577024396</v>
      </c>
      <c r="L229" s="395" t="s">
        <v>79</v>
      </c>
      <c r="M229" s="317" t="s">
        <v>74</v>
      </c>
      <c r="N229" s="317" t="s">
        <v>88</v>
      </c>
      <c r="O229" s="307" t="s">
        <v>35</v>
      </c>
      <c r="P229" s="314" t="s">
        <v>91</v>
      </c>
      <c r="Q229" s="501" t="s">
        <v>92</v>
      </c>
      <c r="R229" s="315" t="s">
        <v>86</v>
      </c>
      <c r="S229" s="176" t="s">
        <v>754</v>
      </c>
      <c r="T229" s="145"/>
      <c r="U229" s="145"/>
    </row>
    <row r="230" spans="1:21">
      <c r="A230" s="167">
        <v>1209</v>
      </c>
      <c r="B230" s="144" t="s">
        <v>89</v>
      </c>
      <c r="C230" s="156" t="s">
        <v>90</v>
      </c>
      <c r="D230" s="156">
        <v>1</v>
      </c>
      <c r="E230" s="156">
        <v>148</v>
      </c>
      <c r="F230" s="396">
        <v>211.39</v>
      </c>
      <c r="G230" s="270" t="s">
        <v>196</v>
      </c>
      <c r="H230" s="502"/>
      <c r="I230" s="248">
        <v>-1.42</v>
      </c>
      <c r="J230" s="450">
        <v>-0.89012341618537905</v>
      </c>
      <c r="K230" s="494">
        <f t="shared" si="4"/>
        <v>18.583896576366598</v>
      </c>
      <c r="L230" s="395" t="s">
        <v>79</v>
      </c>
      <c r="M230" s="317" t="s">
        <v>74</v>
      </c>
      <c r="N230" s="317" t="s">
        <v>88</v>
      </c>
      <c r="O230" s="307" t="s">
        <v>35</v>
      </c>
      <c r="P230" s="314" t="s">
        <v>91</v>
      </c>
      <c r="Q230" s="501" t="s">
        <v>92</v>
      </c>
      <c r="R230" s="315" t="s">
        <v>86</v>
      </c>
      <c r="S230" s="176" t="s">
        <v>754</v>
      </c>
      <c r="T230" s="145"/>
      <c r="U230" s="145"/>
    </row>
    <row r="231" spans="1:21">
      <c r="A231" s="167">
        <v>1209</v>
      </c>
      <c r="B231" s="144" t="s">
        <v>89</v>
      </c>
      <c r="C231" s="156" t="s">
        <v>90</v>
      </c>
      <c r="D231" s="156">
        <v>1</v>
      </c>
      <c r="E231" s="156">
        <v>148</v>
      </c>
      <c r="F231" s="396">
        <v>211.39</v>
      </c>
      <c r="G231" s="270" t="s">
        <v>196</v>
      </c>
      <c r="H231" s="502"/>
      <c r="I231" s="248">
        <v>-1.1399999999999999</v>
      </c>
      <c r="J231" s="450">
        <v>-0.89012341618537905</v>
      </c>
      <c r="K231" s="494">
        <f t="shared" si="4"/>
        <v>17.26504679654234</v>
      </c>
      <c r="L231" s="395" t="s">
        <v>79</v>
      </c>
      <c r="M231" s="317" t="s">
        <v>74</v>
      </c>
      <c r="N231" s="317" t="s">
        <v>88</v>
      </c>
      <c r="O231" s="307" t="s">
        <v>35</v>
      </c>
      <c r="P231" s="314" t="s">
        <v>91</v>
      </c>
      <c r="Q231" s="501" t="s">
        <v>92</v>
      </c>
      <c r="R231" s="315" t="s">
        <v>86</v>
      </c>
      <c r="S231" s="176" t="s">
        <v>754</v>
      </c>
      <c r="T231" s="145"/>
      <c r="U231" s="145"/>
    </row>
    <row r="232" spans="1:21" ht="13.5" thickBot="1">
      <c r="A232" s="506"/>
      <c r="B232" s="507"/>
      <c r="C232" s="255"/>
      <c r="D232" s="255"/>
      <c r="E232" s="255"/>
      <c r="F232" s="255"/>
      <c r="G232" s="255"/>
      <c r="H232" s="256"/>
      <c r="I232" s="255"/>
      <c r="J232" s="255"/>
      <c r="K232" s="609"/>
      <c r="L232" s="255"/>
      <c r="M232" s="255"/>
      <c r="N232" s="255"/>
      <c r="O232" s="256"/>
      <c r="P232" s="254"/>
      <c r="Q232" s="256"/>
      <c r="R232" s="258"/>
      <c r="S232" s="258"/>
      <c r="T232" s="145"/>
      <c r="U232" s="145"/>
    </row>
    <row r="233" spans="1:21">
      <c r="M233" s="192"/>
    </row>
    <row r="234" spans="1:21" ht="13.5" thickBot="1"/>
    <row r="235" spans="1:21" ht="13.5" thickBot="1">
      <c r="G235" s="760"/>
      <c r="H235" s="761" t="s">
        <v>607</v>
      </c>
      <c r="I235" s="761" t="s">
        <v>605</v>
      </c>
      <c r="J235" s="762">
        <v>0.05</v>
      </c>
      <c r="K235" s="761" t="s">
        <v>602</v>
      </c>
      <c r="L235" s="762">
        <v>0.95</v>
      </c>
      <c r="M235" s="763" t="s">
        <v>606</v>
      </c>
    </row>
    <row r="236" spans="1:21">
      <c r="G236" s="322" t="s">
        <v>21</v>
      </c>
      <c r="H236" s="244"/>
      <c r="I236" s="756"/>
      <c r="J236" s="756"/>
      <c r="K236" s="756"/>
      <c r="L236" s="756"/>
      <c r="M236" s="757"/>
    </row>
    <row r="237" spans="1:21">
      <c r="G237" s="322" t="s">
        <v>20</v>
      </c>
      <c r="H237" s="244">
        <f>COUNT(K29:K74,K123:K198)</f>
        <v>122</v>
      </c>
      <c r="I237" s="756">
        <f>MIN(K29:K74,K123:K198)</f>
        <v>16.984272129437144</v>
      </c>
      <c r="J237" s="756">
        <f>_xlfn.PERCENTILE.INC((K29:K74,K123:K198),0.05)</f>
        <v>18.064094020007069</v>
      </c>
      <c r="K237" s="756">
        <f>AVERAGE(K29:K74,K123:K198)</f>
        <v>20.254936504238675</v>
      </c>
      <c r="L237" s="756">
        <f>_xlfn.PERCENTILE.INC((K29:K74,K123:K198),0.95)</f>
        <v>22.04002458162897</v>
      </c>
      <c r="M237" s="757">
        <f>MAX(K29:K74,K123:K198)</f>
        <v>22.918636582944565</v>
      </c>
    </row>
    <row r="238" spans="1:21" ht="13.5" thickBot="1">
      <c r="G238" s="748" t="s">
        <v>601</v>
      </c>
      <c r="H238" s="678">
        <f>COUNT(K82:K92,K210:K231)</f>
        <v>33</v>
      </c>
      <c r="I238" s="679">
        <f>MIN(K82:K92,K210:K231)</f>
        <v>15.359334904656821</v>
      </c>
      <c r="J238" s="679">
        <f>_xlfn.PERCENTILE.INC((K82:K92,K210:K231),0.05)</f>
        <v>17.405731130094942</v>
      </c>
      <c r="K238" s="679">
        <f>AVERAGE(K82:K92,K210:K231)</f>
        <v>18.733260472213185</v>
      </c>
      <c r="L238" s="679">
        <f>_xlfn.PERCENTILE.INC((K82:K92,K210:K231),0.95)</f>
        <v>20.252519801146917</v>
      </c>
      <c r="M238" s="680">
        <f>MAX(K82:K92,K210:K231)</f>
        <v>20.877613913208183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S130"/>
  <sheetViews>
    <sheetView zoomScale="70" zoomScaleNormal="70" zoomScalePageLayoutView="70" workbookViewId="0">
      <selection activeCell="B3" sqref="B3"/>
    </sheetView>
  </sheetViews>
  <sheetFormatPr defaultColWidth="10.625" defaultRowHeight="12.75"/>
  <cols>
    <col min="1" max="1" width="14.5" style="69" customWidth="1"/>
    <col min="2" max="2" width="31.625" style="69" bestFit="1" customWidth="1"/>
    <col min="3" max="5" width="10.625" style="69"/>
    <col min="6" max="6" width="10.625" style="156"/>
    <col min="7" max="7" width="13.5" style="156" bestFit="1" customWidth="1"/>
    <col min="8" max="8" width="12" style="196" bestFit="1" customWidth="1"/>
    <col min="9" max="9" width="10.625" style="156"/>
    <col min="10" max="10" width="10.625" style="69"/>
    <col min="11" max="11" width="15.625" style="69" customWidth="1"/>
    <col min="12" max="12" width="23.625" style="50" bestFit="1" customWidth="1"/>
    <col min="13" max="13" width="13" style="69" bestFit="1" customWidth="1"/>
    <col min="14" max="14" width="10.625" style="69"/>
    <col min="15" max="15" width="13.625" style="69" bestFit="1" customWidth="1"/>
    <col min="16" max="16" width="17" style="156" bestFit="1" customWidth="1"/>
    <col min="17" max="17" width="50.625" style="156" bestFit="1" customWidth="1"/>
    <col min="18" max="18" width="38.5" style="69" bestFit="1" customWidth="1"/>
    <col min="19" max="19" width="77.375" style="50" bestFit="1" customWidth="1"/>
    <col min="20" max="16384" width="10.625" style="69"/>
  </cols>
  <sheetData>
    <row r="1" spans="1:19" s="11" customFormat="1" ht="15.75">
      <c r="A1" s="205" t="s">
        <v>62</v>
      </c>
      <c r="B1" s="634" t="s">
        <v>494</v>
      </c>
      <c r="D1" s="43"/>
      <c r="E1" s="43"/>
      <c r="F1" s="20"/>
      <c r="G1" s="20"/>
      <c r="H1" s="38"/>
      <c r="I1" s="20"/>
      <c r="J1" s="20"/>
      <c r="K1" s="20"/>
      <c r="L1" s="61"/>
      <c r="M1" s="20"/>
      <c r="N1" s="20"/>
      <c r="O1" s="20"/>
      <c r="P1" s="20"/>
      <c r="Q1" s="20"/>
      <c r="R1" s="19"/>
      <c r="S1" s="61"/>
    </row>
    <row r="2" spans="1:19">
      <c r="A2" s="141" t="s">
        <v>636</v>
      </c>
      <c r="B2" s="50" t="s">
        <v>653</v>
      </c>
      <c r="D2" s="154"/>
      <c r="E2" s="154"/>
      <c r="F2" s="144"/>
      <c r="G2" s="144"/>
      <c r="H2" s="55"/>
      <c r="I2" s="144"/>
      <c r="J2" s="144"/>
      <c r="K2" s="144"/>
      <c r="L2" s="152"/>
      <c r="M2" s="144"/>
      <c r="N2" s="144"/>
      <c r="O2" s="144"/>
      <c r="P2" s="144"/>
      <c r="Q2" s="144"/>
      <c r="R2" s="145"/>
      <c r="S2" s="152"/>
    </row>
    <row r="3" spans="1:19">
      <c r="A3" s="141" t="s">
        <v>61</v>
      </c>
      <c r="B3" s="50" t="s">
        <v>631</v>
      </c>
      <c r="D3" s="154"/>
      <c r="E3" s="154"/>
      <c r="F3" s="144"/>
      <c r="G3" s="144"/>
      <c r="H3" s="55"/>
      <c r="I3" s="144"/>
      <c r="J3" s="144"/>
      <c r="K3" s="144"/>
      <c r="L3" s="152"/>
      <c r="M3" s="144"/>
      <c r="N3" s="144"/>
      <c r="O3" s="144"/>
      <c r="P3" s="144"/>
      <c r="Q3" s="144"/>
      <c r="R3" s="145"/>
      <c r="S3" s="152"/>
    </row>
    <row r="4" spans="1:19">
      <c r="A4" s="147" t="s">
        <v>621</v>
      </c>
      <c r="B4" s="51">
        <v>32.26</v>
      </c>
      <c r="D4" s="154"/>
      <c r="E4" s="154"/>
      <c r="F4" s="144"/>
      <c r="G4" s="144"/>
      <c r="H4" s="55"/>
      <c r="I4" s="144"/>
      <c r="J4" s="144"/>
      <c r="K4" s="144"/>
      <c r="L4" s="152"/>
      <c r="M4" s="144"/>
      <c r="N4" s="144"/>
      <c r="O4" s="144"/>
      <c r="P4" s="144"/>
      <c r="Q4" s="144"/>
      <c r="R4" s="145"/>
      <c r="S4" s="152"/>
    </row>
    <row r="5" spans="1:19">
      <c r="A5" s="147" t="s">
        <v>622</v>
      </c>
      <c r="B5" s="51">
        <v>157.43</v>
      </c>
      <c r="D5" s="154"/>
      <c r="E5" s="154"/>
      <c r="F5" s="144"/>
      <c r="G5" s="144"/>
      <c r="H5" s="55"/>
      <c r="I5" s="144"/>
      <c r="J5" s="144"/>
      <c r="K5" s="144"/>
      <c r="L5" s="152"/>
      <c r="M5" s="144"/>
      <c r="N5" s="144"/>
      <c r="O5" s="144"/>
      <c r="P5" s="144"/>
      <c r="Q5" s="144"/>
      <c r="R5" s="145"/>
      <c r="S5" s="152"/>
    </row>
    <row r="6" spans="1:19">
      <c r="A6" s="149" t="s">
        <v>50</v>
      </c>
      <c r="B6" s="51">
        <v>37.894451680099998</v>
      </c>
      <c r="D6" s="154"/>
      <c r="E6" s="154"/>
      <c r="F6" s="144"/>
      <c r="G6" s="144"/>
      <c r="H6" s="55"/>
      <c r="I6" s="144"/>
      <c r="J6" s="144"/>
      <c r="K6" s="144"/>
      <c r="L6" s="152"/>
      <c r="M6" s="144"/>
      <c r="N6" s="144"/>
      <c r="O6" s="144"/>
      <c r="P6" s="144"/>
      <c r="Q6" s="144"/>
      <c r="R6" s="145"/>
      <c r="S6" s="152"/>
    </row>
    <row r="7" spans="1:19">
      <c r="A7" s="141" t="s">
        <v>696</v>
      </c>
      <c r="B7" s="68" t="s">
        <v>748</v>
      </c>
      <c r="C7" s="69" t="s">
        <v>630</v>
      </c>
      <c r="D7" s="154"/>
      <c r="E7" s="154"/>
      <c r="F7" s="144"/>
      <c r="G7" s="144"/>
      <c r="H7" s="55"/>
      <c r="I7" s="144"/>
      <c r="J7" s="144"/>
      <c r="K7" s="144"/>
      <c r="L7" s="152"/>
      <c r="M7" s="144"/>
      <c r="N7" s="144"/>
      <c r="O7" s="144"/>
      <c r="P7" s="144"/>
      <c r="Q7" s="144"/>
      <c r="R7" s="145"/>
      <c r="S7" s="152"/>
    </row>
    <row r="8" spans="1:19">
      <c r="A8" s="141" t="s">
        <v>63</v>
      </c>
      <c r="B8" s="50" t="s">
        <v>749</v>
      </c>
      <c r="C8" s="71" t="s">
        <v>629</v>
      </c>
      <c r="D8" s="154"/>
      <c r="E8" s="154"/>
      <c r="F8" s="144"/>
      <c r="G8" s="144"/>
      <c r="H8" s="55"/>
      <c r="I8" s="144"/>
      <c r="J8" s="144"/>
      <c r="K8" s="144"/>
      <c r="L8" s="152"/>
      <c r="M8" s="144"/>
      <c r="N8" s="144"/>
      <c r="O8" s="144"/>
      <c r="P8" s="144"/>
      <c r="Q8" s="144"/>
      <c r="R8" s="145"/>
      <c r="S8" s="152"/>
    </row>
    <row r="9" spans="1:19">
      <c r="A9" s="141" t="s">
        <v>64</v>
      </c>
      <c r="B9" s="50" t="s">
        <v>197</v>
      </c>
      <c r="C9" s="72"/>
      <c r="D9" s="72"/>
      <c r="E9" s="154"/>
      <c r="F9" s="144"/>
      <c r="G9" s="144"/>
      <c r="H9" s="55"/>
      <c r="I9" s="144"/>
      <c r="J9" s="144"/>
      <c r="K9" s="144"/>
      <c r="L9" s="152"/>
      <c r="M9" s="144"/>
      <c r="N9" s="144"/>
      <c r="O9" s="144"/>
      <c r="P9" s="144"/>
      <c r="Q9" s="144"/>
      <c r="R9" s="145"/>
      <c r="S9" s="152"/>
    </row>
    <row r="10" spans="1:19">
      <c r="A10" s="141" t="s">
        <v>65</v>
      </c>
      <c r="B10" s="50" t="s">
        <v>42</v>
      </c>
      <c r="C10" s="70" t="s">
        <v>537</v>
      </c>
      <c r="D10" s="70"/>
      <c r="E10" s="154"/>
      <c r="F10" s="154"/>
      <c r="G10" s="144"/>
      <c r="H10" s="55"/>
      <c r="I10" s="144"/>
      <c r="J10" s="144"/>
      <c r="K10" s="144"/>
      <c r="L10" s="152"/>
      <c r="M10" s="144"/>
      <c r="N10" s="144"/>
      <c r="O10" s="144"/>
      <c r="P10" s="144"/>
      <c r="Q10" s="144"/>
      <c r="R10" s="145"/>
      <c r="S10" s="152"/>
    </row>
    <row r="11" spans="1:19" ht="13.5" thickBot="1">
      <c r="A11" s="145"/>
      <c r="B11" s="145"/>
      <c r="C11" s="144"/>
      <c r="D11" s="144"/>
      <c r="E11" s="144"/>
      <c r="F11" s="154"/>
      <c r="G11" s="144"/>
      <c r="H11" s="55"/>
      <c r="I11" s="144"/>
      <c r="J11" s="144"/>
      <c r="K11" s="168"/>
      <c r="L11" s="152"/>
      <c r="M11" s="144"/>
      <c r="N11" s="144"/>
      <c r="O11" s="144"/>
      <c r="P11" s="144"/>
      <c r="Q11" s="144"/>
      <c r="R11" s="145"/>
      <c r="S11" s="152"/>
    </row>
    <row r="12" spans="1:19" ht="64.5" thickBot="1">
      <c r="A12" s="157" t="s">
        <v>18</v>
      </c>
      <c r="B12" s="158" t="s">
        <v>66</v>
      </c>
      <c r="C12" s="158" t="s">
        <v>67</v>
      </c>
      <c r="D12" s="158" t="s">
        <v>68</v>
      </c>
      <c r="E12" s="158" t="s">
        <v>69</v>
      </c>
      <c r="F12" s="158" t="s">
        <v>43</v>
      </c>
      <c r="G12" s="158" t="s">
        <v>31</v>
      </c>
      <c r="H12" s="513" t="s">
        <v>10</v>
      </c>
      <c r="I12" s="160" t="s">
        <v>725</v>
      </c>
      <c r="J12" s="160" t="s">
        <v>664</v>
      </c>
      <c r="K12" s="216" t="s">
        <v>659</v>
      </c>
      <c r="L12" s="514" t="s">
        <v>70</v>
      </c>
      <c r="M12" s="217" t="s">
        <v>71</v>
      </c>
      <c r="N12" s="217" t="s">
        <v>522</v>
      </c>
      <c r="O12" s="218" t="s">
        <v>34</v>
      </c>
      <c r="P12" s="217" t="s">
        <v>72</v>
      </c>
      <c r="Q12" s="218" t="s">
        <v>73</v>
      </c>
      <c r="R12" s="160" t="s">
        <v>15</v>
      </c>
      <c r="S12" s="515" t="s">
        <v>38</v>
      </c>
    </row>
    <row r="13" spans="1:19">
      <c r="A13" s="516"/>
      <c r="B13" s="168"/>
      <c r="C13" s="168"/>
      <c r="D13" s="168"/>
      <c r="E13" s="168"/>
      <c r="F13" s="168"/>
      <c r="G13" s="168"/>
      <c r="H13" s="517"/>
      <c r="I13" s="175"/>
      <c r="J13" s="170"/>
      <c r="K13" s="636"/>
      <c r="L13" s="518"/>
      <c r="M13" s="241"/>
      <c r="N13" s="241"/>
      <c r="O13" s="242"/>
      <c r="P13" s="241"/>
      <c r="Q13" s="242"/>
      <c r="R13" s="239"/>
      <c r="S13" s="519"/>
    </row>
    <row r="14" spans="1:19">
      <c r="A14" s="167">
        <v>577</v>
      </c>
      <c r="B14" s="55"/>
      <c r="C14" s="55">
        <v>8</v>
      </c>
      <c r="D14" s="55">
        <v>5</v>
      </c>
      <c r="E14" s="55" t="s">
        <v>350</v>
      </c>
      <c r="F14" s="55">
        <v>70.150000000000006</v>
      </c>
      <c r="G14" s="55" t="s">
        <v>21</v>
      </c>
      <c r="H14" s="520">
        <v>50.032310485839844</v>
      </c>
      <c r="I14" s="175">
        <v>-1.1850000000000001</v>
      </c>
      <c r="J14" s="148">
        <v>-0.89012341618537905</v>
      </c>
      <c r="K14" s="530">
        <f t="shared" ref="K14:K75" si="0">16.1-4.64*($I14-J14)+0.09*($I14-J14)^2</f>
        <v>17.476053046871236</v>
      </c>
      <c r="L14" s="521" t="s">
        <v>201</v>
      </c>
      <c r="M14" s="171" t="s">
        <v>74</v>
      </c>
      <c r="N14" s="171">
        <v>646</v>
      </c>
      <c r="O14" s="172" t="s">
        <v>35</v>
      </c>
      <c r="P14" s="171" t="s">
        <v>91</v>
      </c>
      <c r="Q14" s="172" t="s">
        <v>548</v>
      </c>
      <c r="R14" s="175" t="s">
        <v>524</v>
      </c>
      <c r="S14" s="519" t="s">
        <v>591</v>
      </c>
    </row>
    <row r="15" spans="1:19">
      <c r="A15" s="167">
        <v>577</v>
      </c>
      <c r="B15" s="55"/>
      <c r="C15" s="55">
        <v>8</v>
      </c>
      <c r="D15" s="55">
        <v>5</v>
      </c>
      <c r="E15" s="55" t="s">
        <v>350</v>
      </c>
      <c r="F15" s="55">
        <v>70.150000000000006</v>
      </c>
      <c r="G15" s="55" t="s">
        <v>21</v>
      </c>
      <c r="H15" s="520">
        <v>50.032310485839844</v>
      </c>
      <c r="I15" s="175">
        <v>-1.1739999999999999</v>
      </c>
      <c r="J15" s="148">
        <v>-0.89012341618537905</v>
      </c>
      <c r="K15" s="530">
        <f t="shared" si="0"/>
        <v>17.424440081235286</v>
      </c>
      <c r="L15" s="521" t="s">
        <v>495</v>
      </c>
      <c r="M15" s="171" t="s">
        <v>74</v>
      </c>
      <c r="N15" s="171">
        <v>684</v>
      </c>
      <c r="O15" s="172" t="s">
        <v>35</v>
      </c>
      <c r="P15" s="171" t="s">
        <v>91</v>
      </c>
      <c r="Q15" s="172" t="s">
        <v>548</v>
      </c>
      <c r="R15" s="175" t="s">
        <v>524</v>
      </c>
      <c r="S15" s="519"/>
    </row>
    <row r="16" spans="1:19">
      <c r="A16" s="167">
        <v>577</v>
      </c>
      <c r="B16" s="55"/>
      <c r="C16" s="55">
        <v>8</v>
      </c>
      <c r="D16" s="55">
        <v>5</v>
      </c>
      <c r="E16" s="55" t="s">
        <v>350</v>
      </c>
      <c r="F16" s="55">
        <v>70.150000000000006</v>
      </c>
      <c r="G16" s="55" t="s">
        <v>21</v>
      </c>
      <c r="H16" s="520">
        <v>50.032310485839801</v>
      </c>
      <c r="I16" s="175">
        <v>-1.222</v>
      </c>
      <c r="J16" s="148">
        <v>-0.89012341618537905</v>
      </c>
      <c r="K16" s="530">
        <f t="shared" si="0"/>
        <v>17.649820134919445</v>
      </c>
      <c r="L16" s="521" t="s">
        <v>201</v>
      </c>
      <c r="M16" s="171" t="s">
        <v>74</v>
      </c>
      <c r="N16" s="171">
        <v>532</v>
      </c>
      <c r="O16" s="172" t="s">
        <v>35</v>
      </c>
      <c r="P16" s="171" t="s">
        <v>91</v>
      </c>
      <c r="Q16" s="172" t="s">
        <v>548</v>
      </c>
      <c r="R16" s="175" t="s">
        <v>524</v>
      </c>
      <c r="S16" s="522" t="s">
        <v>497</v>
      </c>
    </row>
    <row r="17" spans="1:19">
      <c r="A17" s="167">
        <v>577</v>
      </c>
      <c r="B17" s="55"/>
      <c r="C17" s="55">
        <v>8</v>
      </c>
      <c r="D17" s="55">
        <v>5</v>
      </c>
      <c r="E17" s="55" t="s">
        <v>350</v>
      </c>
      <c r="F17" s="55">
        <v>70.150000000000006</v>
      </c>
      <c r="G17" s="55" t="s">
        <v>21</v>
      </c>
      <c r="H17" s="520">
        <v>50.032310485839801</v>
      </c>
      <c r="I17" s="175">
        <v>-1.1950000000000001</v>
      </c>
      <c r="J17" s="148">
        <v>-0.89012341618537905</v>
      </c>
      <c r="K17" s="530">
        <f t="shared" si="0"/>
        <v>17.522992824722106</v>
      </c>
      <c r="L17" s="521" t="s">
        <v>496</v>
      </c>
      <c r="M17" s="171" t="s">
        <v>74</v>
      </c>
      <c r="N17" s="171">
        <v>627</v>
      </c>
      <c r="O17" s="172" t="s">
        <v>35</v>
      </c>
      <c r="P17" s="171" t="s">
        <v>91</v>
      </c>
      <c r="Q17" s="172" t="s">
        <v>548</v>
      </c>
      <c r="R17" s="175" t="s">
        <v>524</v>
      </c>
      <c r="S17" s="522" t="s">
        <v>497</v>
      </c>
    </row>
    <row r="18" spans="1:19">
      <c r="A18" s="167">
        <v>577</v>
      </c>
      <c r="B18" s="55"/>
      <c r="C18" s="55">
        <v>8</v>
      </c>
      <c r="D18" s="55">
        <v>5</v>
      </c>
      <c r="E18" s="55" t="s">
        <v>350</v>
      </c>
      <c r="F18" s="55">
        <v>70.150000000000006</v>
      </c>
      <c r="G18" s="55" t="s">
        <v>21</v>
      </c>
      <c r="H18" s="520">
        <v>50.032310485839801</v>
      </c>
      <c r="I18" s="175">
        <v>-1.26</v>
      </c>
      <c r="J18" s="148">
        <v>-0.89012341618537905</v>
      </c>
      <c r="K18" s="530">
        <f t="shared" si="0"/>
        <v>17.828540130752739</v>
      </c>
      <c r="L18" s="523" t="s">
        <v>539</v>
      </c>
      <c r="M18" s="171" t="s">
        <v>74</v>
      </c>
      <c r="N18" s="171">
        <v>342</v>
      </c>
      <c r="O18" s="172" t="s">
        <v>35</v>
      </c>
      <c r="P18" s="171" t="s">
        <v>91</v>
      </c>
      <c r="Q18" s="172" t="s">
        <v>548</v>
      </c>
      <c r="R18" s="175" t="s">
        <v>524</v>
      </c>
      <c r="S18" s="522" t="s">
        <v>497</v>
      </c>
    </row>
    <row r="19" spans="1:19">
      <c r="A19" s="167">
        <v>577</v>
      </c>
      <c r="B19" s="55"/>
      <c r="C19" s="55">
        <v>8</v>
      </c>
      <c r="D19" s="55">
        <v>5</v>
      </c>
      <c r="E19" s="55" t="s">
        <v>350</v>
      </c>
      <c r="F19" s="55">
        <v>70.150000000000006</v>
      </c>
      <c r="G19" s="55" t="s">
        <v>21</v>
      </c>
      <c r="H19" s="520">
        <v>50.032310485839801</v>
      </c>
      <c r="I19" s="175">
        <v>-1.1970000000000001</v>
      </c>
      <c r="J19" s="148">
        <v>-0.89012341618537905</v>
      </c>
      <c r="K19" s="530">
        <f t="shared" si="0"/>
        <v>17.53238294029228</v>
      </c>
      <c r="L19" s="521" t="s">
        <v>498</v>
      </c>
      <c r="M19" s="171" t="s">
        <v>74</v>
      </c>
      <c r="N19" s="171">
        <v>475</v>
      </c>
      <c r="O19" s="172" t="s">
        <v>35</v>
      </c>
      <c r="P19" s="171" t="s">
        <v>91</v>
      </c>
      <c r="Q19" s="172" t="s">
        <v>548</v>
      </c>
      <c r="R19" s="175" t="s">
        <v>524</v>
      </c>
      <c r="S19" s="522" t="s">
        <v>497</v>
      </c>
    </row>
    <row r="20" spans="1:19">
      <c r="A20" s="167">
        <v>577</v>
      </c>
      <c r="B20" s="55"/>
      <c r="C20" s="55">
        <v>8</v>
      </c>
      <c r="D20" s="55">
        <v>5</v>
      </c>
      <c r="E20" s="55" t="s">
        <v>350</v>
      </c>
      <c r="F20" s="55">
        <v>70.150000000000006</v>
      </c>
      <c r="G20" s="55" t="s">
        <v>21</v>
      </c>
      <c r="H20" s="520">
        <v>50.032310485839801</v>
      </c>
      <c r="I20" s="175">
        <v>-1.1559999999999999</v>
      </c>
      <c r="J20" s="148">
        <v>-0.89012341618537905</v>
      </c>
      <c r="K20" s="530">
        <f t="shared" si="0"/>
        <v>17.340029481103723</v>
      </c>
      <c r="L20" s="521" t="s">
        <v>204</v>
      </c>
      <c r="M20" s="171" t="s">
        <v>74</v>
      </c>
      <c r="N20" s="171">
        <v>475</v>
      </c>
      <c r="O20" s="172" t="s">
        <v>35</v>
      </c>
      <c r="P20" s="171" t="s">
        <v>91</v>
      </c>
      <c r="Q20" s="172" t="s">
        <v>548</v>
      </c>
      <c r="R20" s="175" t="s">
        <v>524</v>
      </c>
      <c r="S20" s="522" t="s">
        <v>497</v>
      </c>
    </row>
    <row r="21" spans="1:19">
      <c r="A21" s="167">
        <v>577</v>
      </c>
      <c r="B21" s="55"/>
      <c r="C21" s="55">
        <v>8</v>
      </c>
      <c r="D21" s="55">
        <v>5</v>
      </c>
      <c r="E21" s="55" t="s">
        <v>350</v>
      </c>
      <c r="F21" s="55">
        <v>70.150000000000006</v>
      </c>
      <c r="G21" s="55" t="s">
        <v>21</v>
      </c>
      <c r="H21" s="520">
        <v>50.032310485839801</v>
      </c>
      <c r="I21" s="175">
        <v>-1.2669999999999999</v>
      </c>
      <c r="J21" s="148">
        <v>-0.89012341618537905</v>
      </c>
      <c r="K21" s="530">
        <f t="shared" si="0"/>
        <v>17.861490585248344</v>
      </c>
      <c r="L21" s="521" t="s">
        <v>499</v>
      </c>
      <c r="M21" s="171" t="s">
        <v>74</v>
      </c>
      <c r="N21" s="171">
        <v>361</v>
      </c>
      <c r="O21" s="172" t="s">
        <v>35</v>
      </c>
      <c r="P21" s="171" t="s">
        <v>91</v>
      </c>
      <c r="Q21" s="172" t="s">
        <v>548</v>
      </c>
      <c r="R21" s="175" t="s">
        <v>524</v>
      </c>
      <c r="S21" s="519"/>
    </row>
    <row r="22" spans="1:19">
      <c r="A22" s="167">
        <v>577</v>
      </c>
      <c r="B22" s="55"/>
      <c r="C22" s="55">
        <v>8</v>
      </c>
      <c r="D22" s="55">
        <v>5</v>
      </c>
      <c r="E22" s="55" t="s">
        <v>350</v>
      </c>
      <c r="F22" s="55">
        <v>70.150000000000006</v>
      </c>
      <c r="G22" s="55" t="s">
        <v>21</v>
      </c>
      <c r="H22" s="520">
        <v>50.032310485839801</v>
      </c>
      <c r="I22" s="175">
        <v>-1.1919999999999999</v>
      </c>
      <c r="J22" s="148">
        <v>-0.89012341618537905</v>
      </c>
      <c r="K22" s="530">
        <f t="shared" si="0"/>
        <v>17.508909001366842</v>
      </c>
      <c r="L22" s="521" t="s">
        <v>523</v>
      </c>
      <c r="M22" s="171" t="s">
        <v>74</v>
      </c>
      <c r="N22" s="171">
        <v>228</v>
      </c>
      <c r="O22" s="172" t="s">
        <v>35</v>
      </c>
      <c r="P22" s="171" t="s">
        <v>91</v>
      </c>
      <c r="Q22" s="172" t="s">
        <v>548</v>
      </c>
      <c r="R22" s="175" t="s">
        <v>524</v>
      </c>
      <c r="S22" s="522" t="s">
        <v>497</v>
      </c>
    </row>
    <row r="23" spans="1:19">
      <c r="A23" s="167">
        <v>577</v>
      </c>
      <c r="B23" s="55"/>
      <c r="C23" s="55">
        <v>8</v>
      </c>
      <c r="D23" s="55">
        <v>5</v>
      </c>
      <c r="E23" s="55" t="s">
        <v>350</v>
      </c>
      <c r="F23" s="55">
        <v>70.150000000000006</v>
      </c>
      <c r="G23" s="55" t="s">
        <v>21</v>
      </c>
      <c r="H23" s="520">
        <v>50.032310485839801</v>
      </c>
      <c r="I23" s="175">
        <v>-1.0309999999999999</v>
      </c>
      <c r="J23" s="148">
        <v>-0.89012341618537905</v>
      </c>
      <c r="K23" s="530">
        <f t="shared" si="0"/>
        <v>16.755453507967896</v>
      </c>
      <c r="L23" s="521" t="s">
        <v>391</v>
      </c>
      <c r="M23" s="171" t="s">
        <v>74</v>
      </c>
      <c r="N23" s="171">
        <v>304</v>
      </c>
      <c r="O23" s="172" t="s">
        <v>35</v>
      </c>
      <c r="P23" s="171" t="s">
        <v>91</v>
      </c>
      <c r="Q23" s="172" t="s">
        <v>548</v>
      </c>
      <c r="R23" s="175" t="s">
        <v>524</v>
      </c>
      <c r="S23" s="522" t="s">
        <v>497</v>
      </c>
    </row>
    <row r="24" spans="1:19">
      <c r="A24" s="167">
        <v>577</v>
      </c>
      <c r="B24" s="55"/>
      <c r="C24" s="55">
        <v>8</v>
      </c>
      <c r="D24" s="55">
        <v>5</v>
      </c>
      <c r="E24" s="55" t="s">
        <v>350</v>
      </c>
      <c r="F24" s="55">
        <v>70.150000000000006</v>
      </c>
      <c r="G24" s="55" t="s">
        <v>21</v>
      </c>
      <c r="H24" s="520">
        <v>50.032310485839801</v>
      </c>
      <c r="I24" s="175">
        <v>-1.3169999999999999</v>
      </c>
      <c r="J24" s="148">
        <v>-0.89012341618537905</v>
      </c>
      <c r="K24" s="530">
        <f t="shared" si="0"/>
        <v>18.097107474502675</v>
      </c>
      <c r="L24" s="521" t="s">
        <v>500</v>
      </c>
      <c r="M24" s="171" t="s">
        <v>74</v>
      </c>
      <c r="N24" s="171">
        <v>608</v>
      </c>
      <c r="O24" s="172" t="s">
        <v>35</v>
      </c>
      <c r="P24" s="171" t="s">
        <v>91</v>
      </c>
      <c r="Q24" s="172" t="s">
        <v>548</v>
      </c>
      <c r="R24" s="175" t="s">
        <v>524</v>
      </c>
      <c r="S24" s="519"/>
    </row>
    <row r="25" spans="1:19">
      <c r="A25" s="167">
        <v>577</v>
      </c>
      <c r="B25" s="55"/>
      <c r="C25" s="55">
        <v>8</v>
      </c>
      <c r="D25" s="55">
        <v>5</v>
      </c>
      <c r="E25" s="55" t="s">
        <v>350</v>
      </c>
      <c r="F25" s="55">
        <v>70.150000000000006</v>
      </c>
      <c r="G25" s="55" t="s">
        <v>21</v>
      </c>
      <c r="H25" s="520">
        <v>50.032310485839801</v>
      </c>
      <c r="I25" s="175">
        <v>-1.1240000000000001</v>
      </c>
      <c r="J25" s="148">
        <v>-0.89012341618537905</v>
      </c>
      <c r="K25" s="530">
        <f t="shared" si="0"/>
        <v>17.190110191980953</v>
      </c>
      <c r="L25" s="521" t="s">
        <v>523</v>
      </c>
      <c r="M25" s="171" t="s">
        <v>74</v>
      </c>
      <c r="N25" s="171">
        <v>342</v>
      </c>
      <c r="O25" s="172" t="s">
        <v>35</v>
      </c>
      <c r="P25" s="171" t="s">
        <v>91</v>
      </c>
      <c r="Q25" s="172" t="s">
        <v>548</v>
      </c>
      <c r="R25" s="175" t="s">
        <v>524</v>
      </c>
      <c r="S25" s="522" t="s">
        <v>497</v>
      </c>
    </row>
    <row r="26" spans="1:19">
      <c r="A26" s="167">
        <v>577</v>
      </c>
      <c r="B26" s="55"/>
      <c r="C26" s="55">
        <v>8</v>
      </c>
      <c r="D26" s="55">
        <v>5</v>
      </c>
      <c r="E26" s="55" t="s">
        <v>350</v>
      </c>
      <c r="F26" s="55">
        <v>70.150000000000006</v>
      </c>
      <c r="G26" s="55" t="s">
        <v>21</v>
      </c>
      <c r="H26" s="520">
        <v>50.032310485839801</v>
      </c>
      <c r="I26" s="175">
        <v>-0.36099999999999999</v>
      </c>
      <c r="J26" s="148">
        <v>-0.89012341618537905</v>
      </c>
      <c r="K26" s="491">
        <f t="shared" si="0"/>
        <v>13.670064791959856</v>
      </c>
      <c r="L26" s="521" t="s">
        <v>529</v>
      </c>
      <c r="M26" s="171" t="s">
        <v>74</v>
      </c>
      <c r="N26" s="171">
        <v>380</v>
      </c>
      <c r="O26" s="172" t="s">
        <v>528</v>
      </c>
      <c r="P26" s="171" t="s">
        <v>91</v>
      </c>
      <c r="Q26" s="172" t="s">
        <v>548</v>
      </c>
      <c r="R26" s="175" t="s">
        <v>524</v>
      </c>
      <c r="S26" s="522" t="s">
        <v>497</v>
      </c>
    </row>
    <row r="27" spans="1:19">
      <c r="A27" s="167">
        <v>577</v>
      </c>
      <c r="B27" s="55"/>
      <c r="C27" s="55">
        <v>8</v>
      </c>
      <c r="D27" s="55">
        <v>5</v>
      </c>
      <c r="E27" s="55" t="s">
        <v>350</v>
      </c>
      <c r="F27" s="55">
        <v>70.150000000000006</v>
      </c>
      <c r="G27" s="55" t="s">
        <v>21</v>
      </c>
      <c r="H27" s="520">
        <v>50.032310485839801</v>
      </c>
      <c r="I27" s="175">
        <v>-0.42499999999999999</v>
      </c>
      <c r="J27" s="148">
        <v>-0.89012341618537905</v>
      </c>
      <c r="K27" s="491">
        <f t="shared" si="0"/>
        <v>13.961297930205399</v>
      </c>
      <c r="L27" s="521" t="s">
        <v>501</v>
      </c>
      <c r="M27" s="171" t="s">
        <v>74</v>
      </c>
      <c r="N27" s="171">
        <v>380</v>
      </c>
      <c r="O27" s="172" t="s">
        <v>44</v>
      </c>
      <c r="P27" s="171" t="s">
        <v>91</v>
      </c>
      <c r="Q27" s="172" t="s">
        <v>548</v>
      </c>
      <c r="R27" s="175" t="s">
        <v>524</v>
      </c>
      <c r="S27" s="519"/>
    </row>
    <row r="28" spans="1:19">
      <c r="A28" s="167">
        <v>577</v>
      </c>
      <c r="B28" s="55"/>
      <c r="C28" s="55">
        <v>8</v>
      </c>
      <c r="D28" s="55">
        <v>5</v>
      </c>
      <c r="E28" s="55" t="s">
        <v>350</v>
      </c>
      <c r="F28" s="55">
        <v>70.150000000000006</v>
      </c>
      <c r="G28" s="55" t="s">
        <v>21</v>
      </c>
      <c r="H28" s="520">
        <v>50.032310485839801</v>
      </c>
      <c r="I28" s="175">
        <v>-0.34699999999999998</v>
      </c>
      <c r="J28" s="148">
        <v>-0.89012341618537905</v>
      </c>
      <c r="K28" s="491">
        <f t="shared" si="0"/>
        <v>13.606455822968641</v>
      </c>
      <c r="L28" s="521" t="s">
        <v>502</v>
      </c>
      <c r="M28" s="171" t="s">
        <v>74</v>
      </c>
      <c r="N28" s="171">
        <v>380</v>
      </c>
      <c r="O28" s="172" t="s">
        <v>44</v>
      </c>
      <c r="P28" s="171" t="s">
        <v>91</v>
      </c>
      <c r="Q28" s="172" t="s">
        <v>548</v>
      </c>
      <c r="R28" s="175" t="s">
        <v>524</v>
      </c>
      <c r="S28" s="519"/>
    </row>
    <row r="29" spans="1:19">
      <c r="A29" s="167">
        <v>577</v>
      </c>
      <c r="B29" s="55"/>
      <c r="C29" s="55">
        <v>8</v>
      </c>
      <c r="D29" s="55">
        <v>5</v>
      </c>
      <c r="E29" s="55" t="s">
        <v>350</v>
      </c>
      <c r="F29" s="55">
        <v>70.150000000000006</v>
      </c>
      <c r="G29" s="55" t="s">
        <v>21</v>
      </c>
      <c r="H29" s="520">
        <v>50.032310485839801</v>
      </c>
      <c r="I29" s="175">
        <v>-0.437</v>
      </c>
      <c r="J29" s="148">
        <v>-0.89012341618537905</v>
      </c>
      <c r="K29" s="491">
        <f t="shared" si="0"/>
        <v>14.015986223626438</v>
      </c>
      <c r="L29" s="521" t="s">
        <v>503</v>
      </c>
      <c r="M29" s="171" t="s">
        <v>74</v>
      </c>
      <c r="N29" s="171">
        <v>513</v>
      </c>
      <c r="O29" s="172" t="s">
        <v>44</v>
      </c>
      <c r="P29" s="171" t="s">
        <v>91</v>
      </c>
      <c r="Q29" s="172" t="s">
        <v>548</v>
      </c>
      <c r="R29" s="175" t="s">
        <v>524</v>
      </c>
      <c r="S29" s="519" t="s">
        <v>540</v>
      </c>
    </row>
    <row r="30" spans="1:19">
      <c r="A30" s="167">
        <v>577</v>
      </c>
      <c r="B30" s="55"/>
      <c r="C30" s="55">
        <v>8</v>
      </c>
      <c r="D30" s="55">
        <v>5</v>
      </c>
      <c r="E30" s="55" t="s">
        <v>350</v>
      </c>
      <c r="F30" s="55">
        <v>70.150000000000006</v>
      </c>
      <c r="G30" s="55" t="s">
        <v>21</v>
      </c>
      <c r="H30" s="520">
        <v>50.032310485839801</v>
      </c>
      <c r="I30" s="175">
        <v>-0.35599999999999998</v>
      </c>
      <c r="J30" s="148">
        <v>-0.89012341618537905</v>
      </c>
      <c r="K30" s="491">
        <f t="shared" si="0"/>
        <v>13.647343253034421</v>
      </c>
      <c r="L30" s="521" t="s">
        <v>504</v>
      </c>
      <c r="M30" s="171" t="s">
        <v>74</v>
      </c>
      <c r="N30" s="171">
        <v>551</v>
      </c>
      <c r="O30" s="172" t="s">
        <v>44</v>
      </c>
      <c r="P30" s="171" t="s">
        <v>91</v>
      </c>
      <c r="Q30" s="172" t="s">
        <v>548</v>
      </c>
      <c r="R30" s="175" t="s">
        <v>524</v>
      </c>
      <c r="S30" s="519"/>
    </row>
    <row r="31" spans="1:19">
      <c r="A31" s="167">
        <v>577</v>
      </c>
      <c r="B31" s="55"/>
      <c r="C31" s="55">
        <v>8</v>
      </c>
      <c r="D31" s="55">
        <v>5</v>
      </c>
      <c r="E31" s="55" t="s">
        <v>350</v>
      </c>
      <c r="F31" s="55">
        <v>70.150000000000006</v>
      </c>
      <c r="G31" s="55" t="s">
        <v>21</v>
      </c>
      <c r="H31" s="520">
        <v>50.032310485839801</v>
      </c>
      <c r="I31" s="175">
        <v>-0.67300000000000004</v>
      </c>
      <c r="J31" s="148">
        <v>-0.89012341618537905</v>
      </c>
      <c r="K31" s="530">
        <f t="shared" si="0"/>
        <v>15.096790180906883</v>
      </c>
      <c r="L31" s="523" t="s">
        <v>541</v>
      </c>
      <c r="M31" s="171" t="s">
        <v>74</v>
      </c>
      <c r="N31" s="171">
        <v>228</v>
      </c>
      <c r="O31" s="172" t="s">
        <v>35</v>
      </c>
      <c r="P31" s="171" t="s">
        <v>91</v>
      </c>
      <c r="Q31" s="172" t="s">
        <v>548</v>
      </c>
      <c r="R31" s="175" t="s">
        <v>524</v>
      </c>
      <c r="S31" s="519"/>
    </row>
    <row r="32" spans="1:19">
      <c r="A32" s="167">
        <v>577</v>
      </c>
      <c r="B32" s="55"/>
      <c r="C32" s="55">
        <v>8</v>
      </c>
      <c r="D32" s="55">
        <v>5</v>
      </c>
      <c r="E32" s="55" t="s">
        <v>350</v>
      </c>
      <c r="F32" s="55">
        <v>70.150000000000006</v>
      </c>
      <c r="G32" s="55" t="s">
        <v>21</v>
      </c>
      <c r="H32" s="520">
        <v>50.032310485839801</v>
      </c>
      <c r="I32" s="175">
        <v>-0.41599999999999998</v>
      </c>
      <c r="J32" s="148">
        <v>-0.89012341618537905</v>
      </c>
      <c r="K32" s="491">
        <f t="shared" si="0"/>
        <v>13.920298720139618</v>
      </c>
      <c r="L32" s="521" t="s">
        <v>526</v>
      </c>
      <c r="M32" s="171" t="s">
        <v>74</v>
      </c>
      <c r="N32" s="171">
        <v>190</v>
      </c>
      <c r="O32" s="172" t="s">
        <v>44</v>
      </c>
      <c r="P32" s="171" t="s">
        <v>91</v>
      </c>
      <c r="Q32" s="172" t="s">
        <v>548</v>
      </c>
      <c r="R32" s="175" t="s">
        <v>524</v>
      </c>
      <c r="S32" s="519"/>
    </row>
    <row r="33" spans="1:19">
      <c r="A33" s="167">
        <v>577</v>
      </c>
      <c r="B33" s="55"/>
      <c r="C33" s="55">
        <v>8</v>
      </c>
      <c r="D33" s="55">
        <v>5</v>
      </c>
      <c r="E33" s="55" t="s">
        <v>350</v>
      </c>
      <c r="F33" s="55">
        <v>70.150000000000006</v>
      </c>
      <c r="G33" s="55" t="s">
        <v>21</v>
      </c>
      <c r="H33" s="520">
        <v>50.032310485839801</v>
      </c>
      <c r="I33" s="175">
        <v>-0.91100000000000003</v>
      </c>
      <c r="J33" s="148">
        <v>-0.89012341618537905</v>
      </c>
      <c r="K33" s="530">
        <f t="shared" si="0"/>
        <v>16.196906573757502</v>
      </c>
      <c r="L33" s="521" t="s">
        <v>505</v>
      </c>
      <c r="M33" s="171" t="s">
        <v>74</v>
      </c>
      <c r="N33" s="171">
        <v>228</v>
      </c>
      <c r="O33" s="172" t="s">
        <v>35</v>
      </c>
      <c r="P33" s="171" t="s">
        <v>91</v>
      </c>
      <c r="Q33" s="172" t="s">
        <v>548</v>
      </c>
      <c r="R33" s="175" t="s">
        <v>524</v>
      </c>
      <c r="S33" s="519"/>
    </row>
    <row r="34" spans="1:19">
      <c r="A34" s="167">
        <v>577</v>
      </c>
      <c r="B34" s="55"/>
      <c r="C34" s="55">
        <v>8</v>
      </c>
      <c r="D34" s="55">
        <v>5</v>
      </c>
      <c r="E34" s="55" t="s">
        <v>350</v>
      </c>
      <c r="F34" s="55">
        <v>70.150000000000006</v>
      </c>
      <c r="G34" s="55" t="s">
        <v>21</v>
      </c>
      <c r="H34" s="520">
        <v>50.032310485839801</v>
      </c>
      <c r="I34" s="175">
        <v>-0.80800000000000005</v>
      </c>
      <c r="J34" s="148">
        <v>-0.89012341618537905</v>
      </c>
      <c r="K34" s="530">
        <f t="shared" si="0"/>
        <v>15.719554331893578</v>
      </c>
      <c r="L34" s="521" t="s">
        <v>299</v>
      </c>
      <c r="M34" s="171" t="s">
        <v>74</v>
      </c>
      <c r="N34" s="171">
        <v>247</v>
      </c>
      <c r="O34" s="172" t="s">
        <v>35</v>
      </c>
      <c r="P34" s="171" t="s">
        <v>91</v>
      </c>
      <c r="Q34" s="172" t="s">
        <v>548</v>
      </c>
      <c r="R34" s="175" t="s">
        <v>524</v>
      </c>
      <c r="S34" s="519"/>
    </row>
    <row r="35" spans="1:19">
      <c r="A35" s="167">
        <v>577</v>
      </c>
      <c r="B35" s="55"/>
      <c r="C35" s="55">
        <v>8</v>
      </c>
      <c r="D35" s="55">
        <v>5</v>
      </c>
      <c r="E35" s="55" t="s">
        <v>350</v>
      </c>
      <c r="F35" s="55">
        <v>70.150000000000006</v>
      </c>
      <c r="G35" s="55" t="s">
        <v>21</v>
      </c>
      <c r="H35" s="520">
        <v>50.032310485839801</v>
      </c>
      <c r="I35" s="175">
        <v>-1.1319999999999999</v>
      </c>
      <c r="J35" s="148">
        <v>-0.89012341618537905</v>
      </c>
      <c r="K35" s="491">
        <f t="shared" si="0"/>
        <v>17.227572734261649</v>
      </c>
      <c r="L35" s="521" t="s">
        <v>530</v>
      </c>
      <c r="M35" s="171" t="s">
        <v>74</v>
      </c>
      <c r="N35" s="171">
        <v>494</v>
      </c>
      <c r="O35" s="172" t="s">
        <v>44</v>
      </c>
      <c r="P35" s="171" t="s">
        <v>91</v>
      </c>
      <c r="Q35" s="172" t="s">
        <v>548</v>
      </c>
      <c r="R35" s="175" t="s">
        <v>524</v>
      </c>
      <c r="S35" s="522" t="s">
        <v>497</v>
      </c>
    </row>
    <row r="36" spans="1:19">
      <c r="A36" s="167">
        <v>577</v>
      </c>
      <c r="B36" s="55"/>
      <c r="C36" s="55">
        <v>8</v>
      </c>
      <c r="D36" s="55">
        <v>5</v>
      </c>
      <c r="E36" s="55" t="s">
        <v>350</v>
      </c>
      <c r="F36" s="55">
        <v>70.150000000000006</v>
      </c>
      <c r="G36" s="55" t="s">
        <v>21</v>
      </c>
      <c r="H36" s="520">
        <v>50.032310485839801</v>
      </c>
      <c r="I36" s="175">
        <v>-0.61</v>
      </c>
      <c r="J36" s="148">
        <v>-0.89012341618537905</v>
      </c>
      <c r="K36" s="491">
        <f t="shared" si="0"/>
        <v>14.807289570446425</v>
      </c>
      <c r="L36" s="521" t="s">
        <v>525</v>
      </c>
      <c r="M36" s="171" t="s">
        <v>74</v>
      </c>
      <c r="N36" s="171">
        <v>323</v>
      </c>
      <c r="O36" s="172" t="s">
        <v>528</v>
      </c>
      <c r="P36" s="171" t="s">
        <v>91</v>
      </c>
      <c r="Q36" s="172" t="s">
        <v>548</v>
      </c>
      <c r="R36" s="175" t="s">
        <v>524</v>
      </c>
      <c r="S36" s="519"/>
    </row>
    <row r="37" spans="1:19">
      <c r="A37" s="167">
        <v>577</v>
      </c>
      <c r="B37" s="196"/>
      <c r="C37" s="196">
        <v>9</v>
      </c>
      <c r="D37" s="196">
        <v>2</v>
      </c>
      <c r="E37" s="196" t="s">
        <v>104</v>
      </c>
      <c r="F37" s="196">
        <f>74.8+0.81</f>
        <v>75.61</v>
      </c>
      <c r="G37" s="55" t="s">
        <v>21</v>
      </c>
      <c r="H37" s="520">
        <v>52.790599822998047</v>
      </c>
      <c r="I37" s="57">
        <v>-1.3009999999999999</v>
      </c>
      <c r="J37" s="148">
        <v>-0.89012341618537905</v>
      </c>
      <c r="K37" s="530">
        <f t="shared" si="0"/>
        <v>18.021661109941288</v>
      </c>
      <c r="L37" s="521" t="s">
        <v>619</v>
      </c>
      <c r="M37" s="171" t="s">
        <v>74</v>
      </c>
      <c r="N37" s="171">
        <v>551</v>
      </c>
      <c r="O37" s="172" t="s">
        <v>35</v>
      </c>
      <c r="P37" s="171" t="s">
        <v>91</v>
      </c>
      <c r="Q37" s="172" t="s">
        <v>548</v>
      </c>
      <c r="R37" s="175" t="s">
        <v>524</v>
      </c>
      <c r="S37" s="519" t="s">
        <v>590</v>
      </c>
    </row>
    <row r="38" spans="1:19">
      <c r="A38" s="167">
        <v>577</v>
      </c>
      <c r="B38" s="196"/>
      <c r="C38" s="196">
        <v>9</v>
      </c>
      <c r="D38" s="196">
        <v>2</v>
      </c>
      <c r="E38" s="196" t="s">
        <v>104</v>
      </c>
      <c r="F38" s="196">
        <f>74.8+0.81</f>
        <v>75.61</v>
      </c>
      <c r="G38" s="55" t="s">
        <v>21</v>
      </c>
      <c r="H38" s="520">
        <v>52.790599822998047</v>
      </c>
      <c r="I38" s="57">
        <v>-1.341</v>
      </c>
      <c r="J38" s="148">
        <v>-0.89012341618537905</v>
      </c>
      <c r="K38" s="530">
        <f t="shared" si="0"/>
        <v>18.210363421344756</v>
      </c>
      <c r="L38" s="521" t="s">
        <v>324</v>
      </c>
      <c r="M38" s="171" t="s">
        <v>74</v>
      </c>
      <c r="N38" s="171">
        <v>589</v>
      </c>
      <c r="O38" s="172" t="s">
        <v>35</v>
      </c>
      <c r="P38" s="171" t="s">
        <v>91</v>
      </c>
      <c r="Q38" s="172" t="s">
        <v>548</v>
      </c>
      <c r="R38" s="175" t="s">
        <v>524</v>
      </c>
      <c r="S38" s="519"/>
    </row>
    <row r="39" spans="1:19">
      <c r="A39" s="167">
        <v>577</v>
      </c>
      <c r="B39" s="196"/>
      <c r="C39" s="196">
        <v>9</v>
      </c>
      <c r="D39" s="196">
        <v>2</v>
      </c>
      <c r="E39" s="196" t="s">
        <v>104</v>
      </c>
      <c r="F39" s="196">
        <f t="shared" ref="F39:F61" si="1">74.8+0.81</f>
        <v>75.61</v>
      </c>
      <c r="G39" s="55" t="s">
        <v>21</v>
      </c>
      <c r="H39" s="520">
        <v>52.790599822997997</v>
      </c>
      <c r="I39" s="57">
        <v>-1.5509999999999999</v>
      </c>
      <c r="J39" s="148">
        <v>-0.89012341618537905</v>
      </c>
      <c r="K39" s="530">
        <f t="shared" si="0"/>
        <v>19.205775556212945</v>
      </c>
      <c r="L39" s="521" t="s">
        <v>620</v>
      </c>
      <c r="M39" s="171" t="s">
        <v>74</v>
      </c>
      <c r="N39" s="171">
        <v>665</v>
      </c>
      <c r="O39" s="172" t="s">
        <v>35</v>
      </c>
      <c r="P39" s="171" t="s">
        <v>91</v>
      </c>
      <c r="Q39" s="172" t="s">
        <v>548</v>
      </c>
      <c r="R39" s="175" t="s">
        <v>524</v>
      </c>
      <c r="S39" s="519"/>
    </row>
    <row r="40" spans="1:19">
      <c r="A40" s="167">
        <v>577</v>
      </c>
      <c r="B40" s="196"/>
      <c r="C40" s="196">
        <v>9</v>
      </c>
      <c r="D40" s="196">
        <v>2</v>
      </c>
      <c r="E40" s="196" t="s">
        <v>104</v>
      </c>
      <c r="F40" s="196">
        <f t="shared" si="1"/>
        <v>75.61</v>
      </c>
      <c r="G40" s="55" t="s">
        <v>21</v>
      </c>
      <c r="H40" s="520">
        <v>52.790599822997997</v>
      </c>
      <c r="I40" s="57">
        <v>-1.389</v>
      </c>
      <c r="J40" s="148">
        <v>-0.89012341618537905</v>
      </c>
      <c r="K40" s="530">
        <f t="shared" si="0"/>
        <v>18.437186355028913</v>
      </c>
      <c r="L40" s="521" t="s">
        <v>201</v>
      </c>
      <c r="M40" s="171" t="s">
        <v>74</v>
      </c>
      <c r="N40" s="171">
        <v>608</v>
      </c>
      <c r="O40" s="172" t="s">
        <v>35</v>
      </c>
      <c r="P40" s="171" t="s">
        <v>91</v>
      </c>
      <c r="Q40" s="172" t="s">
        <v>548</v>
      </c>
      <c r="R40" s="175" t="s">
        <v>524</v>
      </c>
      <c r="S40" s="519"/>
    </row>
    <row r="41" spans="1:19">
      <c r="A41" s="167">
        <v>577</v>
      </c>
      <c r="B41" s="196"/>
      <c r="C41" s="196">
        <v>9</v>
      </c>
      <c r="D41" s="196">
        <v>2</v>
      </c>
      <c r="E41" s="196" t="s">
        <v>104</v>
      </c>
      <c r="F41" s="196">
        <f t="shared" si="1"/>
        <v>75.61</v>
      </c>
      <c r="G41" s="55" t="s">
        <v>21</v>
      </c>
      <c r="H41" s="520">
        <v>52.790599822997997</v>
      </c>
      <c r="I41" s="57">
        <v>-0.63</v>
      </c>
      <c r="J41" s="148">
        <v>-0.89012341618537905</v>
      </c>
      <c r="K41" s="491">
        <f t="shared" si="0"/>
        <v>14.899117126148157</v>
      </c>
      <c r="L41" s="521" t="s">
        <v>180</v>
      </c>
      <c r="M41" s="171" t="s">
        <v>74</v>
      </c>
      <c r="N41" s="171">
        <v>380</v>
      </c>
      <c r="O41" s="172" t="s">
        <v>44</v>
      </c>
      <c r="P41" s="171" t="s">
        <v>91</v>
      </c>
      <c r="Q41" s="172" t="s">
        <v>548</v>
      </c>
      <c r="R41" s="175" t="s">
        <v>524</v>
      </c>
      <c r="S41" s="519"/>
    </row>
    <row r="42" spans="1:19">
      <c r="A42" s="167">
        <v>577</v>
      </c>
      <c r="B42" s="196"/>
      <c r="C42" s="196">
        <v>9</v>
      </c>
      <c r="D42" s="196">
        <v>2</v>
      </c>
      <c r="E42" s="196" t="s">
        <v>104</v>
      </c>
      <c r="F42" s="196">
        <f t="shared" si="1"/>
        <v>75.61</v>
      </c>
      <c r="G42" s="55" t="s">
        <v>21</v>
      </c>
      <c r="H42" s="520">
        <v>52.790599822997997</v>
      </c>
      <c r="I42" s="57">
        <v>-0.46800000000000003</v>
      </c>
      <c r="J42" s="148">
        <v>-0.89012341618537905</v>
      </c>
      <c r="K42" s="491">
        <f t="shared" si="0"/>
        <v>14.157384284964124</v>
      </c>
      <c r="L42" s="521" t="s">
        <v>503</v>
      </c>
      <c r="M42" s="171" t="s">
        <v>74</v>
      </c>
      <c r="N42" s="171">
        <v>380</v>
      </c>
      <c r="O42" s="172" t="s">
        <v>44</v>
      </c>
      <c r="P42" s="171" t="s">
        <v>91</v>
      </c>
      <c r="Q42" s="172" t="s">
        <v>548</v>
      </c>
      <c r="R42" s="175" t="s">
        <v>524</v>
      </c>
      <c r="S42" s="519"/>
    </row>
    <row r="43" spans="1:19">
      <c r="A43" s="167">
        <v>577</v>
      </c>
      <c r="B43" s="196"/>
      <c r="C43" s="196">
        <v>9</v>
      </c>
      <c r="D43" s="196">
        <v>2</v>
      </c>
      <c r="E43" s="196" t="s">
        <v>104</v>
      </c>
      <c r="F43" s="196">
        <f t="shared" si="1"/>
        <v>75.61</v>
      </c>
      <c r="G43" s="55" t="s">
        <v>21</v>
      </c>
      <c r="H43" s="520">
        <v>52.790599822997997</v>
      </c>
      <c r="I43" s="57">
        <v>-0.46400000000000002</v>
      </c>
      <c r="J43" s="148">
        <v>-0.89012341618537905</v>
      </c>
      <c r="K43" s="491">
        <f t="shared" si="0"/>
        <v>14.139129653823778</v>
      </c>
      <c r="L43" s="521" t="s">
        <v>501</v>
      </c>
      <c r="M43" s="171" t="s">
        <v>74</v>
      </c>
      <c r="N43" s="171">
        <v>361</v>
      </c>
      <c r="O43" s="172" t="s">
        <v>44</v>
      </c>
      <c r="P43" s="171" t="s">
        <v>91</v>
      </c>
      <c r="Q43" s="172" t="s">
        <v>548</v>
      </c>
      <c r="R43" s="175" t="s">
        <v>524</v>
      </c>
      <c r="S43" s="519"/>
    </row>
    <row r="44" spans="1:19">
      <c r="A44" s="167">
        <v>577</v>
      </c>
      <c r="B44" s="196"/>
      <c r="C44" s="196">
        <v>9</v>
      </c>
      <c r="D44" s="196">
        <v>2</v>
      </c>
      <c r="E44" s="196" t="s">
        <v>104</v>
      </c>
      <c r="F44" s="196">
        <f t="shared" si="1"/>
        <v>75.61</v>
      </c>
      <c r="G44" s="55" t="s">
        <v>21</v>
      </c>
      <c r="H44" s="520">
        <v>52.790599822997997</v>
      </c>
      <c r="I44" s="57">
        <v>-0.39600000000000002</v>
      </c>
      <c r="J44" s="148">
        <v>-0.89012341618537905</v>
      </c>
      <c r="K44" s="491">
        <f t="shared" si="0"/>
        <v>13.829241564437886</v>
      </c>
      <c r="L44" s="50" t="s">
        <v>679</v>
      </c>
      <c r="M44" s="171" t="s">
        <v>74</v>
      </c>
      <c r="N44" s="171">
        <v>285</v>
      </c>
      <c r="O44" s="172" t="s">
        <v>44</v>
      </c>
      <c r="P44" s="171" t="s">
        <v>91</v>
      </c>
      <c r="Q44" s="172" t="s">
        <v>548</v>
      </c>
      <c r="R44" s="175" t="s">
        <v>524</v>
      </c>
      <c r="S44" s="519"/>
    </row>
    <row r="45" spans="1:19">
      <c r="A45" s="167">
        <v>577</v>
      </c>
      <c r="B45" s="196"/>
      <c r="C45" s="196">
        <v>9</v>
      </c>
      <c r="D45" s="196">
        <v>2</v>
      </c>
      <c r="E45" s="196" t="s">
        <v>104</v>
      </c>
      <c r="F45" s="196">
        <f t="shared" si="1"/>
        <v>75.61</v>
      </c>
      <c r="G45" s="55" t="s">
        <v>21</v>
      </c>
      <c r="H45" s="520">
        <v>52.790599822997997</v>
      </c>
      <c r="I45" s="57">
        <v>-0.503</v>
      </c>
      <c r="J45" s="148">
        <v>-0.89012341618537905</v>
      </c>
      <c r="K45" s="491">
        <f t="shared" si="0"/>
        <v>14.317235157442157</v>
      </c>
      <c r="L45" s="521" t="s">
        <v>302</v>
      </c>
      <c r="M45" s="171" t="s">
        <v>74</v>
      </c>
      <c r="N45" s="171">
        <v>342</v>
      </c>
      <c r="O45" s="172" t="s">
        <v>44</v>
      </c>
      <c r="P45" s="171" t="s">
        <v>91</v>
      </c>
      <c r="Q45" s="172" t="s">
        <v>548</v>
      </c>
      <c r="R45" s="175" t="s">
        <v>524</v>
      </c>
      <c r="S45" s="519"/>
    </row>
    <row r="46" spans="1:19">
      <c r="A46" s="167">
        <v>577</v>
      </c>
      <c r="B46" s="196"/>
      <c r="C46" s="196">
        <v>9</v>
      </c>
      <c r="D46" s="196">
        <v>2</v>
      </c>
      <c r="E46" s="196" t="s">
        <v>104</v>
      </c>
      <c r="F46" s="196">
        <f t="shared" si="1"/>
        <v>75.61</v>
      </c>
      <c r="G46" s="55" t="s">
        <v>21</v>
      </c>
      <c r="H46" s="520">
        <v>52.790599822997997</v>
      </c>
      <c r="I46" s="57">
        <v>-1.3</v>
      </c>
      <c r="J46" s="148">
        <v>-0.89012341618537905</v>
      </c>
      <c r="K46" s="530">
        <f t="shared" si="0"/>
        <v>18.016947242156203</v>
      </c>
      <c r="L46" s="524" t="s">
        <v>505</v>
      </c>
      <c r="M46" s="171" t="s">
        <v>74</v>
      </c>
      <c r="N46" s="171">
        <v>247</v>
      </c>
      <c r="O46" s="172" t="s">
        <v>35</v>
      </c>
      <c r="P46" s="171" t="s">
        <v>91</v>
      </c>
      <c r="Q46" s="172" t="s">
        <v>548</v>
      </c>
      <c r="R46" s="175" t="s">
        <v>524</v>
      </c>
      <c r="S46" s="522" t="s">
        <v>543</v>
      </c>
    </row>
    <row r="47" spans="1:19">
      <c r="A47" s="167">
        <v>577</v>
      </c>
      <c r="B47" s="196"/>
      <c r="C47" s="196">
        <v>9</v>
      </c>
      <c r="D47" s="196">
        <v>2</v>
      </c>
      <c r="E47" s="196" t="s">
        <v>104</v>
      </c>
      <c r="F47" s="196">
        <f t="shared" si="1"/>
        <v>75.61</v>
      </c>
      <c r="G47" s="55" t="s">
        <v>21</v>
      </c>
      <c r="H47" s="520">
        <v>52.790599822997997</v>
      </c>
      <c r="I47" s="57">
        <v>-1.073</v>
      </c>
      <c r="J47" s="148">
        <v>-0.89012341618537905</v>
      </c>
      <c r="K47" s="491">
        <f t="shared" si="0"/>
        <v>16.951557294941537</v>
      </c>
      <c r="L47" s="524" t="s">
        <v>542</v>
      </c>
      <c r="M47" s="171" t="s">
        <v>74</v>
      </c>
      <c r="N47" s="171">
        <v>209</v>
      </c>
      <c r="O47" s="172" t="s">
        <v>44</v>
      </c>
      <c r="P47" s="171" t="s">
        <v>91</v>
      </c>
      <c r="Q47" s="172" t="s">
        <v>548</v>
      </c>
      <c r="R47" s="175" t="s">
        <v>524</v>
      </c>
      <c r="S47" s="519"/>
    </row>
    <row r="48" spans="1:19">
      <c r="A48" s="167">
        <v>577</v>
      </c>
      <c r="B48" s="196"/>
      <c r="C48" s="196">
        <v>9</v>
      </c>
      <c r="D48" s="196">
        <v>2</v>
      </c>
      <c r="E48" s="196" t="s">
        <v>104</v>
      </c>
      <c r="F48" s="196">
        <f t="shared" si="1"/>
        <v>75.61</v>
      </c>
      <c r="G48" s="55" t="s">
        <v>21</v>
      </c>
      <c r="H48" s="520">
        <v>52.790599822997997</v>
      </c>
      <c r="I48" s="57">
        <v>-0.51400000000000001</v>
      </c>
      <c r="J48" s="148">
        <v>-0.89012341618537905</v>
      </c>
      <c r="K48" s="491">
        <f t="shared" si="0"/>
        <v>14.367519543078108</v>
      </c>
      <c r="L48" s="521" t="s">
        <v>526</v>
      </c>
      <c r="M48" s="171" t="s">
        <v>74</v>
      </c>
      <c r="N48" s="171">
        <v>228</v>
      </c>
      <c r="O48" s="172" t="s">
        <v>44</v>
      </c>
      <c r="P48" s="171" t="s">
        <v>91</v>
      </c>
      <c r="Q48" s="172" t="s">
        <v>548</v>
      </c>
      <c r="R48" s="175" t="s">
        <v>524</v>
      </c>
      <c r="S48" s="522" t="s">
        <v>497</v>
      </c>
    </row>
    <row r="49" spans="1:19">
      <c r="A49" s="167">
        <v>577</v>
      </c>
      <c r="B49" s="196"/>
      <c r="C49" s="196">
        <v>9</v>
      </c>
      <c r="D49" s="196">
        <v>2</v>
      </c>
      <c r="E49" s="196" t="s">
        <v>104</v>
      </c>
      <c r="F49" s="196">
        <f t="shared" si="1"/>
        <v>75.61</v>
      </c>
      <c r="G49" s="55" t="s">
        <v>21</v>
      </c>
      <c r="H49" s="520">
        <v>52.790599822997997</v>
      </c>
      <c r="I49" s="57">
        <v>-0.92200000000000004</v>
      </c>
      <c r="J49" s="148">
        <v>-0.89012341618537905</v>
      </c>
      <c r="K49" s="491">
        <f t="shared" si="0"/>
        <v>16.247998799393457</v>
      </c>
      <c r="L49" s="521" t="s">
        <v>527</v>
      </c>
      <c r="M49" s="171" t="s">
        <v>74</v>
      </c>
      <c r="N49" s="171">
        <v>285</v>
      </c>
      <c r="O49" s="172" t="s">
        <v>44</v>
      </c>
      <c r="P49" s="171" t="s">
        <v>91</v>
      </c>
      <c r="Q49" s="172" t="s">
        <v>548</v>
      </c>
      <c r="R49" s="175" t="s">
        <v>524</v>
      </c>
      <c r="S49" s="522" t="s">
        <v>497</v>
      </c>
    </row>
    <row r="50" spans="1:19">
      <c r="A50" s="167">
        <v>577</v>
      </c>
      <c r="B50" s="196"/>
      <c r="C50" s="196">
        <v>9</v>
      </c>
      <c r="D50" s="196">
        <v>2</v>
      </c>
      <c r="E50" s="196" t="s">
        <v>104</v>
      </c>
      <c r="F50" s="196">
        <f t="shared" si="1"/>
        <v>75.61</v>
      </c>
      <c r="G50" s="55" t="s">
        <v>21</v>
      </c>
      <c r="H50" s="520">
        <v>52.790599822997997</v>
      </c>
      <c r="I50" s="57">
        <v>-1.4710000000000001</v>
      </c>
      <c r="J50" s="148">
        <v>-0.89012341618537905</v>
      </c>
      <c r="K50" s="530">
        <f t="shared" si="0"/>
        <v>18.825634933406015</v>
      </c>
      <c r="L50" s="523" t="s">
        <v>544</v>
      </c>
      <c r="M50" s="171" t="s">
        <v>74</v>
      </c>
      <c r="N50" s="171">
        <v>380</v>
      </c>
      <c r="O50" s="172" t="s">
        <v>35</v>
      </c>
      <c r="P50" s="171" t="s">
        <v>91</v>
      </c>
      <c r="Q50" s="172" t="s">
        <v>548</v>
      </c>
      <c r="R50" s="175" t="s">
        <v>524</v>
      </c>
      <c r="S50" s="522" t="s">
        <v>545</v>
      </c>
    </row>
    <row r="51" spans="1:19">
      <c r="A51" s="167">
        <v>577</v>
      </c>
      <c r="B51" s="196"/>
      <c r="C51" s="196">
        <v>9</v>
      </c>
      <c r="D51" s="196">
        <v>2</v>
      </c>
      <c r="E51" s="196" t="s">
        <v>104</v>
      </c>
      <c r="F51" s="196">
        <f t="shared" si="1"/>
        <v>75.61</v>
      </c>
      <c r="G51" s="55" t="s">
        <v>21</v>
      </c>
      <c r="H51" s="520">
        <v>52.790599822997997</v>
      </c>
      <c r="I51" s="57">
        <v>-1.109</v>
      </c>
      <c r="J51" s="148">
        <v>-0.89012341618537905</v>
      </c>
      <c r="K51" s="530">
        <f t="shared" si="0"/>
        <v>17.119898975204656</v>
      </c>
      <c r="L51" s="521" t="s">
        <v>204</v>
      </c>
      <c r="M51" s="171" t="s">
        <v>74</v>
      </c>
      <c r="N51" s="171">
        <v>380</v>
      </c>
      <c r="O51" s="172" t="s">
        <v>35</v>
      </c>
      <c r="P51" s="171" t="s">
        <v>91</v>
      </c>
      <c r="Q51" s="172" t="s">
        <v>548</v>
      </c>
      <c r="R51" s="175" t="s">
        <v>524</v>
      </c>
      <c r="S51" s="522" t="s">
        <v>497</v>
      </c>
    </row>
    <row r="52" spans="1:19">
      <c r="A52" s="167">
        <v>577</v>
      </c>
      <c r="B52" s="196"/>
      <c r="C52" s="196">
        <v>9</v>
      </c>
      <c r="D52" s="196">
        <v>2</v>
      </c>
      <c r="E52" s="196" t="s">
        <v>104</v>
      </c>
      <c r="F52" s="196">
        <f t="shared" si="1"/>
        <v>75.61</v>
      </c>
      <c r="G52" s="55" t="s">
        <v>21</v>
      </c>
      <c r="H52" s="520">
        <v>52.790599822997997</v>
      </c>
      <c r="I52" s="57">
        <v>-1.4419999999999999</v>
      </c>
      <c r="J52" s="148">
        <v>-0.89012341618537905</v>
      </c>
      <c r="K52" s="530">
        <f t="shared" si="0"/>
        <v>18.688118447638502</v>
      </c>
      <c r="L52" s="521" t="s">
        <v>511</v>
      </c>
      <c r="M52" s="171" t="s">
        <v>74</v>
      </c>
      <c r="N52" s="171">
        <v>551</v>
      </c>
      <c r="O52" s="172" t="s">
        <v>35</v>
      </c>
      <c r="P52" s="171" t="s">
        <v>91</v>
      </c>
      <c r="Q52" s="172" t="s">
        <v>548</v>
      </c>
      <c r="R52" s="175" t="s">
        <v>524</v>
      </c>
      <c r="S52" s="522" t="s">
        <v>497</v>
      </c>
    </row>
    <row r="53" spans="1:19">
      <c r="A53" s="167">
        <v>577</v>
      </c>
      <c r="B53" s="196"/>
      <c r="C53" s="196">
        <v>9</v>
      </c>
      <c r="D53" s="196">
        <v>2</v>
      </c>
      <c r="E53" s="196" t="s">
        <v>104</v>
      </c>
      <c r="F53" s="196">
        <f t="shared" si="1"/>
        <v>75.61</v>
      </c>
      <c r="G53" s="55" t="s">
        <v>21</v>
      </c>
      <c r="H53" s="520">
        <v>52.790599822997997</v>
      </c>
      <c r="I53" s="57">
        <v>-1.373</v>
      </c>
      <c r="J53" s="148">
        <v>-0.89012341618537905</v>
      </c>
      <c r="K53" s="530">
        <f t="shared" si="0"/>
        <v>18.361532630467526</v>
      </c>
      <c r="L53" s="521" t="s">
        <v>391</v>
      </c>
      <c r="M53" s="171" t="s">
        <v>74</v>
      </c>
      <c r="N53" s="171">
        <v>209</v>
      </c>
      <c r="O53" s="172" t="s">
        <v>35</v>
      </c>
      <c r="P53" s="171" t="s">
        <v>91</v>
      </c>
      <c r="Q53" s="172" t="s">
        <v>548</v>
      </c>
      <c r="R53" s="175" t="s">
        <v>524</v>
      </c>
      <c r="S53" s="522" t="s">
        <v>497</v>
      </c>
    </row>
    <row r="54" spans="1:19">
      <c r="A54" s="167">
        <v>577</v>
      </c>
      <c r="B54" s="196"/>
      <c r="C54" s="196">
        <v>9</v>
      </c>
      <c r="D54" s="196">
        <v>2</v>
      </c>
      <c r="E54" s="196" t="s">
        <v>104</v>
      </c>
      <c r="F54" s="196">
        <f t="shared" si="1"/>
        <v>75.61</v>
      </c>
      <c r="G54" s="55" t="s">
        <v>21</v>
      </c>
      <c r="H54" s="520">
        <v>52.790599822997997</v>
      </c>
      <c r="I54" s="57">
        <v>-1.264</v>
      </c>
      <c r="J54" s="148">
        <v>-0.89012341618537905</v>
      </c>
      <c r="K54" s="530">
        <f t="shared" si="0"/>
        <v>17.847367881893081</v>
      </c>
      <c r="L54" s="521" t="s">
        <v>33</v>
      </c>
      <c r="M54" s="171" t="s">
        <v>74</v>
      </c>
      <c r="N54" s="171">
        <v>475</v>
      </c>
      <c r="O54" s="172" t="s">
        <v>35</v>
      </c>
      <c r="P54" s="171" t="s">
        <v>91</v>
      </c>
      <c r="Q54" s="172" t="s">
        <v>548</v>
      </c>
      <c r="R54" s="175" t="s">
        <v>524</v>
      </c>
      <c r="S54" s="519"/>
    </row>
    <row r="55" spans="1:19">
      <c r="A55" s="167">
        <v>577</v>
      </c>
      <c r="B55" s="196"/>
      <c r="C55" s="196">
        <v>9</v>
      </c>
      <c r="D55" s="196">
        <v>2</v>
      </c>
      <c r="E55" s="196" t="s">
        <v>104</v>
      </c>
      <c r="F55" s="196">
        <f t="shared" si="1"/>
        <v>75.61</v>
      </c>
      <c r="G55" s="55" t="s">
        <v>21</v>
      </c>
      <c r="H55" s="520">
        <v>52.790599822997997</v>
      </c>
      <c r="I55" s="57">
        <v>-1.268</v>
      </c>
      <c r="J55" s="148">
        <v>-0.89012341618537905</v>
      </c>
      <c r="K55" s="530">
        <f t="shared" si="0"/>
        <v>17.866198513033428</v>
      </c>
      <c r="L55" s="521" t="s">
        <v>262</v>
      </c>
      <c r="M55" s="171" t="s">
        <v>74</v>
      </c>
      <c r="N55" s="171">
        <v>475</v>
      </c>
      <c r="O55" s="172" t="s">
        <v>35</v>
      </c>
      <c r="P55" s="171" t="s">
        <v>91</v>
      </c>
      <c r="Q55" s="172" t="s">
        <v>548</v>
      </c>
      <c r="R55" s="175" t="s">
        <v>524</v>
      </c>
      <c r="S55" s="522" t="s">
        <v>497</v>
      </c>
    </row>
    <row r="56" spans="1:19">
      <c r="A56" s="167">
        <v>577</v>
      </c>
      <c r="B56" s="196"/>
      <c r="C56" s="196">
        <v>9</v>
      </c>
      <c r="D56" s="196">
        <v>2</v>
      </c>
      <c r="E56" s="196" t="s">
        <v>104</v>
      </c>
      <c r="F56" s="196">
        <f t="shared" si="1"/>
        <v>75.61</v>
      </c>
      <c r="G56" s="55" t="s">
        <v>21</v>
      </c>
      <c r="H56" s="520">
        <v>52.790599822997997</v>
      </c>
      <c r="I56" s="57">
        <v>-1.4450000000000001</v>
      </c>
      <c r="J56" s="148">
        <v>-0.89012341618537905</v>
      </c>
      <c r="K56" s="530">
        <f t="shared" si="0"/>
        <v>18.702337270993763</v>
      </c>
      <c r="L56" s="521" t="s">
        <v>305</v>
      </c>
      <c r="M56" s="171" t="s">
        <v>74</v>
      </c>
      <c r="N56" s="171">
        <v>399</v>
      </c>
      <c r="O56" s="172" t="s">
        <v>35</v>
      </c>
      <c r="P56" s="171" t="s">
        <v>91</v>
      </c>
      <c r="Q56" s="172" t="s">
        <v>548</v>
      </c>
      <c r="R56" s="175" t="s">
        <v>524</v>
      </c>
      <c r="S56" s="519"/>
    </row>
    <row r="57" spans="1:19">
      <c r="A57" s="167"/>
      <c r="B57" s="196"/>
      <c r="C57" s="196"/>
      <c r="D57" s="196"/>
      <c r="E57" s="196"/>
      <c r="F57" s="196">
        <f t="shared" si="1"/>
        <v>75.61</v>
      </c>
      <c r="G57" s="55" t="s">
        <v>21</v>
      </c>
      <c r="H57" s="520">
        <v>52.790599822997997</v>
      </c>
      <c r="I57" s="57">
        <v>-1.23</v>
      </c>
      <c r="J57" s="148">
        <v>-0.89012341618537905</v>
      </c>
      <c r="K57" s="530">
        <f t="shared" si="0"/>
        <v>17.687423797200136</v>
      </c>
      <c r="L57" s="523" t="s">
        <v>544</v>
      </c>
      <c r="M57" s="171" t="s">
        <v>74</v>
      </c>
      <c r="N57" s="171">
        <v>380</v>
      </c>
      <c r="O57" s="172" t="s">
        <v>35</v>
      </c>
      <c r="P57" s="171" t="s">
        <v>91</v>
      </c>
      <c r="Q57" s="172" t="s">
        <v>548</v>
      </c>
      <c r="R57" s="175" t="s">
        <v>524</v>
      </c>
      <c r="S57" s="522" t="s">
        <v>543</v>
      </c>
    </row>
    <row r="58" spans="1:19">
      <c r="A58" s="167">
        <v>577</v>
      </c>
      <c r="B58" s="196"/>
      <c r="C58" s="196">
        <v>9</v>
      </c>
      <c r="D58" s="196">
        <v>2</v>
      </c>
      <c r="E58" s="196" t="s">
        <v>104</v>
      </c>
      <c r="F58" s="196">
        <f t="shared" si="1"/>
        <v>75.61</v>
      </c>
      <c r="G58" s="55" t="s">
        <v>21</v>
      </c>
      <c r="H58" s="520">
        <v>52.790599822997997</v>
      </c>
      <c r="I58" s="57">
        <v>-1.62</v>
      </c>
      <c r="J58" s="148">
        <v>-0.89012341618537905</v>
      </c>
      <c r="K58" s="530">
        <f t="shared" si="0"/>
        <v>19.534572133383925</v>
      </c>
      <c r="L58" s="521" t="s">
        <v>512</v>
      </c>
      <c r="M58" s="171" t="s">
        <v>74</v>
      </c>
      <c r="N58" s="171">
        <v>361</v>
      </c>
      <c r="O58" s="172" t="s">
        <v>35</v>
      </c>
      <c r="P58" s="171" t="s">
        <v>91</v>
      </c>
      <c r="Q58" s="172" t="s">
        <v>548</v>
      </c>
      <c r="R58" s="175" t="s">
        <v>524</v>
      </c>
      <c r="S58" s="519"/>
    </row>
    <row r="59" spans="1:19">
      <c r="A59" s="167">
        <v>577</v>
      </c>
      <c r="B59" s="196"/>
      <c r="C59" s="196">
        <v>9</v>
      </c>
      <c r="D59" s="196">
        <v>2</v>
      </c>
      <c r="E59" s="196" t="s">
        <v>104</v>
      </c>
      <c r="F59" s="196">
        <f t="shared" si="1"/>
        <v>75.61</v>
      </c>
      <c r="G59" s="55" t="s">
        <v>21</v>
      </c>
      <c r="H59" s="520">
        <v>52.790599822997997</v>
      </c>
      <c r="I59" s="57">
        <v>-1.6870000000000001</v>
      </c>
      <c r="J59" s="148">
        <v>-0.89012341618537905</v>
      </c>
      <c r="K59" s="530">
        <f t="shared" si="0"/>
        <v>19.854658454984726</v>
      </c>
      <c r="L59" s="523" t="s">
        <v>271</v>
      </c>
      <c r="M59" s="171" t="s">
        <v>74</v>
      </c>
      <c r="N59" s="171">
        <v>380</v>
      </c>
      <c r="O59" s="172" t="s">
        <v>35</v>
      </c>
      <c r="P59" s="171" t="s">
        <v>91</v>
      </c>
      <c r="Q59" s="172" t="s">
        <v>548</v>
      </c>
      <c r="R59" s="175" t="s">
        <v>524</v>
      </c>
      <c r="S59" s="522" t="s">
        <v>546</v>
      </c>
    </row>
    <row r="60" spans="1:19">
      <c r="A60" s="167">
        <v>577</v>
      </c>
      <c r="B60" s="196"/>
      <c r="C60" s="196">
        <v>9</v>
      </c>
      <c r="D60" s="196">
        <v>2</v>
      </c>
      <c r="E60" s="196" t="s">
        <v>104</v>
      </c>
      <c r="F60" s="196">
        <f t="shared" si="1"/>
        <v>75.61</v>
      </c>
      <c r="G60" s="55" t="s">
        <v>21</v>
      </c>
      <c r="H60" s="520">
        <v>52.790599822997997</v>
      </c>
      <c r="I60" s="57">
        <v>-1.242</v>
      </c>
      <c r="J60" s="148">
        <v>-0.89012341618537905</v>
      </c>
      <c r="K60" s="530">
        <f t="shared" si="0"/>
        <v>17.743850890621179</v>
      </c>
      <c r="L60" s="521" t="s">
        <v>511</v>
      </c>
      <c r="M60" s="171" t="s">
        <v>74</v>
      </c>
      <c r="N60" s="171">
        <v>475</v>
      </c>
      <c r="O60" s="172" t="s">
        <v>35</v>
      </c>
      <c r="P60" s="171" t="s">
        <v>91</v>
      </c>
      <c r="Q60" s="172" t="s">
        <v>548</v>
      </c>
      <c r="R60" s="175" t="s">
        <v>524</v>
      </c>
      <c r="S60" s="519"/>
    </row>
    <row r="61" spans="1:19">
      <c r="A61" s="167">
        <v>577</v>
      </c>
      <c r="B61" s="196"/>
      <c r="C61" s="196">
        <v>9</v>
      </c>
      <c r="D61" s="196">
        <v>2</v>
      </c>
      <c r="E61" s="196" t="s">
        <v>104</v>
      </c>
      <c r="F61" s="196">
        <f t="shared" si="1"/>
        <v>75.61</v>
      </c>
      <c r="G61" s="55" t="s">
        <v>21</v>
      </c>
      <c r="H61" s="520">
        <v>52.790599822997997</v>
      </c>
      <c r="I61" s="57">
        <v>-1.4350000000000001</v>
      </c>
      <c r="J61" s="148">
        <v>-0.89012341618537905</v>
      </c>
      <c r="K61" s="530">
        <f t="shared" si="0"/>
        <v>18.654947493142895</v>
      </c>
      <c r="L61" s="521" t="s">
        <v>301</v>
      </c>
      <c r="M61" s="171" t="s">
        <v>74</v>
      </c>
      <c r="N61" s="171">
        <v>475</v>
      </c>
      <c r="O61" s="172" t="s">
        <v>35</v>
      </c>
      <c r="P61" s="171" t="s">
        <v>91</v>
      </c>
      <c r="Q61" s="172" t="s">
        <v>548</v>
      </c>
      <c r="R61" s="175" t="s">
        <v>524</v>
      </c>
      <c r="S61" s="519"/>
    </row>
    <row r="62" spans="1:19">
      <c r="A62" s="167">
        <v>577</v>
      </c>
      <c r="B62" s="196"/>
      <c r="C62" s="196">
        <v>9</v>
      </c>
      <c r="D62" s="196">
        <v>6</v>
      </c>
      <c r="E62" s="196" t="s">
        <v>112</v>
      </c>
      <c r="F62" s="196">
        <v>81.11</v>
      </c>
      <c r="G62" s="196" t="s">
        <v>403</v>
      </c>
      <c r="H62" s="517">
        <v>55.244457244873047</v>
      </c>
      <c r="I62" s="57">
        <v>-1.4750000000000001</v>
      </c>
      <c r="J62" s="148">
        <v>-0.89012341618537905</v>
      </c>
      <c r="K62" s="491">
        <f t="shared" si="0"/>
        <v>18.844614604546361</v>
      </c>
      <c r="L62" s="521" t="s">
        <v>506</v>
      </c>
      <c r="M62" s="171" t="s">
        <v>74</v>
      </c>
      <c r="N62" s="224">
        <v>380</v>
      </c>
      <c r="O62" s="172" t="s">
        <v>35</v>
      </c>
      <c r="P62" s="171" t="s">
        <v>91</v>
      </c>
      <c r="Q62" s="172" t="s">
        <v>548</v>
      </c>
      <c r="R62" s="175" t="s">
        <v>524</v>
      </c>
      <c r="S62" s="519" t="s">
        <v>538</v>
      </c>
    </row>
    <row r="63" spans="1:19">
      <c r="A63" s="167">
        <v>577</v>
      </c>
      <c r="B63" s="196"/>
      <c r="C63" s="196">
        <v>9</v>
      </c>
      <c r="D63" s="196">
        <v>6</v>
      </c>
      <c r="E63" s="196" t="s">
        <v>112</v>
      </c>
      <c r="F63" s="196">
        <v>81.11</v>
      </c>
      <c r="G63" s="196" t="s">
        <v>403</v>
      </c>
      <c r="H63" s="517">
        <v>55.244457244873047</v>
      </c>
      <c r="I63" s="57">
        <v>-1.4219999999999999</v>
      </c>
      <c r="J63" s="148">
        <v>-0.89012341618537905</v>
      </c>
      <c r="K63" s="491">
        <f t="shared" si="0"/>
        <v>18.593367691936773</v>
      </c>
      <c r="L63" s="521" t="s">
        <v>507</v>
      </c>
      <c r="M63" s="171" t="s">
        <v>74</v>
      </c>
      <c r="N63" s="224">
        <v>475</v>
      </c>
      <c r="O63" s="172" t="s">
        <v>35</v>
      </c>
      <c r="P63" s="171" t="s">
        <v>91</v>
      </c>
      <c r="Q63" s="172" t="s">
        <v>548</v>
      </c>
      <c r="R63" s="175" t="s">
        <v>524</v>
      </c>
      <c r="S63" s="519"/>
    </row>
    <row r="64" spans="1:19">
      <c r="A64" s="167">
        <v>577</v>
      </c>
      <c r="B64" s="196"/>
      <c r="C64" s="196">
        <v>9</v>
      </c>
      <c r="D64" s="196">
        <v>6</v>
      </c>
      <c r="E64" s="196" t="s">
        <v>112</v>
      </c>
      <c r="F64" s="196">
        <v>81.11</v>
      </c>
      <c r="G64" s="196" t="s">
        <v>403</v>
      </c>
      <c r="H64" s="517">
        <v>55.244457244872997</v>
      </c>
      <c r="I64" s="57">
        <v>-1.498</v>
      </c>
      <c r="J64" s="148">
        <v>-0.89012341618537905</v>
      </c>
      <c r="K64" s="491">
        <f t="shared" si="0"/>
        <v>18.953803603603355</v>
      </c>
      <c r="L64" s="521" t="s">
        <v>508</v>
      </c>
      <c r="M64" s="171" t="s">
        <v>74</v>
      </c>
      <c r="N64" s="224">
        <v>513</v>
      </c>
      <c r="O64" s="172" t="s">
        <v>35</v>
      </c>
      <c r="P64" s="171" t="s">
        <v>91</v>
      </c>
      <c r="Q64" s="172" t="s">
        <v>548</v>
      </c>
      <c r="R64" s="175" t="s">
        <v>524</v>
      </c>
      <c r="S64" s="519"/>
    </row>
    <row r="65" spans="1:19">
      <c r="A65" s="167">
        <v>577</v>
      </c>
      <c r="B65" s="196"/>
      <c r="C65" s="196">
        <v>9</v>
      </c>
      <c r="D65" s="196">
        <v>6</v>
      </c>
      <c r="E65" s="196" t="s">
        <v>112</v>
      </c>
      <c r="F65" s="196">
        <v>81.11</v>
      </c>
      <c r="G65" s="196" t="s">
        <v>403</v>
      </c>
      <c r="H65" s="517">
        <v>55.244457244872997</v>
      </c>
      <c r="I65" s="57">
        <v>-1.4359999999999999</v>
      </c>
      <c r="J65" s="148">
        <v>-0.89012341618537905</v>
      </c>
      <c r="K65" s="491">
        <f t="shared" si="0"/>
        <v>18.659685660927984</v>
      </c>
      <c r="L65" s="521" t="s">
        <v>239</v>
      </c>
      <c r="M65" s="171" t="s">
        <v>74</v>
      </c>
      <c r="N65" s="224">
        <v>456</v>
      </c>
      <c r="O65" s="172" t="s">
        <v>35</v>
      </c>
      <c r="P65" s="171" t="s">
        <v>91</v>
      </c>
      <c r="Q65" s="172" t="s">
        <v>548</v>
      </c>
      <c r="R65" s="175" t="s">
        <v>524</v>
      </c>
      <c r="S65" s="519"/>
    </row>
    <row r="66" spans="1:19">
      <c r="A66" s="167">
        <v>577</v>
      </c>
      <c r="B66" s="196"/>
      <c r="C66" s="196">
        <v>9</v>
      </c>
      <c r="D66" s="196">
        <v>6</v>
      </c>
      <c r="E66" s="196" t="s">
        <v>112</v>
      </c>
      <c r="F66" s="196">
        <v>81.11</v>
      </c>
      <c r="G66" s="196" t="s">
        <v>403</v>
      </c>
      <c r="H66" s="517">
        <v>55.244457244872997</v>
      </c>
      <c r="I66" s="57">
        <v>-1.744</v>
      </c>
      <c r="J66" s="148">
        <v>-0.89012341618537905</v>
      </c>
      <c r="K66" s="491">
        <f t="shared" si="0"/>
        <v>20.127606818734666</v>
      </c>
      <c r="L66" s="521" t="s">
        <v>195</v>
      </c>
      <c r="M66" s="171" t="s">
        <v>74</v>
      </c>
      <c r="N66" s="224">
        <v>532</v>
      </c>
      <c r="O66" s="172" t="s">
        <v>35</v>
      </c>
      <c r="P66" s="171" t="s">
        <v>91</v>
      </c>
      <c r="Q66" s="172" t="s">
        <v>548</v>
      </c>
      <c r="R66" s="175" t="s">
        <v>524</v>
      </c>
      <c r="S66" s="519"/>
    </row>
    <row r="67" spans="1:19">
      <c r="A67" s="167">
        <v>577</v>
      </c>
      <c r="B67" s="196"/>
      <c r="C67" s="196">
        <v>9</v>
      </c>
      <c r="D67" s="196">
        <v>6</v>
      </c>
      <c r="E67" s="196" t="s">
        <v>112</v>
      </c>
      <c r="F67" s="196">
        <v>81.11</v>
      </c>
      <c r="G67" s="196" t="s">
        <v>403</v>
      </c>
      <c r="H67" s="517">
        <v>55.244457244872997</v>
      </c>
      <c r="I67" s="57">
        <v>-1.3779999999999999</v>
      </c>
      <c r="J67" s="148">
        <v>-0.89012341618537905</v>
      </c>
      <c r="K67" s="491">
        <f t="shared" si="0"/>
        <v>18.385169469392959</v>
      </c>
      <c r="L67" s="521" t="s">
        <v>202</v>
      </c>
      <c r="M67" s="171" t="s">
        <v>74</v>
      </c>
      <c r="N67" s="171">
        <v>551</v>
      </c>
      <c r="O67" s="172" t="s">
        <v>35</v>
      </c>
      <c r="P67" s="171" t="s">
        <v>91</v>
      </c>
      <c r="Q67" s="172" t="s">
        <v>548</v>
      </c>
      <c r="R67" s="175" t="s">
        <v>524</v>
      </c>
      <c r="S67" s="519"/>
    </row>
    <row r="68" spans="1:19">
      <c r="A68" s="167">
        <v>577</v>
      </c>
      <c r="B68" s="196"/>
      <c r="C68" s="196">
        <v>9</v>
      </c>
      <c r="D68" s="196">
        <v>6</v>
      </c>
      <c r="E68" s="196" t="s">
        <v>112</v>
      </c>
      <c r="F68" s="196">
        <v>81.11</v>
      </c>
      <c r="G68" s="196" t="s">
        <v>403</v>
      </c>
      <c r="H68" s="517">
        <v>55.244457244872997</v>
      </c>
      <c r="I68" s="57">
        <v>-1.474</v>
      </c>
      <c r="J68" s="148">
        <v>-0.89012341618537905</v>
      </c>
      <c r="K68" s="491">
        <f t="shared" si="0"/>
        <v>18.839869416761278</v>
      </c>
      <c r="L68" s="521" t="s">
        <v>509</v>
      </c>
      <c r="M68" s="171" t="s">
        <v>74</v>
      </c>
      <c r="N68" s="171">
        <v>475</v>
      </c>
      <c r="O68" s="172" t="s">
        <v>35</v>
      </c>
      <c r="P68" s="171" t="s">
        <v>91</v>
      </c>
      <c r="Q68" s="172" t="s">
        <v>548</v>
      </c>
      <c r="R68" s="175" t="s">
        <v>524</v>
      </c>
      <c r="S68" s="519"/>
    </row>
    <row r="69" spans="1:19">
      <c r="A69" s="167">
        <v>577</v>
      </c>
      <c r="B69" s="196"/>
      <c r="C69" s="196">
        <v>9</v>
      </c>
      <c r="D69" s="196">
        <v>6</v>
      </c>
      <c r="E69" s="196" t="s">
        <v>112</v>
      </c>
      <c r="F69" s="196">
        <v>81.11</v>
      </c>
      <c r="G69" s="196" t="s">
        <v>403</v>
      </c>
      <c r="H69" s="517">
        <v>55.244457244872997</v>
      </c>
      <c r="I69" s="57">
        <v>-1.5609999999999999</v>
      </c>
      <c r="J69" s="148">
        <v>-0.89012341618537905</v>
      </c>
      <c r="K69" s="491">
        <f t="shared" si="0"/>
        <v>19.253374134063812</v>
      </c>
      <c r="L69" s="521" t="s">
        <v>510</v>
      </c>
      <c r="M69" s="171" t="s">
        <v>74</v>
      </c>
      <c r="N69" s="171">
        <v>627</v>
      </c>
      <c r="O69" s="172" t="s">
        <v>35</v>
      </c>
      <c r="P69" s="171" t="s">
        <v>91</v>
      </c>
      <c r="Q69" s="172" t="s">
        <v>548</v>
      </c>
      <c r="R69" s="175" t="s">
        <v>524</v>
      </c>
      <c r="S69" s="519"/>
    </row>
    <row r="70" spans="1:19">
      <c r="A70" s="167">
        <v>577</v>
      </c>
      <c r="B70" s="196"/>
      <c r="C70" s="196">
        <v>9</v>
      </c>
      <c r="D70" s="196">
        <v>6</v>
      </c>
      <c r="E70" s="196" t="s">
        <v>112</v>
      </c>
      <c r="F70" s="196">
        <v>81.11</v>
      </c>
      <c r="G70" s="196" t="s">
        <v>403</v>
      </c>
      <c r="H70" s="517">
        <v>55.244457244872997</v>
      </c>
      <c r="I70" s="57">
        <v>-1.349</v>
      </c>
      <c r="J70" s="148">
        <v>-0.89012341618537905</v>
      </c>
      <c r="K70" s="491">
        <f t="shared" si="0"/>
        <v>18.248138443625447</v>
      </c>
      <c r="L70" s="521" t="s">
        <v>301</v>
      </c>
      <c r="M70" s="171" t="s">
        <v>74</v>
      </c>
      <c r="N70" s="171">
        <v>475</v>
      </c>
      <c r="O70" s="172" t="s">
        <v>35</v>
      </c>
      <c r="P70" s="171" t="s">
        <v>91</v>
      </c>
      <c r="Q70" s="172" t="s">
        <v>548</v>
      </c>
      <c r="R70" s="175" t="s">
        <v>524</v>
      </c>
      <c r="S70" s="519"/>
    </row>
    <row r="71" spans="1:19">
      <c r="A71" s="167">
        <v>577</v>
      </c>
      <c r="B71" s="196"/>
      <c r="C71" s="196">
        <v>9</v>
      </c>
      <c r="D71" s="196">
        <v>6</v>
      </c>
      <c r="E71" s="196" t="s">
        <v>112</v>
      </c>
      <c r="F71" s="196">
        <v>81.11</v>
      </c>
      <c r="G71" s="196" t="s">
        <v>403</v>
      </c>
      <c r="H71" s="517">
        <v>55.244457244872997</v>
      </c>
      <c r="I71" s="57">
        <v>-1.5</v>
      </c>
      <c r="J71" s="148">
        <v>-0.89012341618537905</v>
      </c>
      <c r="K71" s="491">
        <f t="shared" si="0"/>
        <v>18.963302799173526</v>
      </c>
      <c r="L71" s="521" t="s">
        <v>262</v>
      </c>
      <c r="M71" s="171" t="s">
        <v>74</v>
      </c>
      <c r="N71" s="171">
        <v>475</v>
      </c>
      <c r="O71" s="172" t="s">
        <v>35</v>
      </c>
      <c r="P71" s="171" t="s">
        <v>91</v>
      </c>
      <c r="Q71" s="172" t="s">
        <v>548</v>
      </c>
      <c r="R71" s="175" t="s">
        <v>524</v>
      </c>
      <c r="S71" s="522" t="s">
        <v>497</v>
      </c>
    </row>
    <row r="72" spans="1:19">
      <c r="A72" s="167">
        <v>577</v>
      </c>
      <c r="B72" s="196"/>
      <c r="C72" s="196">
        <v>9</v>
      </c>
      <c r="D72" s="196">
        <v>6</v>
      </c>
      <c r="E72" s="196" t="s">
        <v>112</v>
      </c>
      <c r="F72" s="196">
        <v>81.11</v>
      </c>
      <c r="G72" s="196" t="s">
        <v>403</v>
      </c>
      <c r="H72" s="517">
        <v>55.244457244872997</v>
      </c>
      <c r="I72" s="57">
        <v>-1.5960000000000001</v>
      </c>
      <c r="J72" s="148">
        <v>-0.89012341618537905</v>
      </c>
      <c r="K72" s="491">
        <f t="shared" si="0"/>
        <v>19.420110906541844</v>
      </c>
      <c r="L72" s="521" t="s">
        <v>511</v>
      </c>
      <c r="M72" s="171" t="s">
        <v>74</v>
      </c>
      <c r="N72" s="171">
        <v>475</v>
      </c>
      <c r="O72" s="172" t="s">
        <v>35</v>
      </c>
      <c r="P72" s="171" t="s">
        <v>91</v>
      </c>
      <c r="Q72" s="172" t="s">
        <v>548</v>
      </c>
      <c r="R72" s="175" t="s">
        <v>524</v>
      </c>
      <c r="S72" s="519"/>
    </row>
    <row r="73" spans="1:19">
      <c r="A73" s="167">
        <v>577</v>
      </c>
      <c r="B73" s="196"/>
      <c r="C73" s="196">
        <v>9</v>
      </c>
      <c r="D73" s="196">
        <v>6</v>
      </c>
      <c r="E73" s="196" t="s">
        <v>112</v>
      </c>
      <c r="F73" s="196">
        <v>81.11</v>
      </c>
      <c r="G73" s="196" t="s">
        <v>403</v>
      </c>
      <c r="H73" s="517">
        <v>55.244457244872997</v>
      </c>
      <c r="I73" s="57">
        <v>-1.496</v>
      </c>
      <c r="J73" s="148">
        <v>-0.89012341618537905</v>
      </c>
      <c r="K73" s="491">
        <f t="shared" si="0"/>
        <v>18.944305128033179</v>
      </c>
      <c r="L73" s="521" t="s">
        <v>305</v>
      </c>
      <c r="M73" s="171" t="s">
        <v>74</v>
      </c>
      <c r="N73" s="171">
        <v>456</v>
      </c>
      <c r="O73" s="172" t="s">
        <v>35</v>
      </c>
      <c r="P73" s="171" t="s">
        <v>91</v>
      </c>
      <c r="Q73" s="172" t="s">
        <v>548</v>
      </c>
      <c r="R73" s="175" t="s">
        <v>524</v>
      </c>
      <c r="S73" s="519"/>
    </row>
    <row r="74" spans="1:19">
      <c r="A74" s="167">
        <v>577</v>
      </c>
      <c r="B74" s="196"/>
      <c r="C74" s="196">
        <v>9</v>
      </c>
      <c r="D74" s="196">
        <v>6</v>
      </c>
      <c r="E74" s="196" t="s">
        <v>112</v>
      </c>
      <c r="F74" s="196">
        <v>81.11</v>
      </c>
      <c r="G74" s="196" t="s">
        <v>403</v>
      </c>
      <c r="H74" s="517">
        <v>55.244457244872997</v>
      </c>
      <c r="I74" s="57">
        <v>-1.6160000000000001</v>
      </c>
      <c r="J74" s="148">
        <v>-0.89012341618537905</v>
      </c>
      <c r="K74" s="491">
        <f t="shared" si="0"/>
        <v>19.515488062243577</v>
      </c>
      <c r="L74" s="521" t="s">
        <v>33</v>
      </c>
      <c r="M74" s="171" t="s">
        <v>74</v>
      </c>
      <c r="N74" s="171">
        <v>494</v>
      </c>
      <c r="O74" s="172" t="s">
        <v>35</v>
      </c>
      <c r="P74" s="171" t="s">
        <v>91</v>
      </c>
      <c r="Q74" s="172" t="s">
        <v>548</v>
      </c>
      <c r="R74" s="175" t="s">
        <v>524</v>
      </c>
      <c r="S74" s="519"/>
    </row>
    <row r="75" spans="1:19">
      <c r="A75" s="167">
        <v>577</v>
      </c>
      <c r="B75" s="196"/>
      <c r="C75" s="196">
        <v>9</v>
      </c>
      <c r="D75" s="196">
        <v>6</v>
      </c>
      <c r="E75" s="196" t="s">
        <v>112</v>
      </c>
      <c r="F75" s="196">
        <v>81.11</v>
      </c>
      <c r="G75" s="196" t="s">
        <v>403</v>
      </c>
      <c r="H75" s="517">
        <v>55.244457244872997</v>
      </c>
      <c r="I75" s="57">
        <v>-1.7809999999999999</v>
      </c>
      <c r="J75" s="148">
        <v>-0.89012341618537905</v>
      </c>
      <c r="K75" s="491">
        <f t="shared" si="0"/>
        <v>20.30509684678287</v>
      </c>
      <c r="L75" s="521" t="s">
        <v>150</v>
      </c>
      <c r="M75" s="171" t="s">
        <v>74</v>
      </c>
      <c r="N75" s="171">
        <v>456</v>
      </c>
      <c r="O75" s="172" t="s">
        <v>35</v>
      </c>
      <c r="P75" s="171" t="s">
        <v>91</v>
      </c>
      <c r="Q75" s="172" t="s">
        <v>548</v>
      </c>
      <c r="R75" s="175" t="s">
        <v>524</v>
      </c>
      <c r="S75" s="519"/>
    </row>
    <row r="76" spans="1:19">
      <c r="A76" s="167">
        <v>577</v>
      </c>
      <c r="B76" s="196"/>
      <c r="C76" s="196">
        <v>9</v>
      </c>
      <c r="D76" s="196">
        <v>6</v>
      </c>
      <c r="E76" s="196" t="s">
        <v>112</v>
      </c>
      <c r="F76" s="196">
        <v>81.11</v>
      </c>
      <c r="G76" s="196" t="s">
        <v>403</v>
      </c>
      <c r="H76" s="517">
        <v>55.244457244872997</v>
      </c>
      <c r="I76" s="57">
        <v>-1.74</v>
      </c>
      <c r="J76" s="148">
        <v>-0.89012341618537905</v>
      </c>
      <c r="K76" s="491">
        <f t="shared" ref="K76:K123" si="2">16.1-4.64*($I76-J76)+0.09*($I76-J76)^2</f>
        <v>20.10843346759432</v>
      </c>
      <c r="L76" s="523" t="s">
        <v>512</v>
      </c>
      <c r="M76" s="171" t="s">
        <v>74</v>
      </c>
      <c r="N76" s="171">
        <v>342</v>
      </c>
      <c r="O76" s="172" t="s">
        <v>35</v>
      </c>
      <c r="P76" s="171" t="s">
        <v>91</v>
      </c>
      <c r="Q76" s="172" t="s">
        <v>548</v>
      </c>
      <c r="R76" s="175" t="s">
        <v>524</v>
      </c>
      <c r="S76" s="519"/>
    </row>
    <row r="77" spans="1:19">
      <c r="A77" s="167">
        <v>577</v>
      </c>
      <c r="B77" s="196"/>
      <c r="C77" s="196">
        <v>9</v>
      </c>
      <c r="D77" s="196">
        <v>6</v>
      </c>
      <c r="E77" s="196" t="s">
        <v>112</v>
      </c>
      <c r="F77" s="196">
        <v>81.11</v>
      </c>
      <c r="G77" s="196" t="s">
        <v>403</v>
      </c>
      <c r="H77" s="517">
        <v>55.244457244872997</v>
      </c>
      <c r="I77" s="57">
        <v>-1.3220000000000001</v>
      </c>
      <c r="J77" s="148">
        <v>-0.89012341618537905</v>
      </c>
      <c r="K77" s="491">
        <f t="shared" si="2"/>
        <v>18.120693913428106</v>
      </c>
      <c r="L77" s="521" t="s">
        <v>513</v>
      </c>
      <c r="M77" s="171" t="s">
        <v>74</v>
      </c>
      <c r="N77" s="171">
        <v>266</v>
      </c>
      <c r="O77" s="172" t="s">
        <v>35</v>
      </c>
      <c r="P77" s="171" t="s">
        <v>91</v>
      </c>
      <c r="Q77" s="172" t="s">
        <v>548</v>
      </c>
      <c r="R77" s="175" t="s">
        <v>524</v>
      </c>
      <c r="S77" s="519"/>
    </row>
    <row r="78" spans="1:19">
      <c r="A78" s="167">
        <v>577</v>
      </c>
      <c r="B78" s="196"/>
      <c r="C78" s="196">
        <v>9</v>
      </c>
      <c r="D78" s="196">
        <v>6</v>
      </c>
      <c r="E78" s="196" t="s">
        <v>112</v>
      </c>
      <c r="F78" s="196">
        <v>81.11</v>
      </c>
      <c r="G78" s="196" t="s">
        <v>403</v>
      </c>
      <c r="H78" s="517">
        <v>55.244457244872997</v>
      </c>
      <c r="I78" s="57">
        <v>-1.774</v>
      </c>
      <c r="J78" s="148">
        <v>-0.89012341618537905</v>
      </c>
      <c r="K78" s="491">
        <f t="shared" si="2"/>
        <v>20.271498752287265</v>
      </c>
      <c r="L78" s="521" t="s">
        <v>514</v>
      </c>
      <c r="M78" s="171" t="s">
        <v>74</v>
      </c>
      <c r="N78" s="171">
        <v>285</v>
      </c>
      <c r="O78" s="172" t="s">
        <v>35</v>
      </c>
      <c r="P78" s="171" t="s">
        <v>91</v>
      </c>
      <c r="Q78" s="172" t="s">
        <v>548</v>
      </c>
      <c r="R78" s="175" t="s">
        <v>524</v>
      </c>
      <c r="S78" s="519"/>
    </row>
    <row r="79" spans="1:19">
      <c r="A79" s="167">
        <v>577</v>
      </c>
      <c r="B79" s="196"/>
      <c r="C79" s="196">
        <v>9</v>
      </c>
      <c r="D79" s="196">
        <v>6</v>
      </c>
      <c r="E79" s="196" t="s">
        <v>112</v>
      </c>
      <c r="F79" s="196">
        <v>81.11</v>
      </c>
      <c r="G79" s="196" t="s">
        <v>403</v>
      </c>
      <c r="H79" s="517">
        <v>55.244457244872997</v>
      </c>
      <c r="I79" s="57">
        <v>-1.4950000000000001</v>
      </c>
      <c r="J79" s="148">
        <v>-0.89012341618537905</v>
      </c>
      <c r="K79" s="491">
        <f t="shared" si="2"/>
        <v>18.939556160248095</v>
      </c>
      <c r="L79" s="521" t="s">
        <v>515</v>
      </c>
      <c r="M79" s="171" t="s">
        <v>74</v>
      </c>
      <c r="N79" s="171">
        <v>285</v>
      </c>
      <c r="O79" s="172" t="s">
        <v>35</v>
      </c>
      <c r="P79" s="171" t="s">
        <v>91</v>
      </c>
      <c r="Q79" s="172" t="s">
        <v>548</v>
      </c>
      <c r="R79" s="175" t="s">
        <v>524</v>
      </c>
      <c r="S79" s="519"/>
    </row>
    <row r="80" spans="1:19">
      <c r="A80" s="167">
        <v>577</v>
      </c>
      <c r="B80" s="196"/>
      <c r="C80" s="196">
        <v>9</v>
      </c>
      <c r="D80" s="196">
        <v>6</v>
      </c>
      <c r="E80" s="196" t="s">
        <v>112</v>
      </c>
      <c r="F80" s="196">
        <v>81.11</v>
      </c>
      <c r="G80" s="196" t="s">
        <v>403</v>
      </c>
      <c r="H80" s="517">
        <v>55.244457244872997</v>
      </c>
      <c r="I80" s="57">
        <v>-0.91300000000000003</v>
      </c>
      <c r="J80" s="148">
        <v>-0.89012341618537905</v>
      </c>
      <c r="K80" s="491">
        <f t="shared" si="2"/>
        <v>16.206194449327675</v>
      </c>
      <c r="L80" s="521" t="s">
        <v>532</v>
      </c>
      <c r="M80" s="171" t="s">
        <v>74</v>
      </c>
      <c r="N80" s="171">
        <v>323</v>
      </c>
      <c r="O80" s="172" t="s">
        <v>44</v>
      </c>
      <c r="P80" s="171" t="s">
        <v>91</v>
      </c>
      <c r="Q80" s="172" t="s">
        <v>548</v>
      </c>
      <c r="R80" s="175" t="s">
        <v>524</v>
      </c>
      <c r="S80" s="519"/>
    </row>
    <row r="81" spans="1:19">
      <c r="A81" s="167">
        <v>577</v>
      </c>
      <c r="B81" s="196"/>
      <c r="C81" s="196">
        <v>9</v>
      </c>
      <c r="D81" s="196">
        <v>6</v>
      </c>
      <c r="E81" s="196" t="s">
        <v>112</v>
      </c>
      <c r="F81" s="196">
        <v>81.11</v>
      </c>
      <c r="G81" s="196" t="s">
        <v>403</v>
      </c>
      <c r="H81" s="517">
        <v>55.244457244872997</v>
      </c>
      <c r="I81" s="57">
        <v>-0.86399999999999999</v>
      </c>
      <c r="J81" s="148">
        <v>-0.89012341618537905</v>
      </c>
      <c r="K81" s="491">
        <f t="shared" si="2"/>
        <v>15.97884876785843</v>
      </c>
      <c r="L81" s="521" t="s">
        <v>547</v>
      </c>
      <c r="M81" s="171" t="s">
        <v>74</v>
      </c>
      <c r="N81" s="171">
        <v>418</v>
      </c>
      <c r="O81" s="172" t="s">
        <v>44</v>
      </c>
      <c r="P81" s="171" t="s">
        <v>91</v>
      </c>
      <c r="Q81" s="172" t="s">
        <v>548</v>
      </c>
      <c r="R81" s="175" t="s">
        <v>524</v>
      </c>
      <c r="S81" s="522" t="s">
        <v>546</v>
      </c>
    </row>
    <row r="82" spans="1:19">
      <c r="A82" s="167">
        <v>577</v>
      </c>
      <c r="B82" s="196"/>
      <c r="C82" s="196">
        <v>9</v>
      </c>
      <c r="D82" s="196">
        <v>6</v>
      </c>
      <c r="E82" s="196" t="s">
        <v>112</v>
      </c>
      <c r="F82" s="196">
        <v>81.11</v>
      </c>
      <c r="G82" s="196" t="s">
        <v>403</v>
      </c>
      <c r="H82" s="517">
        <v>55.244457244872997</v>
      </c>
      <c r="I82" s="57">
        <v>-0.97299999999999998</v>
      </c>
      <c r="J82" s="148">
        <v>-0.89012341618537905</v>
      </c>
      <c r="K82" s="491">
        <f t="shared" si="2"/>
        <v>16.485165516432872</v>
      </c>
      <c r="L82" s="521" t="s">
        <v>536</v>
      </c>
      <c r="M82" s="171" t="s">
        <v>74</v>
      </c>
      <c r="N82" s="171">
        <v>285</v>
      </c>
      <c r="O82" s="172" t="s">
        <v>528</v>
      </c>
      <c r="P82" s="171" t="s">
        <v>91</v>
      </c>
      <c r="Q82" s="172" t="s">
        <v>548</v>
      </c>
      <c r="R82" s="175" t="s">
        <v>524</v>
      </c>
      <c r="S82" s="519"/>
    </row>
    <row r="83" spans="1:19">
      <c r="A83" s="167">
        <v>577</v>
      </c>
      <c r="B83" s="196"/>
      <c r="C83" s="196">
        <v>9</v>
      </c>
      <c r="D83" s="196">
        <v>6</v>
      </c>
      <c r="E83" s="196" t="s">
        <v>112</v>
      </c>
      <c r="F83" s="196">
        <v>81.11</v>
      </c>
      <c r="G83" s="196" t="s">
        <v>403</v>
      </c>
      <c r="H83" s="517">
        <v>55.244457244872997</v>
      </c>
      <c r="I83" s="57">
        <v>-0.90600000000000003</v>
      </c>
      <c r="J83" s="148">
        <v>-0.89012341618537905</v>
      </c>
      <c r="K83" s="491">
        <f t="shared" si="2"/>
        <v>16.17369003483207</v>
      </c>
      <c r="L83" s="521" t="s">
        <v>516</v>
      </c>
      <c r="M83" s="171" t="s">
        <v>74</v>
      </c>
      <c r="N83" s="171">
        <v>323</v>
      </c>
      <c r="O83" s="172" t="s">
        <v>535</v>
      </c>
      <c r="P83" s="171" t="s">
        <v>91</v>
      </c>
      <c r="Q83" s="172" t="s">
        <v>548</v>
      </c>
      <c r="R83" s="175" t="s">
        <v>524</v>
      </c>
      <c r="S83" s="519"/>
    </row>
    <row r="84" spans="1:19">
      <c r="A84" s="167">
        <v>577</v>
      </c>
      <c r="B84" s="196"/>
      <c r="C84" s="196">
        <v>9</v>
      </c>
      <c r="D84" s="196">
        <v>6</v>
      </c>
      <c r="E84" s="196" t="s">
        <v>112</v>
      </c>
      <c r="F84" s="196">
        <v>81.11</v>
      </c>
      <c r="G84" s="196" t="s">
        <v>403</v>
      </c>
      <c r="H84" s="517">
        <v>55.244457244872997</v>
      </c>
      <c r="I84" s="57">
        <v>-0.99299999999999999</v>
      </c>
      <c r="J84" s="148">
        <v>-0.89012341618537905</v>
      </c>
      <c r="K84" s="491">
        <f t="shared" si="2"/>
        <v>16.578299872134604</v>
      </c>
      <c r="L84" s="521" t="s">
        <v>517</v>
      </c>
      <c r="M84" s="171" t="s">
        <v>74</v>
      </c>
      <c r="N84" s="171">
        <v>342</v>
      </c>
      <c r="O84" s="172" t="s">
        <v>535</v>
      </c>
      <c r="P84" s="171" t="s">
        <v>91</v>
      </c>
      <c r="Q84" s="172" t="s">
        <v>548</v>
      </c>
      <c r="R84" s="175" t="s">
        <v>524</v>
      </c>
      <c r="S84" s="519"/>
    </row>
    <row r="85" spans="1:19">
      <c r="A85" s="167">
        <v>577</v>
      </c>
      <c r="B85" s="196"/>
      <c r="C85" s="196">
        <v>9</v>
      </c>
      <c r="D85" s="196">
        <v>6</v>
      </c>
      <c r="E85" s="196" t="s">
        <v>112</v>
      </c>
      <c r="F85" s="196">
        <v>81.11</v>
      </c>
      <c r="G85" s="196" t="s">
        <v>403</v>
      </c>
      <c r="H85" s="517">
        <v>55.244457244872997</v>
      </c>
      <c r="I85" s="57">
        <v>-0.98499999999999999</v>
      </c>
      <c r="J85" s="148">
        <v>-0.89012341618537905</v>
      </c>
      <c r="K85" s="491">
        <f t="shared" si="2"/>
        <v>16.541037489853913</v>
      </c>
      <c r="L85" s="521" t="s">
        <v>518</v>
      </c>
      <c r="M85" s="171" t="s">
        <v>74</v>
      </c>
      <c r="N85" s="171">
        <v>285</v>
      </c>
      <c r="O85" s="172" t="s">
        <v>535</v>
      </c>
      <c r="P85" s="171" t="s">
        <v>91</v>
      </c>
      <c r="Q85" s="172" t="s">
        <v>548</v>
      </c>
      <c r="R85" s="175" t="s">
        <v>524</v>
      </c>
      <c r="S85" s="519"/>
    </row>
    <row r="86" spans="1:19">
      <c r="A86" s="167">
        <v>577</v>
      </c>
      <c r="B86" s="196"/>
      <c r="C86" s="196">
        <v>9</v>
      </c>
      <c r="D86" s="196">
        <v>6</v>
      </c>
      <c r="E86" s="196" t="s">
        <v>112</v>
      </c>
      <c r="F86" s="196">
        <v>81.11</v>
      </c>
      <c r="G86" s="196" t="s">
        <v>403</v>
      </c>
      <c r="H86" s="517">
        <v>55.244457244872997</v>
      </c>
      <c r="I86" s="57">
        <v>-1.0229999999999999</v>
      </c>
      <c r="J86" s="148">
        <v>-0.89012341618537905</v>
      </c>
      <c r="K86" s="491">
        <f t="shared" si="2"/>
        <v>16.718136405687204</v>
      </c>
      <c r="L86" s="521" t="s">
        <v>518</v>
      </c>
      <c r="M86" s="171" t="s">
        <v>74</v>
      </c>
      <c r="N86" s="171">
        <v>266</v>
      </c>
      <c r="O86" s="172" t="s">
        <v>535</v>
      </c>
      <c r="P86" s="171" t="s">
        <v>91</v>
      </c>
      <c r="Q86" s="172" t="s">
        <v>548</v>
      </c>
      <c r="R86" s="175" t="s">
        <v>524</v>
      </c>
      <c r="S86" s="519"/>
    </row>
    <row r="87" spans="1:19">
      <c r="A87" s="167">
        <v>577</v>
      </c>
      <c r="B87" s="196"/>
      <c r="C87" s="196">
        <v>9</v>
      </c>
      <c r="D87" s="196">
        <v>6</v>
      </c>
      <c r="E87" s="196" t="s">
        <v>112</v>
      </c>
      <c r="F87" s="196">
        <v>81.11</v>
      </c>
      <c r="G87" s="196" t="s">
        <v>403</v>
      </c>
      <c r="H87" s="517">
        <v>55.244457244872997</v>
      </c>
      <c r="I87" s="57">
        <v>-0.56200000000000006</v>
      </c>
      <c r="J87" s="148">
        <v>-0.89012341618537905</v>
      </c>
      <c r="K87" s="491">
        <f t="shared" si="2"/>
        <v>14.587197196762268</v>
      </c>
      <c r="L87" s="525" t="s">
        <v>680</v>
      </c>
      <c r="M87" s="171" t="s">
        <v>74</v>
      </c>
      <c r="N87" s="171">
        <v>285</v>
      </c>
      <c r="O87" s="172" t="s">
        <v>44</v>
      </c>
      <c r="P87" s="171" t="s">
        <v>91</v>
      </c>
      <c r="Q87" s="172" t="s">
        <v>548</v>
      </c>
      <c r="R87" s="175" t="s">
        <v>524</v>
      </c>
      <c r="S87" s="519"/>
    </row>
    <row r="88" spans="1:19">
      <c r="A88" s="167">
        <v>577</v>
      </c>
      <c r="B88" s="196"/>
      <c r="C88" s="196">
        <v>9</v>
      </c>
      <c r="D88" s="196">
        <v>6</v>
      </c>
      <c r="E88" s="196" t="s">
        <v>112</v>
      </c>
      <c r="F88" s="196">
        <v>81.11</v>
      </c>
      <c r="G88" s="196" t="s">
        <v>403</v>
      </c>
      <c r="H88" s="517">
        <v>55.244457244872997</v>
      </c>
      <c r="I88" s="260">
        <v>-0.92300000000000004</v>
      </c>
      <c r="J88" s="148">
        <v>-0.89012341618537905</v>
      </c>
      <c r="K88" s="491">
        <f t="shared" si="2"/>
        <v>16.25264462717854</v>
      </c>
      <c r="L88" s="521" t="s">
        <v>234</v>
      </c>
      <c r="M88" s="171" t="s">
        <v>74</v>
      </c>
      <c r="N88" s="171">
        <v>437</v>
      </c>
      <c r="O88" s="172" t="s">
        <v>44</v>
      </c>
      <c r="P88" s="171" t="s">
        <v>91</v>
      </c>
      <c r="Q88" s="172" t="s">
        <v>548</v>
      </c>
      <c r="R88" s="175" t="s">
        <v>524</v>
      </c>
      <c r="S88" s="519"/>
    </row>
    <row r="89" spans="1:19">
      <c r="A89" s="167">
        <v>577</v>
      </c>
      <c r="B89" s="196"/>
      <c r="C89" s="196">
        <v>9</v>
      </c>
      <c r="D89" s="196">
        <v>6</v>
      </c>
      <c r="E89" s="196" t="s">
        <v>112</v>
      </c>
      <c r="F89" s="196">
        <v>81.11</v>
      </c>
      <c r="G89" s="196" t="s">
        <v>403</v>
      </c>
      <c r="H89" s="517">
        <v>55.244457244872997</v>
      </c>
      <c r="I89" s="260">
        <v>-0.70599999999999996</v>
      </c>
      <c r="J89" s="148">
        <v>-0.89012341618537905</v>
      </c>
      <c r="K89" s="491">
        <f t="shared" si="2"/>
        <v>15.248718477814743</v>
      </c>
      <c r="L89" s="521" t="s">
        <v>180</v>
      </c>
      <c r="M89" s="171" t="s">
        <v>74</v>
      </c>
      <c r="N89" s="171">
        <v>418</v>
      </c>
      <c r="O89" s="172" t="s">
        <v>44</v>
      </c>
      <c r="P89" s="171" t="s">
        <v>91</v>
      </c>
      <c r="Q89" s="172" t="s">
        <v>548</v>
      </c>
      <c r="R89" s="175" t="s">
        <v>524</v>
      </c>
      <c r="S89" s="519"/>
    </row>
    <row r="90" spans="1:19">
      <c r="A90" s="167">
        <v>577</v>
      </c>
      <c r="B90" s="196"/>
      <c r="C90" s="196">
        <v>9</v>
      </c>
      <c r="D90" s="196">
        <v>6</v>
      </c>
      <c r="E90" s="196" t="s">
        <v>112</v>
      </c>
      <c r="F90" s="196">
        <v>81.11</v>
      </c>
      <c r="G90" s="196" t="s">
        <v>403</v>
      </c>
      <c r="H90" s="517">
        <v>55.244457244872997</v>
      </c>
      <c r="I90" s="260">
        <v>-0.66600000000000004</v>
      </c>
      <c r="J90" s="148">
        <v>-0.89012341618537905</v>
      </c>
      <c r="K90" s="491">
        <f t="shared" si="2"/>
        <v>15.064588166411276</v>
      </c>
      <c r="L90" s="521" t="s">
        <v>681</v>
      </c>
      <c r="M90" s="171" t="s">
        <v>74</v>
      </c>
      <c r="N90" s="171">
        <v>342</v>
      </c>
      <c r="O90" s="172" t="s">
        <v>44</v>
      </c>
      <c r="P90" s="171" t="s">
        <v>91</v>
      </c>
      <c r="Q90" s="172" t="s">
        <v>548</v>
      </c>
      <c r="R90" s="175" t="s">
        <v>524</v>
      </c>
      <c r="S90" s="519"/>
    </row>
    <row r="91" spans="1:19">
      <c r="A91" s="167">
        <v>577</v>
      </c>
      <c r="B91" s="55"/>
      <c r="C91" s="55">
        <v>10</v>
      </c>
      <c r="D91" s="55">
        <v>1</v>
      </c>
      <c r="E91" s="55" t="s">
        <v>129</v>
      </c>
      <c r="F91" s="55">
        <v>83.06</v>
      </c>
      <c r="G91" s="55" t="s">
        <v>196</v>
      </c>
      <c r="H91" s="520">
        <v>56.434360504150391</v>
      </c>
      <c r="I91" s="260">
        <v>-1.1240000000000001</v>
      </c>
      <c r="J91" s="148">
        <v>-0.89012341618537905</v>
      </c>
      <c r="K91" s="494">
        <f t="shared" si="2"/>
        <v>17.190110191980953</v>
      </c>
      <c r="L91" s="521" t="s">
        <v>506</v>
      </c>
      <c r="M91" s="171" t="s">
        <v>74</v>
      </c>
      <c r="N91" s="171">
        <v>342</v>
      </c>
      <c r="O91" s="172" t="s">
        <v>35</v>
      </c>
      <c r="P91" s="171" t="s">
        <v>91</v>
      </c>
      <c r="Q91" s="172" t="s">
        <v>548</v>
      </c>
      <c r="R91" s="175" t="s">
        <v>524</v>
      </c>
      <c r="S91" s="519" t="s">
        <v>589</v>
      </c>
    </row>
    <row r="92" spans="1:19">
      <c r="A92" s="167">
        <v>577</v>
      </c>
      <c r="B92" s="55"/>
      <c r="C92" s="55">
        <v>10</v>
      </c>
      <c r="D92" s="55">
        <v>1</v>
      </c>
      <c r="E92" s="55" t="s">
        <v>129</v>
      </c>
      <c r="F92" s="55">
        <v>83.06</v>
      </c>
      <c r="G92" s="55" t="s">
        <v>196</v>
      </c>
      <c r="H92" s="520">
        <v>56.434360504150391</v>
      </c>
      <c r="I92" s="260">
        <v>-1.3149999999999999</v>
      </c>
      <c r="J92" s="148">
        <v>-0.89012341618537905</v>
      </c>
      <c r="K92" s="494">
        <f t="shared" si="2"/>
        <v>18.087674158932501</v>
      </c>
      <c r="L92" s="521" t="s">
        <v>508</v>
      </c>
      <c r="M92" s="171" t="s">
        <v>74</v>
      </c>
      <c r="N92" s="171">
        <v>380</v>
      </c>
      <c r="O92" s="172" t="s">
        <v>35</v>
      </c>
      <c r="P92" s="171" t="s">
        <v>91</v>
      </c>
      <c r="Q92" s="172" t="s">
        <v>548</v>
      </c>
      <c r="R92" s="175" t="s">
        <v>524</v>
      </c>
      <c r="S92" s="519"/>
    </row>
    <row r="93" spans="1:19">
      <c r="A93" s="167">
        <v>577</v>
      </c>
      <c r="B93" s="55"/>
      <c r="C93" s="55">
        <v>10</v>
      </c>
      <c r="D93" s="55">
        <v>1</v>
      </c>
      <c r="E93" s="55" t="s">
        <v>129</v>
      </c>
      <c r="F93" s="55">
        <v>83.06</v>
      </c>
      <c r="G93" s="55" t="s">
        <v>196</v>
      </c>
      <c r="H93" s="520">
        <v>56.434360504150391</v>
      </c>
      <c r="I93" s="260">
        <v>-1.218</v>
      </c>
      <c r="J93" s="148">
        <v>-0.89012341618537905</v>
      </c>
      <c r="K93" s="494">
        <f t="shared" si="2"/>
        <v>17.631022623779099</v>
      </c>
      <c r="L93" s="521" t="s">
        <v>519</v>
      </c>
      <c r="M93" s="171" t="s">
        <v>74</v>
      </c>
      <c r="N93" s="171">
        <v>608</v>
      </c>
      <c r="O93" s="172" t="s">
        <v>35</v>
      </c>
      <c r="P93" s="171" t="s">
        <v>91</v>
      </c>
      <c r="Q93" s="172" t="s">
        <v>548</v>
      </c>
      <c r="R93" s="175" t="s">
        <v>524</v>
      </c>
      <c r="S93" s="519"/>
    </row>
    <row r="94" spans="1:19">
      <c r="A94" s="167">
        <v>577</v>
      </c>
      <c r="B94" s="55"/>
      <c r="C94" s="55">
        <v>10</v>
      </c>
      <c r="D94" s="55">
        <v>1</v>
      </c>
      <c r="E94" s="55" t="s">
        <v>129</v>
      </c>
      <c r="F94" s="55">
        <v>83.06</v>
      </c>
      <c r="G94" s="55" t="s">
        <v>196</v>
      </c>
      <c r="H94" s="520">
        <v>56.434360504150398</v>
      </c>
      <c r="I94" s="260">
        <v>-1.3979999999999999</v>
      </c>
      <c r="J94" s="148">
        <v>-0.89012341618537905</v>
      </c>
      <c r="K94" s="494">
        <f t="shared" si="2"/>
        <v>18.479761825094691</v>
      </c>
      <c r="L94" s="521" t="s">
        <v>79</v>
      </c>
      <c r="M94" s="171" t="s">
        <v>74</v>
      </c>
      <c r="N94" s="171">
        <v>589</v>
      </c>
      <c r="O94" s="172" t="s">
        <v>35</v>
      </c>
      <c r="P94" s="171" t="s">
        <v>91</v>
      </c>
      <c r="Q94" s="172" t="s">
        <v>548</v>
      </c>
      <c r="R94" s="175" t="s">
        <v>524</v>
      </c>
      <c r="S94" s="519"/>
    </row>
    <row r="95" spans="1:19">
      <c r="A95" s="167">
        <v>577</v>
      </c>
      <c r="B95" s="55"/>
      <c r="C95" s="55">
        <v>10</v>
      </c>
      <c r="D95" s="55">
        <v>1</v>
      </c>
      <c r="E95" s="55" t="s">
        <v>129</v>
      </c>
      <c r="F95" s="55">
        <v>83.06</v>
      </c>
      <c r="G95" s="55" t="s">
        <v>196</v>
      </c>
      <c r="H95" s="520">
        <v>56.434360504150398</v>
      </c>
      <c r="I95" s="260">
        <v>-1.427</v>
      </c>
      <c r="J95" s="148">
        <v>-0.89012341618537905</v>
      </c>
      <c r="K95" s="494">
        <f t="shared" si="2"/>
        <v>18.617048630862204</v>
      </c>
      <c r="L95" s="521" t="s">
        <v>509</v>
      </c>
      <c r="M95" s="171" t="s">
        <v>74</v>
      </c>
      <c r="N95" s="171">
        <v>608</v>
      </c>
      <c r="O95" s="172" t="s">
        <v>35</v>
      </c>
      <c r="P95" s="171" t="s">
        <v>91</v>
      </c>
      <c r="Q95" s="172" t="s">
        <v>548</v>
      </c>
      <c r="R95" s="175" t="s">
        <v>524</v>
      </c>
      <c r="S95" s="519"/>
    </row>
    <row r="96" spans="1:19">
      <c r="A96" s="167">
        <v>577</v>
      </c>
      <c r="B96" s="55"/>
      <c r="C96" s="55">
        <v>10</v>
      </c>
      <c r="D96" s="55">
        <v>1</v>
      </c>
      <c r="E96" s="55" t="s">
        <v>129</v>
      </c>
      <c r="F96" s="55">
        <v>83.06</v>
      </c>
      <c r="G96" s="55" t="s">
        <v>196</v>
      </c>
      <c r="H96" s="520">
        <v>56.434360504150398</v>
      </c>
      <c r="I96" s="260">
        <v>-1.3620000000000001</v>
      </c>
      <c r="J96" s="148">
        <v>-0.89012341618537905</v>
      </c>
      <c r="K96" s="494">
        <f t="shared" si="2"/>
        <v>18.309547424831575</v>
      </c>
      <c r="L96" s="521" t="s">
        <v>510</v>
      </c>
      <c r="M96" s="171" t="s">
        <v>74</v>
      </c>
      <c r="N96" s="171">
        <v>627</v>
      </c>
      <c r="O96" s="172" t="s">
        <v>35</v>
      </c>
      <c r="P96" s="171" t="s">
        <v>91</v>
      </c>
      <c r="Q96" s="172" t="s">
        <v>548</v>
      </c>
      <c r="R96" s="175" t="s">
        <v>524</v>
      </c>
      <c r="S96" s="519"/>
    </row>
    <row r="97" spans="1:19">
      <c r="A97" s="167">
        <v>577</v>
      </c>
      <c r="B97" s="55"/>
      <c r="C97" s="55">
        <v>10</v>
      </c>
      <c r="D97" s="55">
        <v>1</v>
      </c>
      <c r="E97" s="55" t="s">
        <v>129</v>
      </c>
      <c r="F97" s="55">
        <v>83.06</v>
      </c>
      <c r="G97" s="55" t="s">
        <v>196</v>
      </c>
      <c r="H97" s="520">
        <v>56.434360504150398</v>
      </c>
      <c r="I97" s="260">
        <v>-1.2370000000000001</v>
      </c>
      <c r="J97" s="148">
        <v>-0.89012341618537905</v>
      </c>
      <c r="K97" s="494">
        <f t="shared" si="2"/>
        <v>17.720336451695747</v>
      </c>
      <c r="L97" s="521" t="s">
        <v>507</v>
      </c>
      <c r="M97" s="171" t="s">
        <v>74</v>
      </c>
      <c r="N97" s="171">
        <v>513</v>
      </c>
      <c r="O97" s="172" t="s">
        <v>35</v>
      </c>
      <c r="P97" s="171" t="s">
        <v>91</v>
      </c>
      <c r="Q97" s="172" t="s">
        <v>548</v>
      </c>
      <c r="R97" s="175" t="s">
        <v>524</v>
      </c>
      <c r="S97" s="519"/>
    </row>
    <row r="98" spans="1:19">
      <c r="A98" s="167">
        <v>577</v>
      </c>
      <c r="B98" s="55"/>
      <c r="C98" s="55">
        <v>10</v>
      </c>
      <c r="D98" s="55">
        <v>1</v>
      </c>
      <c r="E98" s="55" t="s">
        <v>129</v>
      </c>
      <c r="F98" s="55">
        <v>83.06</v>
      </c>
      <c r="G98" s="55" t="s">
        <v>196</v>
      </c>
      <c r="H98" s="520">
        <v>56.434360504150398</v>
      </c>
      <c r="I98" s="260">
        <v>-1.5920000000000001</v>
      </c>
      <c r="J98" s="148">
        <v>-0.89012341618537905</v>
      </c>
      <c r="K98" s="494">
        <f t="shared" si="2"/>
        <v>19.401044115401497</v>
      </c>
      <c r="L98" s="521" t="s">
        <v>239</v>
      </c>
      <c r="M98" s="171" t="s">
        <v>74</v>
      </c>
      <c r="N98" s="171">
        <v>532</v>
      </c>
      <c r="O98" s="172" t="s">
        <v>35</v>
      </c>
      <c r="P98" s="171" t="s">
        <v>91</v>
      </c>
      <c r="Q98" s="172" t="s">
        <v>548</v>
      </c>
      <c r="R98" s="175" t="s">
        <v>524</v>
      </c>
      <c r="S98" s="519"/>
    </row>
    <row r="99" spans="1:19">
      <c r="A99" s="167">
        <v>577</v>
      </c>
      <c r="B99" s="55"/>
      <c r="C99" s="55">
        <v>10</v>
      </c>
      <c r="D99" s="55">
        <v>1</v>
      </c>
      <c r="E99" s="55" t="s">
        <v>129</v>
      </c>
      <c r="F99" s="55">
        <v>83.06</v>
      </c>
      <c r="G99" s="55" t="s">
        <v>196</v>
      </c>
      <c r="H99" s="520">
        <v>56.434360504150398</v>
      </c>
      <c r="I99" s="260">
        <v>-1.329</v>
      </c>
      <c r="J99" s="148">
        <v>-0.89012341618537905</v>
      </c>
      <c r="K99" s="494">
        <f t="shared" si="2"/>
        <v>18.153722487923712</v>
      </c>
      <c r="L99" s="521" t="s">
        <v>195</v>
      </c>
      <c r="M99" s="171" t="s">
        <v>74</v>
      </c>
      <c r="N99" s="171">
        <v>589</v>
      </c>
      <c r="O99" s="172" t="s">
        <v>35</v>
      </c>
      <c r="P99" s="171" t="s">
        <v>91</v>
      </c>
      <c r="Q99" s="172" t="s">
        <v>548</v>
      </c>
      <c r="R99" s="175" t="s">
        <v>524</v>
      </c>
      <c r="S99" s="519"/>
    </row>
    <row r="100" spans="1:19">
      <c r="A100" s="167">
        <v>577</v>
      </c>
      <c r="B100" s="55"/>
      <c r="C100" s="55">
        <v>10</v>
      </c>
      <c r="D100" s="55">
        <v>1</v>
      </c>
      <c r="E100" s="55" t="s">
        <v>129</v>
      </c>
      <c r="F100" s="55">
        <v>83.06</v>
      </c>
      <c r="G100" s="55" t="s">
        <v>196</v>
      </c>
      <c r="H100" s="520">
        <v>56.434360504150398</v>
      </c>
      <c r="I100" s="260">
        <v>-1.361</v>
      </c>
      <c r="J100" s="148">
        <v>-0.89012341618537905</v>
      </c>
      <c r="K100" s="494">
        <f t="shared" si="2"/>
        <v>18.304822577046487</v>
      </c>
      <c r="L100" s="521" t="s">
        <v>202</v>
      </c>
      <c r="M100" s="171" t="s">
        <v>74</v>
      </c>
      <c r="N100" s="171">
        <v>551</v>
      </c>
      <c r="O100" s="172" t="s">
        <v>35</v>
      </c>
      <c r="P100" s="171" t="s">
        <v>91</v>
      </c>
      <c r="Q100" s="172" t="s">
        <v>548</v>
      </c>
      <c r="R100" s="175" t="s">
        <v>524</v>
      </c>
      <c r="S100" s="519"/>
    </row>
    <row r="101" spans="1:19">
      <c r="A101" s="167">
        <v>577</v>
      </c>
      <c r="B101" s="55"/>
      <c r="C101" s="55">
        <v>10</v>
      </c>
      <c r="D101" s="55">
        <v>1</v>
      </c>
      <c r="E101" s="55" t="s">
        <v>129</v>
      </c>
      <c r="F101" s="55">
        <v>83.06</v>
      </c>
      <c r="G101" s="55" t="s">
        <v>196</v>
      </c>
      <c r="H101" s="520">
        <v>56.434360504150398</v>
      </c>
      <c r="I101" s="260">
        <v>-0.67</v>
      </c>
      <c r="J101" s="148">
        <v>-0.89012341618537905</v>
      </c>
      <c r="K101" s="491">
        <f t="shared" si="2"/>
        <v>15.082988237551625</v>
      </c>
      <c r="L101" s="521" t="s">
        <v>234</v>
      </c>
      <c r="M101" s="171" t="s">
        <v>74</v>
      </c>
      <c r="N101" s="171">
        <v>380</v>
      </c>
      <c r="O101" s="172" t="s">
        <v>44</v>
      </c>
      <c r="P101" s="171" t="s">
        <v>91</v>
      </c>
      <c r="Q101" s="172" t="s">
        <v>548</v>
      </c>
      <c r="R101" s="175" t="s">
        <v>524</v>
      </c>
      <c r="S101" s="519"/>
    </row>
    <row r="102" spans="1:19">
      <c r="A102" s="167">
        <v>577</v>
      </c>
      <c r="B102" s="55"/>
      <c r="C102" s="55">
        <v>10</v>
      </c>
      <c r="D102" s="55">
        <v>1</v>
      </c>
      <c r="E102" s="55" t="s">
        <v>129</v>
      </c>
      <c r="F102" s="55">
        <v>83.06</v>
      </c>
      <c r="G102" s="55" t="s">
        <v>196</v>
      </c>
      <c r="H102" s="520">
        <v>56.434360504150398</v>
      </c>
      <c r="I102" s="260">
        <v>-0.72099999999999997</v>
      </c>
      <c r="J102" s="148">
        <v>-0.89012341618537905</v>
      </c>
      <c r="K102" s="491">
        <f t="shared" si="2"/>
        <v>15.317841594591043</v>
      </c>
      <c r="L102" s="521" t="s">
        <v>198</v>
      </c>
      <c r="M102" s="171" t="s">
        <v>74</v>
      </c>
      <c r="N102" s="171">
        <v>380</v>
      </c>
      <c r="O102" s="172" t="s">
        <v>44</v>
      </c>
      <c r="P102" s="171" t="s">
        <v>91</v>
      </c>
      <c r="Q102" s="172" t="s">
        <v>548</v>
      </c>
      <c r="R102" s="175" t="s">
        <v>524</v>
      </c>
      <c r="S102" s="519"/>
    </row>
    <row r="103" spans="1:19">
      <c r="A103" s="167">
        <v>577</v>
      </c>
      <c r="B103" s="55"/>
      <c r="C103" s="55">
        <v>10</v>
      </c>
      <c r="D103" s="55">
        <v>1</v>
      </c>
      <c r="E103" s="55" t="s">
        <v>129</v>
      </c>
      <c r="F103" s="55">
        <v>83.06</v>
      </c>
      <c r="G103" s="55" t="s">
        <v>196</v>
      </c>
      <c r="H103" s="520">
        <v>56.434360504150398</v>
      </c>
      <c r="I103" s="260">
        <v>-0.71399999999999997</v>
      </c>
      <c r="J103" s="148">
        <v>-0.89012341618537905</v>
      </c>
      <c r="K103" s="491">
        <f t="shared" si="2"/>
        <v>15.285579100095436</v>
      </c>
      <c r="L103" s="521" t="s">
        <v>518</v>
      </c>
      <c r="M103" s="171" t="s">
        <v>74</v>
      </c>
      <c r="N103" s="171">
        <v>285</v>
      </c>
      <c r="O103" s="172" t="s">
        <v>535</v>
      </c>
      <c r="P103" s="171" t="s">
        <v>91</v>
      </c>
      <c r="Q103" s="172" t="s">
        <v>548</v>
      </c>
      <c r="R103" s="175" t="s">
        <v>524</v>
      </c>
      <c r="S103" s="519"/>
    </row>
    <row r="104" spans="1:19">
      <c r="A104" s="167">
        <v>577</v>
      </c>
      <c r="B104" s="55"/>
      <c r="C104" s="55">
        <v>10</v>
      </c>
      <c r="D104" s="55">
        <v>1</v>
      </c>
      <c r="E104" s="55" t="s">
        <v>129</v>
      </c>
      <c r="F104" s="55">
        <v>83.06</v>
      </c>
      <c r="G104" s="55" t="s">
        <v>196</v>
      </c>
      <c r="H104" s="520">
        <v>56.434360504150398</v>
      </c>
      <c r="I104" s="260">
        <v>-0.64100000000000001</v>
      </c>
      <c r="J104" s="148">
        <v>-0.89012341618537905</v>
      </c>
      <c r="K104" s="491">
        <f t="shared" si="2"/>
        <v>14.949652971784111</v>
      </c>
      <c r="L104" s="521" t="s">
        <v>516</v>
      </c>
      <c r="M104" s="171" t="s">
        <v>74</v>
      </c>
      <c r="N104" s="171">
        <v>342</v>
      </c>
      <c r="O104" s="172" t="s">
        <v>535</v>
      </c>
      <c r="P104" s="171" t="s">
        <v>91</v>
      </c>
      <c r="Q104" s="172" t="s">
        <v>548</v>
      </c>
      <c r="R104" s="175" t="s">
        <v>524</v>
      </c>
      <c r="S104" s="519"/>
    </row>
    <row r="105" spans="1:19">
      <c r="A105" s="167">
        <v>577</v>
      </c>
      <c r="B105" s="55"/>
      <c r="C105" s="55">
        <v>10</v>
      </c>
      <c r="D105" s="55">
        <v>1</v>
      </c>
      <c r="E105" s="55" t="s">
        <v>129</v>
      </c>
      <c r="F105" s="55">
        <v>83.06</v>
      </c>
      <c r="G105" s="55" t="s">
        <v>196</v>
      </c>
      <c r="H105" s="520">
        <v>56.434360504150398</v>
      </c>
      <c r="I105" s="260">
        <v>-0.82299999999999995</v>
      </c>
      <c r="J105" s="148">
        <v>-0.89012341618537905</v>
      </c>
      <c r="K105" s="491">
        <f t="shared" si="2"/>
        <v>15.788952848669878</v>
      </c>
      <c r="L105" s="521" t="s">
        <v>517</v>
      </c>
      <c r="M105" s="171" t="s">
        <v>74</v>
      </c>
      <c r="N105" s="171">
        <v>361</v>
      </c>
      <c r="O105" s="172" t="s">
        <v>535</v>
      </c>
      <c r="P105" s="171" t="s">
        <v>91</v>
      </c>
      <c r="Q105" s="172" t="s">
        <v>548</v>
      </c>
      <c r="R105" s="175" t="s">
        <v>524</v>
      </c>
      <c r="S105" s="519"/>
    </row>
    <row r="106" spans="1:19">
      <c r="A106" s="167">
        <v>577</v>
      </c>
      <c r="B106" s="55"/>
      <c r="C106" s="55">
        <v>10</v>
      </c>
      <c r="D106" s="55">
        <v>1</v>
      </c>
      <c r="E106" s="55" t="s">
        <v>129</v>
      </c>
      <c r="F106" s="55">
        <v>83.06</v>
      </c>
      <c r="G106" s="55" t="s">
        <v>196</v>
      </c>
      <c r="H106" s="520">
        <v>56.434360504150398</v>
      </c>
      <c r="I106" s="260">
        <v>-1.266</v>
      </c>
      <c r="J106" s="148">
        <v>-0.89012341618537905</v>
      </c>
      <c r="K106" s="494">
        <f t="shared" si="2"/>
        <v>17.856782837463253</v>
      </c>
      <c r="L106" s="521" t="s">
        <v>301</v>
      </c>
      <c r="M106" s="171" t="s">
        <v>74</v>
      </c>
      <c r="N106" s="171">
        <v>532</v>
      </c>
      <c r="O106" s="172" t="s">
        <v>35</v>
      </c>
      <c r="P106" s="171" t="s">
        <v>91</v>
      </c>
      <c r="Q106" s="172" t="s">
        <v>548</v>
      </c>
      <c r="R106" s="175" t="s">
        <v>524</v>
      </c>
      <c r="S106" s="519"/>
    </row>
    <row r="107" spans="1:19">
      <c r="A107" s="167">
        <v>577</v>
      </c>
      <c r="B107" s="55"/>
      <c r="C107" s="55">
        <v>10</v>
      </c>
      <c r="D107" s="55">
        <v>1</v>
      </c>
      <c r="E107" s="55" t="s">
        <v>129</v>
      </c>
      <c r="F107" s="55">
        <v>83.06</v>
      </c>
      <c r="G107" s="55" t="s">
        <v>196</v>
      </c>
      <c r="H107" s="520">
        <v>56.434360504150398</v>
      </c>
      <c r="I107" s="260">
        <v>-1.294</v>
      </c>
      <c r="J107" s="148">
        <v>-0.89012341618537905</v>
      </c>
      <c r="K107" s="494">
        <f t="shared" si="2"/>
        <v>17.988667815445684</v>
      </c>
      <c r="L107" s="521" t="s">
        <v>305</v>
      </c>
      <c r="M107" s="171" t="s">
        <v>74</v>
      </c>
      <c r="N107" s="171">
        <v>513</v>
      </c>
      <c r="O107" s="172" t="s">
        <v>35</v>
      </c>
      <c r="P107" s="171" t="s">
        <v>91</v>
      </c>
      <c r="Q107" s="172" t="s">
        <v>548</v>
      </c>
      <c r="R107" s="175" t="s">
        <v>524</v>
      </c>
      <c r="S107" s="519"/>
    </row>
    <row r="108" spans="1:19">
      <c r="A108" s="167">
        <v>577</v>
      </c>
      <c r="B108" s="55"/>
      <c r="C108" s="55">
        <v>10</v>
      </c>
      <c r="D108" s="55">
        <v>1</v>
      </c>
      <c r="E108" s="55" t="s">
        <v>129</v>
      </c>
      <c r="F108" s="55">
        <v>83.06</v>
      </c>
      <c r="G108" s="55" t="s">
        <v>196</v>
      </c>
      <c r="H108" s="520">
        <v>56.434360504150398</v>
      </c>
      <c r="I108" s="260">
        <v>-1.4810000000000001</v>
      </c>
      <c r="J108" s="148">
        <v>-0.89012341618537905</v>
      </c>
      <c r="K108" s="494">
        <f t="shared" si="2"/>
        <v>18.873089511256882</v>
      </c>
      <c r="L108" s="521" t="s">
        <v>392</v>
      </c>
      <c r="M108" s="171" t="s">
        <v>74</v>
      </c>
      <c r="N108" s="171">
        <v>494</v>
      </c>
      <c r="O108" s="172" t="s">
        <v>35</v>
      </c>
      <c r="P108" s="171" t="s">
        <v>91</v>
      </c>
      <c r="Q108" s="172" t="s">
        <v>548</v>
      </c>
      <c r="R108" s="175" t="s">
        <v>524</v>
      </c>
      <c r="S108" s="519"/>
    </row>
    <row r="109" spans="1:19">
      <c r="A109" s="167">
        <v>577</v>
      </c>
      <c r="B109" s="55"/>
      <c r="C109" s="55">
        <v>10</v>
      </c>
      <c r="D109" s="55">
        <v>1</v>
      </c>
      <c r="E109" s="55" t="s">
        <v>129</v>
      </c>
      <c r="F109" s="55">
        <v>83.06</v>
      </c>
      <c r="G109" s="55" t="s">
        <v>196</v>
      </c>
      <c r="H109" s="520">
        <v>56.434360504150398</v>
      </c>
      <c r="I109" s="260">
        <v>-1.478</v>
      </c>
      <c r="J109" s="148">
        <v>-0.89012341618537905</v>
      </c>
      <c r="K109" s="494">
        <f t="shared" si="2"/>
        <v>18.858851247901619</v>
      </c>
      <c r="L109" s="521" t="s">
        <v>391</v>
      </c>
      <c r="M109" s="171" t="s">
        <v>74</v>
      </c>
      <c r="N109" s="171">
        <v>380</v>
      </c>
      <c r="O109" s="172" t="s">
        <v>35</v>
      </c>
      <c r="P109" s="171" t="s">
        <v>91</v>
      </c>
      <c r="Q109" s="172" t="s">
        <v>548</v>
      </c>
      <c r="R109" s="175" t="s">
        <v>524</v>
      </c>
      <c r="S109" s="519"/>
    </row>
    <row r="110" spans="1:19">
      <c r="A110" s="167">
        <v>577</v>
      </c>
      <c r="B110" s="55"/>
      <c r="C110" s="55">
        <v>10</v>
      </c>
      <c r="D110" s="55">
        <v>1</v>
      </c>
      <c r="E110" s="55" t="s">
        <v>129</v>
      </c>
      <c r="F110" s="55">
        <v>83.06</v>
      </c>
      <c r="G110" s="55" t="s">
        <v>196</v>
      </c>
      <c r="H110" s="520">
        <v>56.434360504150398</v>
      </c>
      <c r="I110" s="260">
        <v>-1.349</v>
      </c>
      <c r="J110" s="148">
        <v>-0.89012341618537905</v>
      </c>
      <c r="K110" s="494">
        <f t="shared" si="2"/>
        <v>18.248138443625447</v>
      </c>
      <c r="L110" s="521" t="s">
        <v>513</v>
      </c>
      <c r="M110" s="171" t="s">
        <v>74</v>
      </c>
      <c r="N110" s="171">
        <v>418</v>
      </c>
      <c r="O110" s="172" t="s">
        <v>35</v>
      </c>
      <c r="P110" s="171" t="s">
        <v>91</v>
      </c>
      <c r="Q110" s="172" t="s">
        <v>548</v>
      </c>
      <c r="R110" s="175" t="s">
        <v>524</v>
      </c>
      <c r="S110" s="519"/>
    </row>
    <row r="111" spans="1:19">
      <c r="A111" s="167">
        <v>577</v>
      </c>
      <c r="B111" s="55"/>
      <c r="C111" s="55">
        <v>10</v>
      </c>
      <c r="D111" s="55">
        <v>1</v>
      </c>
      <c r="E111" s="55" t="s">
        <v>129</v>
      </c>
      <c r="F111" s="55">
        <v>83.06</v>
      </c>
      <c r="G111" s="55" t="s">
        <v>196</v>
      </c>
      <c r="H111" s="520">
        <v>56.434360504150398</v>
      </c>
      <c r="I111" s="260">
        <v>-1.395</v>
      </c>
      <c r="J111" s="148">
        <v>-0.89012341618537905</v>
      </c>
      <c r="K111" s="494">
        <f t="shared" si="2"/>
        <v>18.465568381739434</v>
      </c>
      <c r="L111" s="521" t="s">
        <v>520</v>
      </c>
      <c r="M111" s="171" t="s">
        <v>74</v>
      </c>
      <c r="N111" s="171">
        <v>361</v>
      </c>
      <c r="O111" s="172" t="s">
        <v>35</v>
      </c>
      <c r="P111" s="171" t="s">
        <v>91</v>
      </c>
      <c r="Q111" s="172" t="s">
        <v>548</v>
      </c>
      <c r="R111" s="175" t="s">
        <v>524</v>
      </c>
      <c r="S111" s="519"/>
    </row>
    <row r="112" spans="1:19">
      <c r="A112" s="167">
        <v>577</v>
      </c>
      <c r="B112" s="55"/>
      <c r="C112" s="55">
        <v>10</v>
      </c>
      <c r="D112" s="55">
        <v>1</v>
      </c>
      <c r="E112" s="55" t="s">
        <v>129</v>
      </c>
      <c r="F112" s="55">
        <v>83.06</v>
      </c>
      <c r="G112" s="55" t="s">
        <v>196</v>
      </c>
      <c r="H112" s="520">
        <v>56.434360504150398</v>
      </c>
      <c r="I112" s="260">
        <v>-1.3660000000000001</v>
      </c>
      <c r="J112" s="148">
        <v>-0.89012341618537905</v>
      </c>
      <c r="K112" s="494">
        <f t="shared" si="2"/>
        <v>18.328448615971919</v>
      </c>
      <c r="L112" s="521" t="s">
        <v>511</v>
      </c>
      <c r="M112" s="171" t="s">
        <v>74</v>
      </c>
      <c r="N112" s="171">
        <v>532</v>
      </c>
      <c r="O112" s="172" t="s">
        <v>35</v>
      </c>
      <c r="P112" s="171" t="s">
        <v>91</v>
      </c>
      <c r="Q112" s="172" t="s">
        <v>548</v>
      </c>
      <c r="R112" s="175" t="s">
        <v>524</v>
      </c>
      <c r="S112" s="519"/>
    </row>
    <row r="113" spans="1:19">
      <c r="A113" s="167">
        <v>577</v>
      </c>
      <c r="B113" s="55"/>
      <c r="C113" s="55">
        <v>10</v>
      </c>
      <c r="D113" s="55">
        <v>1</v>
      </c>
      <c r="E113" s="55" t="s">
        <v>129</v>
      </c>
      <c r="F113" s="55">
        <v>83.06</v>
      </c>
      <c r="G113" s="55" t="s">
        <v>196</v>
      </c>
      <c r="H113" s="520">
        <v>56.434360504150398</v>
      </c>
      <c r="I113" s="260">
        <v>-1.32</v>
      </c>
      <c r="J113" s="148">
        <v>-0.89012341618537905</v>
      </c>
      <c r="K113" s="494">
        <f t="shared" si="2"/>
        <v>18.111258797857932</v>
      </c>
      <c r="L113" s="521" t="s">
        <v>150</v>
      </c>
      <c r="M113" s="171" t="s">
        <v>74</v>
      </c>
      <c r="N113" s="171">
        <v>513</v>
      </c>
      <c r="O113" s="172" t="s">
        <v>35</v>
      </c>
      <c r="P113" s="171" t="s">
        <v>91</v>
      </c>
      <c r="Q113" s="172" t="s">
        <v>548</v>
      </c>
      <c r="R113" s="175" t="s">
        <v>524</v>
      </c>
      <c r="S113" s="519"/>
    </row>
    <row r="114" spans="1:19">
      <c r="A114" s="167">
        <v>577</v>
      </c>
      <c r="B114" s="55"/>
      <c r="C114" s="55">
        <v>10</v>
      </c>
      <c r="D114" s="55">
        <v>1</v>
      </c>
      <c r="E114" s="55" t="s">
        <v>129</v>
      </c>
      <c r="F114" s="55">
        <v>83.06</v>
      </c>
      <c r="G114" s="55" t="s">
        <v>196</v>
      </c>
      <c r="H114" s="520">
        <v>56.434360504150398</v>
      </c>
      <c r="I114" s="260">
        <v>-1.4450000000000001</v>
      </c>
      <c r="J114" s="148">
        <v>-0.89012341618537905</v>
      </c>
      <c r="K114" s="494">
        <f t="shared" si="2"/>
        <v>18.702337270993763</v>
      </c>
      <c r="L114" s="521" t="s">
        <v>33</v>
      </c>
      <c r="M114" s="171" t="s">
        <v>74</v>
      </c>
      <c r="N114" s="171">
        <v>570</v>
      </c>
      <c r="O114" s="172" t="s">
        <v>35</v>
      </c>
      <c r="P114" s="171" t="s">
        <v>91</v>
      </c>
      <c r="Q114" s="172" t="s">
        <v>548</v>
      </c>
      <c r="R114" s="175" t="s">
        <v>524</v>
      </c>
      <c r="S114" s="519"/>
    </row>
    <row r="115" spans="1:19">
      <c r="A115" s="167">
        <v>577</v>
      </c>
      <c r="B115" s="55"/>
      <c r="C115" s="55">
        <v>10</v>
      </c>
      <c r="D115" s="55">
        <v>1</v>
      </c>
      <c r="E115" s="55" t="s">
        <v>129</v>
      </c>
      <c r="F115" s="55">
        <v>83.06</v>
      </c>
      <c r="G115" s="55" t="s">
        <v>196</v>
      </c>
      <c r="H115" s="520">
        <v>56.434360504150398</v>
      </c>
      <c r="I115" s="260">
        <v>-1.3540000000000001</v>
      </c>
      <c r="J115" s="148">
        <v>-0.89012341618537905</v>
      </c>
      <c r="K115" s="494">
        <f t="shared" si="2"/>
        <v>18.27175368255088</v>
      </c>
      <c r="L115" s="521" t="s">
        <v>262</v>
      </c>
      <c r="M115" s="171" t="s">
        <v>74</v>
      </c>
      <c r="N115" s="171">
        <v>551</v>
      </c>
      <c r="O115" s="172" t="s">
        <v>35</v>
      </c>
      <c r="P115" s="171" t="s">
        <v>91</v>
      </c>
      <c r="Q115" s="172" t="s">
        <v>548</v>
      </c>
      <c r="R115" s="175" t="s">
        <v>524</v>
      </c>
      <c r="S115" s="522" t="s">
        <v>497</v>
      </c>
    </row>
    <row r="116" spans="1:19">
      <c r="A116" s="167">
        <v>577</v>
      </c>
      <c r="B116" s="55"/>
      <c r="C116" s="55">
        <v>10</v>
      </c>
      <c r="D116" s="55">
        <v>1</v>
      </c>
      <c r="E116" s="55" t="s">
        <v>129</v>
      </c>
      <c r="F116" s="55">
        <v>83.06</v>
      </c>
      <c r="G116" s="55" t="s">
        <v>196</v>
      </c>
      <c r="H116" s="520">
        <v>56.434360504150398</v>
      </c>
      <c r="I116" s="260">
        <v>-1.0329999999999999</v>
      </c>
      <c r="J116" s="148">
        <v>-0.89012341618537905</v>
      </c>
      <c r="K116" s="494">
        <f t="shared" si="2"/>
        <v>16.76478458353807</v>
      </c>
      <c r="L116" s="521" t="s">
        <v>682</v>
      </c>
      <c r="M116" s="171" t="s">
        <v>74</v>
      </c>
      <c r="N116" s="171">
        <v>152</v>
      </c>
      <c r="O116" s="172" t="s">
        <v>35</v>
      </c>
      <c r="P116" s="171" t="s">
        <v>91</v>
      </c>
      <c r="Q116" s="172" t="s">
        <v>548</v>
      </c>
      <c r="R116" s="175" t="s">
        <v>524</v>
      </c>
      <c r="S116" s="519"/>
    </row>
    <row r="117" spans="1:19">
      <c r="A117" s="167">
        <v>577</v>
      </c>
      <c r="B117" s="55"/>
      <c r="C117" s="55">
        <v>10</v>
      </c>
      <c r="D117" s="55">
        <v>1</v>
      </c>
      <c r="E117" s="55" t="s">
        <v>129</v>
      </c>
      <c r="F117" s="55">
        <v>83.06</v>
      </c>
      <c r="G117" s="55" t="s">
        <v>196</v>
      </c>
      <c r="H117" s="520">
        <v>56.434360504150398</v>
      </c>
      <c r="I117" s="260">
        <v>-1.1970000000000001</v>
      </c>
      <c r="J117" s="148">
        <v>-0.89012341618537905</v>
      </c>
      <c r="K117" s="494">
        <f t="shared" si="2"/>
        <v>17.53238294029228</v>
      </c>
      <c r="L117" s="521" t="s">
        <v>521</v>
      </c>
      <c r="M117" s="171" t="s">
        <v>74</v>
      </c>
      <c r="N117" s="171">
        <v>209</v>
      </c>
      <c r="O117" s="172" t="s">
        <v>35</v>
      </c>
      <c r="P117" s="171" t="s">
        <v>91</v>
      </c>
      <c r="Q117" s="172" t="s">
        <v>548</v>
      </c>
      <c r="R117" s="175" t="s">
        <v>524</v>
      </c>
      <c r="S117" s="519"/>
    </row>
    <row r="118" spans="1:19">
      <c r="A118" s="167">
        <v>577</v>
      </c>
      <c r="B118" s="55"/>
      <c r="C118" s="55">
        <v>10</v>
      </c>
      <c r="D118" s="55">
        <v>1</v>
      </c>
      <c r="E118" s="55" t="s">
        <v>129</v>
      </c>
      <c r="F118" s="55">
        <v>83.06</v>
      </c>
      <c r="G118" s="55" t="s">
        <v>196</v>
      </c>
      <c r="H118" s="520">
        <v>56.434360504150398</v>
      </c>
      <c r="I118" s="260">
        <v>-1.4159999999999999</v>
      </c>
      <c r="J118" s="148">
        <v>-0.89012341618537905</v>
      </c>
      <c r="K118" s="494">
        <f t="shared" si="2"/>
        <v>18.564956505226252</v>
      </c>
      <c r="L118" s="521" t="s">
        <v>531</v>
      </c>
      <c r="M118" s="171" t="s">
        <v>74</v>
      </c>
      <c r="N118" s="171">
        <v>228</v>
      </c>
      <c r="O118" s="172" t="s">
        <v>35</v>
      </c>
      <c r="P118" s="171" t="s">
        <v>91</v>
      </c>
      <c r="Q118" s="172" t="s">
        <v>548</v>
      </c>
      <c r="R118" s="175" t="s">
        <v>524</v>
      </c>
      <c r="S118" s="522" t="s">
        <v>497</v>
      </c>
    </row>
    <row r="119" spans="1:19">
      <c r="A119" s="167">
        <v>577</v>
      </c>
      <c r="B119" s="55"/>
      <c r="C119" s="55">
        <v>10</v>
      </c>
      <c r="D119" s="55">
        <v>1</v>
      </c>
      <c r="E119" s="55" t="s">
        <v>129</v>
      </c>
      <c r="F119" s="55">
        <v>83.06</v>
      </c>
      <c r="G119" s="55" t="s">
        <v>196</v>
      </c>
      <c r="H119" s="520">
        <v>56.434360504150398</v>
      </c>
      <c r="I119" s="260">
        <v>-1.175</v>
      </c>
      <c r="J119" s="148">
        <v>-0.89012341618537905</v>
      </c>
      <c r="K119" s="494">
        <f t="shared" si="2"/>
        <v>17.429131269020374</v>
      </c>
      <c r="L119" s="521" t="s">
        <v>514</v>
      </c>
      <c r="M119" s="171" t="s">
        <v>74</v>
      </c>
      <c r="N119" s="171">
        <v>304</v>
      </c>
      <c r="O119" s="172" t="s">
        <v>35</v>
      </c>
      <c r="P119" s="171" t="s">
        <v>91</v>
      </c>
      <c r="Q119" s="172" t="s">
        <v>548</v>
      </c>
      <c r="R119" s="175" t="s">
        <v>524</v>
      </c>
      <c r="S119" s="519"/>
    </row>
    <row r="120" spans="1:19">
      <c r="A120" s="167">
        <v>577</v>
      </c>
      <c r="B120" s="55"/>
      <c r="C120" s="55">
        <v>10</v>
      </c>
      <c r="D120" s="55">
        <v>1</v>
      </c>
      <c r="E120" s="55" t="s">
        <v>129</v>
      </c>
      <c r="F120" s="55">
        <v>83.06</v>
      </c>
      <c r="G120" s="55" t="s">
        <v>196</v>
      </c>
      <c r="H120" s="520">
        <v>56.434360504150398</v>
      </c>
      <c r="I120" s="260">
        <v>-0.89800000000000002</v>
      </c>
      <c r="J120" s="148">
        <v>-0.89012341618537905</v>
      </c>
      <c r="K120" s="491">
        <f t="shared" si="2"/>
        <v>16.136552932551375</v>
      </c>
      <c r="L120" s="521" t="s">
        <v>532</v>
      </c>
      <c r="M120" s="171" t="s">
        <v>74</v>
      </c>
      <c r="N120" s="171">
        <v>323</v>
      </c>
      <c r="O120" s="172" t="s">
        <v>44</v>
      </c>
      <c r="P120" s="171" t="s">
        <v>91</v>
      </c>
      <c r="Q120" s="172" t="s">
        <v>548</v>
      </c>
      <c r="R120" s="175" t="s">
        <v>524</v>
      </c>
      <c r="S120" s="522"/>
    </row>
    <row r="121" spans="1:19">
      <c r="A121" s="167">
        <v>577</v>
      </c>
      <c r="B121" s="55"/>
      <c r="C121" s="55">
        <v>10</v>
      </c>
      <c r="D121" s="55">
        <v>1</v>
      </c>
      <c r="E121" s="55" t="s">
        <v>129</v>
      </c>
      <c r="F121" s="55">
        <v>83.06</v>
      </c>
      <c r="G121" s="55" t="s">
        <v>196</v>
      </c>
      <c r="H121" s="520">
        <v>56.434360504150398</v>
      </c>
      <c r="I121" s="260">
        <v>0.40300000000000002</v>
      </c>
      <c r="J121" s="148">
        <v>-0.89012341618537905</v>
      </c>
      <c r="K121" s="491">
        <f t="shared" si="2"/>
        <v>10.250402484153669</v>
      </c>
      <c r="L121" s="521" t="s">
        <v>533</v>
      </c>
      <c r="M121" s="171" t="s">
        <v>74</v>
      </c>
      <c r="N121" s="171">
        <v>209</v>
      </c>
      <c r="O121" s="172" t="s">
        <v>528</v>
      </c>
      <c r="P121" s="171" t="s">
        <v>91</v>
      </c>
      <c r="Q121" s="172" t="s">
        <v>548</v>
      </c>
      <c r="R121" s="175" t="s">
        <v>524</v>
      </c>
      <c r="S121" s="522" t="s">
        <v>497</v>
      </c>
    </row>
    <row r="122" spans="1:19">
      <c r="A122" s="167">
        <v>577</v>
      </c>
      <c r="B122" s="55"/>
      <c r="C122" s="55">
        <v>10</v>
      </c>
      <c r="D122" s="55">
        <v>1</v>
      </c>
      <c r="E122" s="55" t="s">
        <v>129</v>
      </c>
      <c r="F122" s="55">
        <v>83.06</v>
      </c>
      <c r="G122" s="55" t="s">
        <v>196</v>
      </c>
      <c r="H122" s="520">
        <v>56.434360504150398</v>
      </c>
      <c r="I122" s="260">
        <v>-0.316</v>
      </c>
      <c r="J122" s="148">
        <v>-0.89012341618537905</v>
      </c>
      <c r="K122" s="491">
        <f t="shared" si="2"/>
        <v>13.465732941630957</v>
      </c>
      <c r="L122" s="521" t="s">
        <v>681</v>
      </c>
      <c r="M122" s="171" t="s">
        <v>74</v>
      </c>
      <c r="N122" s="171">
        <v>323</v>
      </c>
      <c r="O122" s="172" t="s">
        <v>44</v>
      </c>
      <c r="P122" s="171" t="s">
        <v>91</v>
      </c>
      <c r="Q122" s="172" t="s">
        <v>548</v>
      </c>
      <c r="R122" s="175" t="s">
        <v>524</v>
      </c>
      <c r="S122" s="519"/>
    </row>
    <row r="123" spans="1:19">
      <c r="A123" s="167">
        <v>577</v>
      </c>
      <c r="B123" s="55"/>
      <c r="C123" s="55">
        <v>10</v>
      </c>
      <c r="D123" s="55">
        <v>1</v>
      </c>
      <c r="E123" s="55" t="s">
        <v>129</v>
      </c>
      <c r="F123" s="55">
        <v>83.06</v>
      </c>
      <c r="G123" s="55" t="s">
        <v>196</v>
      </c>
      <c r="H123" s="520">
        <v>56.434360504150398</v>
      </c>
      <c r="I123" s="260">
        <v>-0.93100000000000005</v>
      </c>
      <c r="J123" s="148">
        <v>-0.89012341618537905</v>
      </c>
      <c r="K123" s="494">
        <f t="shared" si="2"/>
        <v>16.289817729459237</v>
      </c>
      <c r="L123" s="521" t="s">
        <v>534</v>
      </c>
      <c r="M123" s="171" t="s">
        <v>74</v>
      </c>
      <c r="N123" s="171">
        <v>228</v>
      </c>
      <c r="O123" s="172" t="s">
        <v>35</v>
      </c>
      <c r="P123" s="171" t="s">
        <v>91</v>
      </c>
      <c r="Q123" s="172" t="s">
        <v>548</v>
      </c>
      <c r="R123" s="175" t="s">
        <v>524</v>
      </c>
      <c r="S123" s="522" t="s">
        <v>497</v>
      </c>
    </row>
    <row r="124" spans="1:19" ht="13.5" thickBot="1">
      <c r="A124" s="254"/>
      <c r="B124" s="255"/>
      <c r="C124" s="255"/>
      <c r="D124" s="255"/>
      <c r="E124" s="255"/>
      <c r="F124" s="255"/>
      <c r="G124" s="255"/>
      <c r="H124" s="256"/>
      <c r="I124" s="257"/>
      <c r="J124" s="255"/>
      <c r="K124" s="609"/>
      <c r="L124" s="527"/>
      <c r="M124" s="255"/>
      <c r="N124" s="255"/>
      <c r="O124" s="256"/>
      <c r="P124" s="255"/>
      <c r="Q124" s="256"/>
      <c r="R124" s="258"/>
      <c r="S124" s="528"/>
    </row>
    <row r="125" spans="1:19">
      <c r="A125" s="145"/>
      <c r="B125" s="145"/>
      <c r="C125" s="145"/>
      <c r="D125" s="145"/>
      <c r="E125" s="145"/>
      <c r="F125" s="144"/>
      <c r="G125" s="144"/>
      <c r="H125" s="55"/>
      <c r="I125" s="144"/>
      <c r="J125" s="145"/>
      <c r="K125" s="145"/>
      <c r="L125" s="152"/>
      <c r="M125" s="145"/>
      <c r="N125" s="145"/>
      <c r="O125" s="145"/>
      <c r="P125" s="144"/>
      <c r="Q125" s="144"/>
      <c r="R125" s="145"/>
      <c r="S125" s="152"/>
    </row>
    <row r="126" spans="1:19" ht="13.5" thickBot="1"/>
    <row r="127" spans="1:19" ht="13.5" thickBot="1">
      <c r="G127" s="760"/>
      <c r="H127" s="761" t="s">
        <v>607</v>
      </c>
      <c r="I127" s="761" t="s">
        <v>605</v>
      </c>
      <c r="J127" s="762">
        <v>0.05</v>
      </c>
      <c r="K127" s="761" t="s">
        <v>602</v>
      </c>
      <c r="L127" s="762">
        <v>0.95</v>
      </c>
      <c r="M127" s="763" t="s">
        <v>606</v>
      </c>
    </row>
    <row r="128" spans="1:19">
      <c r="G128" s="322" t="s">
        <v>21</v>
      </c>
      <c r="H128" s="244">
        <f>COUNT(#REF!,$K32:$K33,$K35,$K42:$K43,$K116:$K117,$K123)</f>
        <v>8</v>
      </c>
      <c r="I128" s="756">
        <f>MIN(K14:K25,K31,K33:K34,K37:K40,K46,K50:K61)</f>
        <v>15.096790180906883</v>
      </c>
      <c r="J128" s="756">
        <f>_xlfn.PERCENTILE.INC((K14:K25,K31,K33:K34,K37:K40,K46,K50:K61),0.05)</f>
        <v>15.982098064918736</v>
      </c>
      <c r="K128" s="756">
        <f>AVERAGE(K14:K25,K31,K33:K34,K37:K40,K46,K50:K61)</f>
        <v>17.811845487317985</v>
      </c>
      <c r="L128" s="756">
        <f>_xlfn.PERCENTILE.INC((K14:K25,K31,K33:K34,K37:K40,K46,K50:K61),0.95)</f>
        <v>19.353734015939885</v>
      </c>
      <c r="M128" s="757">
        <f>MAX(K14:K25,K31,K33:K34,K37:K40,K46,K50:K61)</f>
        <v>19.854658454984726</v>
      </c>
    </row>
    <row r="129" spans="7:13">
      <c r="G129" s="322" t="s">
        <v>20</v>
      </c>
      <c r="H129" s="244"/>
      <c r="I129" s="756"/>
      <c r="J129" s="756"/>
      <c r="K129" s="756"/>
      <c r="L129" s="756"/>
      <c r="M129" s="757"/>
    </row>
    <row r="130" spans="7:13" ht="13.5" thickBot="1">
      <c r="G130" s="748" t="s">
        <v>601</v>
      </c>
      <c r="H130" s="327">
        <f>COUNT(K91:K100,K106:K119,K123)</f>
        <v>25</v>
      </c>
      <c r="I130" s="758">
        <f>MIN(K91:K100,K106:K119,K123)</f>
        <v>16.289817729459237</v>
      </c>
      <c r="J130" s="758">
        <f>_xlfn.PERCENTILE.INC((K91:K100,K106:K119,K123),0.05)</f>
        <v>16.849849705226646</v>
      </c>
      <c r="K130" s="758">
        <f>AVERAGE(K91:K100,K106:K119,K123)</f>
        <v>18.08724240479566</v>
      </c>
      <c r="L130" s="758">
        <f>_xlfn.PERCENTILE.INC((K91:K100,K106:K119,K123),0.95)</f>
        <v>18.870241858585828</v>
      </c>
      <c r="M130" s="759">
        <f>MAX(K91:K100,K106:K119,K123)</f>
        <v>19.401044115401497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S113"/>
  <sheetViews>
    <sheetView zoomScale="70" zoomScaleNormal="70" zoomScalePageLayoutView="70" workbookViewId="0">
      <selection activeCell="B7" sqref="B7"/>
    </sheetView>
  </sheetViews>
  <sheetFormatPr defaultColWidth="10.625" defaultRowHeight="12.75"/>
  <cols>
    <col min="1" max="1" width="15.625" style="69" customWidth="1"/>
    <col min="2" max="2" width="30.625" style="69" bestFit="1" customWidth="1"/>
    <col min="3" max="5" width="10.625" style="69"/>
    <col min="6" max="6" width="10.625" style="156"/>
    <col min="7" max="7" width="13.5" style="156" bestFit="1" customWidth="1"/>
    <col min="8" max="9" width="10.625" style="156"/>
    <col min="10" max="10" width="10.625" style="69"/>
    <col min="11" max="11" width="15.625" style="69" customWidth="1"/>
    <col min="12" max="12" width="19.125" style="69" bestFit="1" customWidth="1"/>
    <col min="13" max="13" width="13" style="69" bestFit="1" customWidth="1"/>
    <col min="14" max="16" width="10.625" style="69"/>
    <col min="17" max="17" width="49" style="69" bestFit="1" customWidth="1"/>
    <col min="18" max="18" width="15.5" style="69" bestFit="1" customWidth="1"/>
    <col min="19" max="19" width="32.5" style="69" bestFit="1" customWidth="1"/>
    <col min="20" max="16384" width="10.625" style="69"/>
  </cols>
  <sheetData>
    <row r="1" spans="1:19" s="11" customFormat="1" ht="15.75">
      <c r="A1" s="205" t="s">
        <v>62</v>
      </c>
      <c r="B1" s="667" t="s">
        <v>437</v>
      </c>
      <c r="C1" s="207"/>
      <c r="D1" s="20"/>
      <c r="E1" s="20"/>
      <c r="F1" s="20"/>
      <c r="G1" s="20"/>
      <c r="H1" s="20"/>
      <c r="I1" s="20"/>
      <c r="J1" s="20"/>
      <c r="K1" s="20"/>
      <c r="L1" s="20"/>
      <c r="M1" s="20"/>
      <c r="N1" s="20"/>
      <c r="O1" s="20"/>
      <c r="P1" s="20"/>
      <c r="Q1" s="20"/>
      <c r="R1" s="19"/>
      <c r="S1" s="19"/>
    </row>
    <row r="2" spans="1:19">
      <c r="A2" s="141" t="s">
        <v>636</v>
      </c>
      <c r="B2" s="537" t="s">
        <v>654</v>
      </c>
      <c r="C2" s="143"/>
      <c r="D2" s="144"/>
      <c r="E2" s="144"/>
      <c r="F2" s="144"/>
      <c r="G2" s="144"/>
      <c r="H2" s="144"/>
      <c r="I2" s="144"/>
      <c r="J2" s="144"/>
      <c r="K2" s="144"/>
      <c r="L2" s="144"/>
      <c r="M2" s="144"/>
      <c r="N2" s="144"/>
      <c r="O2" s="144"/>
      <c r="P2" s="144"/>
      <c r="Q2" s="144"/>
      <c r="R2" s="145"/>
      <c r="S2" s="145"/>
    </row>
    <row r="3" spans="1:19">
      <c r="A3" s="141" t="s">
        <v>61</v>
      </c>
      <c r="B3" s="152" t="s">
        <v>632</v>
      </c>
      <c r="C3" s="143"/>
      <c r="D3" s="144"/>
      <c r="E3" s="144"/>
      <c r="F3" s="144"/>
      <c r="G3" s="144"/>
      <c r="H3" s="144"/>
      <c r="I3" s="144"/>
      <c r="J3" s="144"/>
      <c r="K3" s="144"/>
      <c r="L3" s="144"/>
      <c r="M3" s="144"/>
      <c r="N3" s="144"/>
      <c r="O3" s="144"/>
      <c r="P3" s="144"/>
      <c r="Q3" s="144"/>
      <c r="R3" s="145"/>
      <c r="S3" s="145"/>
    </row>
    <row r="4" spans="1:19">
      <c r="A4" s="147" t="s">
        <v>621</v>
      </c>
      <c r="B4" s="544">
        <v>37.58</v>
      </c>
      <c r="D4" s="144"/>
      <c r="E4" s="144"/>
      <c r="F4" s="144"/>
      <c r="G4" s="144"/>
      <c r="H4" s="144"/>
      <c r="I4" s="144"/>
      <c r="J4" s="144"/>
      <c r="K4" s="144"/>
      <c r="L4" s="144"/>
      <c r="M4" s="144"/>
      <c r="N4" s="144"/>
      <c r="O4" s="144"/>
      <c r="P4" s="144"/>
      <c r="Q4" s="144"/>
      <c r="R4" s="145"/>
      <c r="S4" s="145"/>
    </row>
    <row r="5" spans="1:19">
      <c r="A5" s="147" t="s">
        <v>622</v>
      </c>
      <c r="B5" s="544">
        <v>-3.24</v>
      </c>
      <c r="C5" s="142"/>
      <c r="D5" s="144"/>
      <c r="E5" s="144"/>
      <c r="F5" s="144"/>
      <c r="G5" s="144"/>
      <c r="H5" s="144"/>
      <c r="I5" s="144"/>
      <c r="J5" s="144"/>
      <c r="K5" s="144"/>
      <c r="L5" s="144"/>
      <c r="M5" s="144"/>
      <c r="N5" s="144"/>
      <c r="O5" s="144"/>
      <c r="P5" s="144"/>
      <c r="Q5" s="144"/>
      <c r="R5" s="145"/>
      <c r="S5" s="145"/>
    </row>
    <row r="6" spans="1:19">
      <c r="A6" s="149" t="s">
        <v>50</v>
      </c>
      <c r="B6" s="51">
        <v>26.1236935887</v>
      </c>
      <c r="C6" s="219"/>
      <c r="D6" s="144"/>
      <c r="E6" s="144"/>
      <c r="F6" s="144"/>
      <c r="G6" s="144"/>
      <c r="H6" s="144"/>
      <c r="I6" s="144"/>
      <c r="J6" s="144"/>
      <c r="K6" s="144"/>
      <c r="L6" s="144"/>
      <c r="M6" s="144"/>
      <c r="N6" s="144"/>
      <c r="O6" s="144"/>
      <c r="P6" s="144"/>
      <c r="Q6" s="144"/>
      <c r="R6" s="145"/>
      <c r="S6" s="145"/>
    </row>
    <row r="7" spans="1:19">
      <c r="A7" s="141" t="s">
        <v>696</v>
      </c>
      <c r="B7" s="545" t="s">
        <v>737</v>
      </c>
      <c r="C7" s="152" t="s">
        <v>744</v>
      </c>
      <c r="D7" s="144"/>
      <c r="E7" s="144"/>
      <c r="F7" s="144"/>
      <c r="G7" s="144"/>
      <c r="H7" s="144"/>
      <c r="I7" s="144"/>
      <c r="J7" s="144"/>
      <c r="K7" s="144"/>
      <c r="L7" s="144"/>
      <c r="M7" s="144"/>
      <c r="N7" s="144"/>
      <c r="O7" s="144"/>
      <c r="P7" s="144"/>
      <c r="Q7" s="144"/>
      <c r="R7" s="145"/>
      <c r="S7" s="145"/>
    </row>
    <row r="8" spans="1:19" ht="25.5">
      <c r="A8" s="141" t="s">
        <v>63</v>
      </c>
      <c r="B8" s="153" t="s">
        <v>718</v>
      </c>
      <c r="C8" s="145" t="s">
        <v>745</v>
      </c>
      <c r="D8" s="144"/>
      <c r="E8" s="144"/>
      <c r="F8" s="144"/>
      <c r="G8" s="144"/>
      <c r="H8" s="144"/>
      <c r="I8" s="144"/>
      <c r="J8" s="144"/>
      <c r="K8" s="144"/>
      <c r="L8" s="144"/>
      <c r="M8" s="144"/>
      <c r="N8" s="144"/>
      <c r="O8" s="144"/>
      <c r="P8" s="144"/>
      <c r="Q8" s="144"/>
      <c r="R8" s="145"/>
      <c r="S8" s="145"/>
    </row>
    <row r="9" spans="1:19">
      <c r="A9" s="141" t="s">
        <v>64</v>
      </c>
      <c r="B9" s="146" t="s">
        <v>197</v>
      </c>
      <c r="C9" s="146"/>
      <c r="D9" s="146"/>
      <c r="E9" s="144"/>
      <c r="F9" s="144"/>
      <c r="G9" s="144"/>
      <c r="H9" s="144"/>
      <c r="I9" s="144"/>
      <c r="J9" s="144"/>
      <c r="K9" s="144"/>
      <c r="L9" s="144"/>
      <c r="M9" s="144"/>
      <c r="N9" s="144"/>
      <c r="O9" s="144"/>
      <c r="P9" s="144"/>
      <c r="Q9" s="144"/>
      <c r="R9" s="145"/>
      <c r="S9" s="145"/>
    </row>
    <row r="10" spans="1:19">
      <c r="A10" s="141" t="s">
        <v>65</v>
      </c>
      <c r="B10" s="152" t="s">
        <v>550</v>
      </c>
      <c r="C10" s="152" t="s">
        <v>436</v>
      </c>
      <c r="D10" s="70"/>
      <c r="E10" s="154"/>
      <c r="F10" s="154"/>
      <c r="G10" s="144"/>
      <c r="H10" s="144"/>
      <c r="I10" s="144"/>
      <c r="J10" s="144"/>
      <c r="K10" s="144"/>
      <c r="L10" s="144"/>
      <c r="M10" s="144"/>
      <c r="N10" s="144"/>
      <c r="O10" s="144"/>
      <c r="P10" s="144"/>
      <c r="Q10" s="144"/>
      <c r="R10" s="145"/>
      <c r="S10" s="145"/>
    </row>
    <row r="11" spans="1:19" ht="13.5" thickBot="1">
      <c r="A11" s="145"/>
      <c r="B11" s="145"/>
      <c r="C11" s="144"/>
      <c r="D11" s="144"/>
      <c r="E11" s="144"/>
      <c r="F11" s="144"/>
      <c r="G11" s="144"/>
      <c r="H11" s="144"/>
      <c r="I11" s="144"/>
      <c r="J11" s="144"/>
      <c r="K11" s="538"/>
      <c r="L11" s="144"/>
      <c r="M11" s="144"/>
      <c r="N11" s="144"/>
      <c r="O11" s="144"/>
      <c r="P11" s="144"/>
      <c r="Q11" s="144"/>
      <c r="R11" s="145"/>
      <c r="S11" s="145"/>
    </row>
    <row r="12" spans="1:19" ht="79.5" customHeight="1" thickBot="1">
      <c r="A12" s="211" t="s">
        <v>18</v>
      </c>
      <c r="B12" s="212" t="s">
        <v>66</v>
      </c>
      <c r="C12" s="212" t="s">
        <v>67</v>
      </c>
      <c r="D12" s="212" t="s">
        <v>68</v>
      </c>
      <c r="E12" s="212" t="s">
        <v>69</v>
      </c>
      <c r="F12" s="212" t="s">
        <v>43</v>
      </c>
      <c r="G12" s="212" t="s">
        <v>31</v>
      </c>
      <c r="H12" s="213" t="s">
        <v>10</v>
      </c>
      <c r="I12" s="214" t="s">
        <v>725</v>
      </c>
      <c r="J12" s="215" t="s">
        <v>664</v>
      </c>
      <c r="K12" s="531" t="s">
        <v>659</v>
      </c>
      <c r="L12" s="217" t="s">
        <v>70</v>
      </c>
      <c r="M12" s="217" t="s">
        <v>71</v>
      </c>
      <c r="N12" s="217" t="s">
        <v>36</v>
      </c>
      <c r="O12" s="218" t="s">
        <v>34</v>
      </c>
      <c r="P12" s="217" t="s">
        <v>72</v>
      </c>
      <c r="Q12" s="218" t="s">
        <v>73</v>
      </c>
      <c r="R12" s="160" t="s">
        <v>15</v>
      </c>
      <c r="S12" s="166" t="s">
        <v>38</v>
      </c>
    </row>
    <row r="13" spans="1:19">
      <c r="A13" s="236"/>
      <c r="B13" s="237"/>
      <c r="C13" s="237"/>
      <c r="D13" s="237"/>
      <c r="E13" s="237"/>
      <c r="F13" s="237"/>
      <c r="G13" s="237"/>
      <c r="H13" s="499"/>
      <c r="I13" s="239"/>
      <c r="J13" s="170"/>
      <c r="K13" s="539"/>
      <c r="L13" s="241"/>
      <c r="M13" s="241"/>
      <c r="N13" s="241"/>
      <c r="O13" s="242"/>
      <c r="P13" s="241"/>
      <c r="Q13" s="242"/>
      <c r="R13" s="500"/>
      <c r="S13" s="176"/>
    </row>
    <row r="14" spans="1:19">
      <c r="A14" s="167" t="s">
        <v>437</v>
      </c>
      <c r="B14" s="168"/>
      <c r="C14" s="168"/>
      <c r="D14" s="168"/>
      <c r="E14" s="168"/>
      <c r="F14" s="156">
        <v>0.1</v>
      </c>
      <c r="H14" s="377">
        <v>57.434307098388672</v>
      </c>
      <c r="I14" s="57">
        <v>-1.73</v>
      </c>
      <c r="J14" s="170">
        <v>-0.89012341618537905</v>
      </c>
      <c r="K14" s="661">
        <f t="shared" ref="K14" si="0">16.1-4.64*($I14-J14)+0.09*($I14-J14)^2</f>
        <v>20.060512689743451</v>
      </c>
      <c r="L14" s="540" t="s">
        <v>239</v>
      </c>
      <c r="M14" s="171" t="s">
        <v>74</v>
      </c>
      <c r="N14" s="247"/>
      <c r="O14" s="172" t="s">
        <v>35</v>
      </c>
      <c r="P14" s="171" t="s">
        <v>91</v>
      </c>
      <c r="Q14" s="172" t="s">
        <v>553</v>
      </c>
      <c r="R14" s="175" t="s">
        <v>436</v>
      </c>
      <c r="S14" s="176"/>
    </row>
    <row r="15" spans="1:19">
      <c r="A15" s="167" t="s">
        <v>437</v>
      </c>
      <c r="B15" s="168"/>
      <c r="C15" s="168"/>
      <c r="D15" s="168"/>
      <c r="E15" s="168"/>
      <c r="F15" s="156">
        <v>0.35</v>
      </c>
      <c r="H15" s="377">
        <v>57.40087890625</v>
      </c>
      <c r="I15" s="57">
        <v>-1.67</v>
      </c>
      <c r="J15" s="170">
        <v>-0.89012341618537905</v>
      </c>
      <c r="K15" s="661">
        <f t="shared" ref="K15:K77" si="1">16.1-4.64*($I15-J15)+0.09*($I15-J15)^2</f>
        <v>19.773366022638257</v>
      </c>
      <c r="L15" s="540" t="s">
        <v>239</v>
      </c>
      <c r="M15" s="171" t="s">
        <v>74</v>
      </c>
      <c r="N15" s="247"/>
      <c r="O15" s="172" t="s">
        <v>35</v>
      </c>
      <c r="P15" s="171" t="s">
        <v>91</v>
      </c>
      <c r="Q15" s="172" t="s">
        <v>553</v>
      </c>
      <c r="R15" s="175" t="s">
        <v>436</v>
      </c>
      <c r="S15" s="176"/>
    </row>
    <row r="16" spans="1:19">
      <c r="A16" s="167" t="s">
        <v>437</v>
      </c>
      <c r="B16" s="168"/>
      <c r="C16" s="168"/>
      <c r="D16" s="168"/>
      <c r="E16" s="168"/>
      <c r="F16" s="156">
        <v>0.8</v>
      </c>
      <c r="H16" s="377">
        <v>57.340702056884766</v>
      </c>
      <c r="I16" s="57">
        <v>-1.76</v>
      </c>
      <c r="J16" s="170">
        <v>-0.89012341618537905</v>
      </c>
      <c r="K16" s="661">
        <f t="shared" si="1"/>
        <v>20.204329023296054</v>
      </c>
      <c r="L16" s="540" t="s">
        <v>239</v>
      </c>
      <c r="M16" s="171" t="s">
        <v>74</v>
      </c>
      <c r="N16" s="247"/>
      <c r="O16" s="172" t="s">
        <v>35</v>
      </c>
      <c r="P16" s="171" t="s">
        <v>91</v>
      </c>
      <c r="Q16" s="172" t="s">
        <v>553</v>
      </c>
      <c r="R16" s="175" t="s">
        <v>436</v>
      </c>
      <c r="S16" s="176"/>
    </row>
    <row r="17" spans="1:19">
      <c r="A17" s="167" t="s">
        <v>437</v>
      </c>
      <c r="B17" s="168"/>
      <c r="C17" s="168"/>
      <c r="D17" s="168"/>
      <c r="E17" s="168"/>
      <c r="F17" s="156">
        <v>1.1499999999999999</v>
      </c>
      <c r="H17" s="377">
        <v>57.293903350830078</v>
      </c>
      <c r="I17" s="57">
        <v>-1.78</v>
      </c>
      <c r="J17" s="170">
        <v>-0.89012341618537905</v>
      </c>
      <c r="K17" s="661">
        <f t="shared" si="1"/>
        <v>20.300296578997784</v>
      </c>
      <c r="L17" s="540" t="s">
        <v>239</v>
      </c>
      <c r="M17" s="171" t="s">
        <v>74</v>
      </c>
      <c r="N17" s="247"/>
      <c r="O17" s="172" t="s">
        <v>35</v>
      </c>
      <c r="P17" s="171" t="s">
        <v>91</v>
      </c>
      <c r="Q17" s="172" t="s">
        <v>553</v>
      </c>
      <c r="R17" s="175" t="s">
        <v>436</v>
      </c>
      <c r="S17" s="176"/>
    </row>
    <row r="18" spans="1:19">
      <c r="A18" s="167" t="s">
        <v>437</v>
      </c>
      <c r="B18" s="168"/>
      <c r="C18" s="168"/>
      <c r="D18" s="168"/>
      <c r="E18" s="168"/>
      <c r="F18" s="156">
        <v>1.5</v>
      </c>
      <c r="H18" s="377">
        <v>57.247097015380859</v>
      </c>
      <c r="I18" s="57">
        <v>-1.87</v>
      </c>
      <c r="J18" s="170">
        <v>-0.89012341618537905</v>
      </c>
      <c r="K18" s="661">
        <f t="shared" si="1"/>
        <v>20.73304157965558</v>
      </c>
      <c r="L18" s="540" t="s">
        <v>239</v>
      </c>
      <c r="M18" s="171" t="s">
        <v>74</v>
      </c>
      <c r="N18" s="247"/>
      <c r="O18" s="172" t="s">
        <v>35</v>
      </c>
      <c r="P18" s="171" t="s">
        <v>91</v>
      </c>
      <c r="Q18" s="172" t="s">
        <v>553</v>
      </c>
      <c r="R18" s="175" t="s">
        <v>436</v>
      </c>
      <c r="S18" s="176"/>
    </row>
    <row r="19" spans="1:19">
      <c r="A19" s="167" t="s">
        <v>437</v>
      </c>
      <c r="B19" s="168"/>
      <c r="C19" s="168"/>
      <c r="D19" s="168"/>
      <c r="E19" s="168"/>
      <c r="F19" s="156">
        <v>1.8</v>
      </c>
      <c r="H19" s="377">
        <v>57.206977844238281</v>
      </c>
      <c r="I19" s="57">
        <v>-1.74</v>
      </c>
      <c r="J19" s="170">
        <v>-0.89012341618537905</v>
      </c>
      <c r="K19" s="661">
        <f t="shared" si="1"/>
        <v>20.10843346759432</v>
      </c>
      <c r="L19" s="540" t="s">
        <v>239</v>
      </c>
      <c r="M19" s="171" t="s">
        <v>74</v>
      </c>
      <c r="N19" s="247"/>
      <c r="O19" s="172" t="s">
        <v>35</v>
      </c>
      <c r="P19" s="171" t="s">
        <v>91</v>
      </c>
      <c r="Q19" s="172" t="s">
        <v>553</v>
      </c>
      <c r="R19" s="175" t="s">
        <v>436</v>
      </c>
      <c r="S19" s="176"/>
    </row>
    <row r="20" spans="1:19">
      <c r="A20" s="167" t="s">
        <v>437</v>
      </c>
      <c r="B20" s="168"/>
      <c r="C20" s="168"/>
      <c r="D20" s="168"/>
      <c r="E20" s="168"/>
      <c r="F20" s="156">
        <v>2.25</v>
      </c>
      <c r="H20" s="377">
        <v>57.146804809570313</v>
      </c>
      <c r="I20" s="57">
        <v>-1.73</v>
      </c>
      <c r="J20" s="170">
        <v>-0.89012341618537905</v>
      </c>
      <c r="K20" s="661">
        <f t="shared" si="1"/>
        <v>20.060512689743451</v>
      </c>
      <c r="L20" s="540" t="s">
        <v>239</v>
      </c>
      <c r="M20" s="171" t="s">
        <v>74</v>
      </c>
      <c r="N20" s="247"/>
      <c r="O20" s="172" t="s">
        <v>35</v>
      </c>
      <c r="P20" s="171" t="s">
        <v>91</v>
      </c>
      <c r="Q20" s="172" t="s">
        <v>553</v>
      </c>
      <c r="R20" s="175" t="s">
        <v>436</v>
      </c>
      <c r="S20" s="176"/>
    </row>
    <row r="21" spans="1:19">
      <c r="A21" s="177" t="s">
        <v>437</v>
      </c>
      <c r="B21" s="178"/>
      <c r="C21" s="178"/>
      <c r="D21" s="178"/>
      <c r="E21" s="178"/>
      <c r="F21" s="226">
        <v>2.6</v>
      </c>
      <c r="G21" s="226"/>
      <c r="H21" s="434">
        <v>57.099998474121094</v>
      </c>
      <c r="I21" s="541">
        <v>-1.78</v>
      </c>
      <c r="J21" s="182">
        <v>-0.89012341618537905</v>
      </c>
      <c r="K21" s="788">
        <f t="shared" si="1"/>
        <v>20.300296578997784</v>
      </c>
      <c r="L21" s="542" t="s">
        <v>239</v>
      </c>
      <c r="M21" s="184" t="s">
        <v>74</v>
      </c>
      <c r="N21" s="543"/>
      <c r="O21" s="185" t="s">
        <v>35</v>
      </c>
      <c r="P21" s="184" t="s">
        <v>91</v>
      </c>
      <c r="Q21" s="185" t="s">
        <v>553</v>
      </c>
      <c r="R21" s="175" t="s">
        <v>436</v>
      </c>
      <c r="S21" s="176"/>
    </row>
    <row r="22" spans="1:19">
      <c r="A22" s="167" t="s">
        <v>437</v>
      </c>
      <c r="B22" s="168"/>
      <c r="C22" s="168"/>
      <c r="D22" s="168"/>
      <c r="E22" s="168"/>
      <c r="F22" s="156">
        <v>2.8</v>
      </c>
      <c r="G22" s="156" t="s">
        <v>196</v>
      </c>
      <c r="H22" s="377">
        <v>57.073253631591797</v>
      </c>
      <c r="I22" s="57">
        <v>-2.16</v>
      </c>
      <c r="J22" s="170">
        <v>-0.89012341618537905</v>
      </c>
      <c r="K22" s="546">
        <f t="shared" si="1"/>
        <v>22.137360137330706</v>
      </c>
      <c r="L22" s="540" t="s">
        <v>195</v>
      </c>
      <c r="M22" s="171" t="s">
        <v>74</v>
      </c>
      <c r="N22" s="247"/>
      <c r="O22" s="172" t="s">
        <v>35</v>
      </c>
      <c r="P22" s="171" t="s">
        <v>91</v>
      </c>
      <c r="Q22" s="172" t="s">
        <v>553</v>
      </c>
      <c r="R22" s="175" t="s">
        <v>436</v>
      </c>
      <c r="S22" s="176" t="s">
        <v>747</v>
      </c>
    </row>
    <row r="23" spans="1:19">
      <c r="A23" s="167" t="s">
        <v>437</v>
      </c>
      <c r="B23" s="168"/>
      <c r="C23" s="168"/>
      <c r="D23" s="168"/>
      <c r="E23" s="168"/>
      <c r="F23" s="156">
        <v>3</v>
      </c>
      <c r="G23" s="156" t="s">
        <v>196</v>
      </c>
      <c r="H23" s="377">
        <v>57.0465087890625</v>
      </c>
      <c r="I23" s="57">
        <v>-1.66</v>
      </c>
      <c r="J23" s="170">
        <v>-0.89012341618537905</v>
      </c>
      <c r="K23" s="546">
        <f t="shared" si="1"/>
        <v>19.725571244787389</v>
      </c>
      <c r="L23" s="540" t="s">
        <v>195</v>
      </c>
      <c r="M23" s="171" t="s">
        <v>74</v>
      </c>
      <c r="N23" s="247"/>
      <c r="O23" s="172" t="s">
        <v>35</v>
      </c>
      <c r="P23" s="171" t="s">
        <v>91</v>
      </c>
      <c r="Q23" s="172" t="s">
        <v>553</v>
      </c>
      <c r="R23" s="175" t="s">
        <v>436</v>
      </c>
      <c r="S23" s="176" t="s">
        <v>736</v>
      </c>
    </row>
    <row r="24" spans="1:19">
      <c r="A24" s="167" t="s">
        <v>437</v>
      </c>
      <c r="B24" s="168"/>
      <c r="C24" s="168"/>
      <c r="D24" s="168"/>
      <c r="E24" s="168"/>
      <c r="F24" s="156">
        <v>3.8</v>
      </c>
      <c r="G24" s="156" t="s">
        <v>196</v>
      </c>
      <c r="H24" s="377">
        <v>56.939529418945313</v>
      </c>
      <c r="I24" s="57">
        <v>-1.72</v>
      </c>
      <c r="J24" s="170">
        <v>-0.89012341618537905</v>
      </c>
      <c r="K24" s="546">
        <f t="shared" si="1"/>
        <v>20.012609911892586</v>
      </c>
      <c r="L24" s="540" t="s">
        <v>195</v>
      </c>
      <c r="M24" s="171" t="s">
        <v>74</v>
      </c>
      <c r="N24" s="247"/>
      <c r="O24" s="172" t="s">
        <v>35</v>
      </c>
      <c r="P24" s="171" t="s">
        <v>91</v>
      </c>
      <c r="Q24" s="172" t="s">
        <v>553</v>
      </c>
      <c r="R24" s="175" t="s">
        <v>436</v>
      </c>
      <c r="S24" s="176" t="s">
        <v>736</v>
      </c>
    </row>
    <row r="25" spans="1:19">
      <c r="A25" s="167" t="s">
        <v>437</v>
      </c>
      <c r="B25" s="168"/>
      <c r="C25" s="168"/>
      <c r="D25" s="168"/>
      <c r="E25" s="168"/>
      <c r="F25" s="156">
        <v>4.2</v>
      </c>
      <c r="G25" s="156" t="s">
        <v>196</v>
      </c>
      <c r="H25" s="377">
        <v>56.886039733886719</v>
      </c>
      <c r="I25" s="57">
        <v>-1.61</v>
      </c>
      <c r="J25" s="170">
        <v>-0.89012341618537905</v>
      </c>
      <c r="K25" s="546">
        <f t="shared" si="1"/>
        <v>19.486867355533057</v>
      </c>
      <c r="L25" s="540" t="s">
        <v>195</v>
      </c>
      <c r="M25" s="171" t="s">
        <v>74</v>
      </c>
      <c r="N25" s="247"/>
      <c r="O25" s="172" t="s">
        <v>35</v>
      </c>
      <c r="P25" s="171" t="s">
        <v>91</v>
      </c>
      <c r="Q25" s="172" t="s">
        <v>553</v>
      </c>
      <c r="R25" s="175" t="s">
        <v>436</v>
      </c>
      <c r="S25" s="176" t="s">
        <v>746</v>
      </c>
    </row>
    <row r="26" spans="1:19">
      <c r="A26" s="167" t="s">
        <v>437</v>
      </c>
      <c r="B26" s="168"/>
      <c r="C26" s="168"/>
      <c r="D26" s="168"/>
      <c r="E26" s="168"/>
      <c r="F26" s="156">
        <v>4.5999999999999996</v>
      </c>
      <c r="G26" s="156" t="s">
        <v>196</v>
      </c>
      <c r="H26" s="377">
        <v>56.832550048828125</v>
      </c>
      <c r="I26" s="57">
        <v>-1.5</v>
      </c>
      <c r="J26" s="170">
        <v>-0.89012341618537905</v>
      </c>
      <c r="K26" s="546">
        <f t="shared" si="1"/>
        <v>18.963302799173526</v>
      </c>
      <c r="L26" s="540" t="s">
        <v>195</v>
      </c>
      <c r="M26" s="171" t="s">
        <v>74</v>
      </c>
      <c r="N26" s="247"/>
      <c r="O26" s="172" t="s">
        <v>35</v>
      </c>
      <c r="P26" s="171" t="s">
        <v>91</v>
      </c>
      <c r="Q26" s="172" t="s">
        <v>553</v>
      </c>
      <c r="R26" s="175" t="s">
        <v>436</v>
      </c>
      <c r="S26" s="176" t="s">
        <v>746</v>
      </c>
    </row>
    <row r="27" spans="1:19">
      <c r="A27" s="167" t="s">
        <v>437</v>
      </c>
      <c r="B27" s="168"/>
      <c r="C27" s="168"/>
      <c r="D27" s="168"/>
      <c r="E27" s="168"/>
      <c r="F27" s="156">
        <v>5</v>
      </c>
      <c r="G27" s="156" t="s">
        <v>196</v>
      </c>
      <c r="H27" s="377">
        <v>56.779060363769531</v>
      </c>
      <c r="I27" s="57">
        <v>-2</v>
      </c>
      <c r="J27" s="170">
        <v>-0.89012341618537905</v>
      </c>
      <c r="K27" s="546">
        <f t="shared" si="1"/>
        <v>21.360691691716845</v>
      </c>
      <c r="L27" s="540" t="s">
        <v>195</v>
      </c>
      <c r="M27" s="171" t="s">
        <v>74</v>
      </c>
      <c r="N27" s="247"/>
      <c r="O27" s="172" t="s">
        <v>35</v>
      </c>
      <c r="P27" s="171" t="s">
        <v>91</v>
      </c>
      <c r="Q27" s="172" t="s">
        <v>553</v>
      </c>
      <c r="R27" s="175" t="s">
        <v>436</v>
      </c>
      <c r="S27" s="176" t="s">
        <v>746</v>
      </c>
    </row>
    <row r="28" spans="1:19">
      <c r="A28" s="167" t="s">
        <v>437</v>
      </c>
      <c r="B28" s="168"/>
      <c r="C28" s="168"/>
      <c r="D28" s="168"/>
      <c r="E28" s="168"/>
      <c r="F28" s="156">
        <v>5.4</v>
      </c>
      <c r="G28" s="156" t="s">
        <v>196</v>
      </c>
      <c r="H28" s="377">
        <v>56.725570678710938</v>
      </c>
      <c r="I28" s="57">
        <v>-1.97</v>
      </c>
      <c r="J28" s="170">
        <v>-0.89012341618537905</v>
      </c>
      <c r="K28" s="546">
        <f t="shared" si="1"/>
        <v>21.215579358164245</v>
      </c>
      <c r="L28" s="540" t="s">
        <v>195</v>
      </c>
      <c r="M28" s="171" t="s">
        <v>74</v>
      </c>
      <c r="N28" s="247"/>
      <c r="O28" s="172" t="s">
        <v>35</v>
      </c>
      <c r="P28" s="171" t="s">
        <v>91</v>
      </c>
      <c r="Q28" s="172" t="s">
        <v>553</v>
      </c>
      <c r="R28" s="175" t="s">
        <v>436</v>
      </c>
      <c r="S28" s="176" t="s">
        <v>746</v>
      </c>
    </row>
    <row r="29" spans="1:19">
      <c r="A29" s="167" t="s">
        <v>437</v>
      </c>
      <c r="B29" s="168"/>
      <c r="C29" s="168"/>
      <c r="D29" s="168"/>
      <c r="E29" s="168"/>
      <c r="F29" s="156">
        <v>5.8</v>
      </c>
      <c r="G29" s="156" t="s">
        <v>196</v>
      </c>
      <c r="H29" s="377">
        <v>56.672080993652344</v>
      </c>
      <c r="I29" s="57">
        <v>-1.91</v>
      </c>
      <c r="J29" s="170">
        <v>-0.89012341618537905</v>
      </c>
      <c r="K29" s="546">
        <f t="shared" si="1"/>
        <v>20.925840691059047</v>
      </c>
      <c r="L29" s="540" t="s">
        <v>195</v>
      </c>
      <c r="M29" s="171" t="s">
        <v>74</v>
      </c>
      <c r="N29" s="247"/>
      <c r="O29" s="172" t="s">
        <v>35</v>
      </c>
      <c r="P29" s="171" t="s">
        <v>91</v>
      </c>
      <c r="Q29" s="172" t="s">
        <v>553</v>
      </c>
      <c r="R29" s="175" t="s">
        <v>436</v>
      </c>
      <c r="S29" s="176" t="s">
        <v>746</v>
      </c>
    </row>
    <row r="30" spans="1:19">
      <c r="A30" s="167" t="s">
        <v>437</v>
      </c>
      <c r="B30" s="168"/>
      <c r="C30" s="168"/>
      <c r="D30" s="168"/>
      <c r="E30" s="168"/>
      <c r="F30" s="156">
        <v>6.2</v>
      </c>
      <c r="G30" s="156" t="s">
        <v>196</v>
      </c>
      <c r="H30" s="377">
        <v>56.61859130859375</v>
      </c>
      <c r="I30" s="57">
        <v>-1.75</v>
      </c>
      <c r="J30" s="170">
        <v>-0.89012341618537905</v>
      </c>
      <c r="K30" s="546">
        <f t="shared" si="1"/>
        <v>20.156372245445187</v>
      </c>
      <c r="L30" s="540" t="s">
        <v>195</v>
      </c>
      <c r="M30" s="171" t="s">
        <v>74</v>
      </c>
      <c r="N30" s="247"/>
      <c r="O30" s="172" t="s">
        <v>35</v>
      </c>
      <c r="P30" s="171" t="s">
        <v>91</v>
      </c>
      <c r="Q30" s="172" t="s">
        <v>553</v>
      </c>
      <c r="R30" s="175" t="s">
        <v>436</v>
      </c>
      <c r="S30" s="176" t="s">
        <v>746</v>
      </c>
    </row>
    <row r="31" spans="1:19">
      <c r="A31" s="167" t="s">
        <v>437</v>
      </c>
      <c r="B31" s="168"/>
      <c r="C31" s="168"/>
      <c r="D31" s="168"/>
      <c r="E31" s="168"/>
      <c r="F31" s="156">
        <v>6.6</v>
      </c>
      <c r="G31" s="156" t="s">
        <v>196</v>
      </c>
      <c r="H31" s="377">
        <v>56.565101623535156</v>
      </c>
      <c r="I31" s="57">
        <v>-1.8</v>
      </c>
      <c r="J31" s="170">
        <v>-0.89012341618537905</v>
      </c>
      <c r="K31" s="546">
        <f t="shared" si="1"/>
        <v>20.396336134699517</v>
      </c>
      <c r="L31" s="540" t="s">
        <v>195</v>
      </c>
      <c r="M31" s="171" t="s">
        <v>74</v>
      </c>
      <c r="N31" s="247"/>
      <c r="O31" s="172" t="s">
        <v>35</v>
      </c>
      <c r="P31" s="171" t="s">
        <v>91</v>
      </c>
      <c r="Q31" s="172" t="s">
        <v>553</v>
      </c>
      <c r="R31" s="175" t="s">
        <v>436</v>
      </c>
      <c r="S31" s="176" t="s">
        <v>746</v>
      </c>
    </row>
    <row r="32" spans="1:19">
      <c r="A32" s="167" t="s">
        <v>437</v>
      </c>
      <c r="B32" s="168"/>
      <c r="C32" s="168"/>
      <c r="D32" s="168"/>
      <c r="E32" s="168"/>
      <c r="F32" s="156">
        <v>7</v>
      </c>
      <c r="G32" s="156" t="s">
        <v>196</v>
      </c>
      <c r="H32" s="377">
        <v>56.511611938476563</v>
      </c>
      <c r="I32" s="57">
        <v>-1.8</v>
      </c>
      <c r="J32" s="170">
        <v>-0.89012341618537905</v>
      </c>
      <c r="K32" s="546">
        <f t="shared" si="1"/>
        <v>20.396336134699517</v>
      </c>
      <c r="L32" s="540" t="s">
        <v>195</v>
      </c>
      <c r="M32" s="171" t="s">
        <v>74</v>
      </c>
      <c r="N32" s="247"/>
      <c r="O32" s="172" t="s">
        <v>35</v>
      </c>
      <c r="P32" s="171" t="s">
        <v>91</v>
      </c>
      <c r="Q32" s="172" t="s">
        <v>553</v>
      </c>
      <c r="R32" s="175" t="s">
        <v>436</v>
      </c>
      <c r="S32" s="176" t="s">
        <v>746</v>
      </c>
    </row>
    <row r="33" spans="1:19">
      <c r="A33" s="167" t="s">
        <v>437</v>
      </c>
      <c r="B33" s="168"/>
      <c r="C33" s="168"/>
      <c r="D33" s="168"/>
      <c r="E33" s="168"/>
      <c r="F33" s="156">
        <v>7.4</v>
      </c>
      <c r="G33" s="156" t="s">
        <v>196</v>
      </c>
      <c r="H33" s="377">
        <v>56.458122253417969</v>
      </c>
      <c r="I33" s="57">
        <v>-1.87</v>
      </c>
      <c r="J33" s="170">
        <v>-0.89012341618537905</v>
      </c>
      <c r="K33" s="546">
        <f t="shared" si="1"/>
        <v>20.73304157965558</v>
      </c>
      <c r="L33" s="540" t="s">
        <v>195</v>
      </c>
      <c r="M33" s="171" t="s">
        <v>74</v>
      </c>
      <c r="N33" s="247"/>
      <c r="O33" s="172" t="s">
        <v>35</v>
      </c>
      <c r="P33" s="171" t="s">
        <v>91</v>
      </c>
      <c r="Q33" s="172" t="s">
        <v>553</v>
      </c>
      <c r="R33" s="175" t="s">
        <v>436</v>
      </c>
      <c r="S33" s="176" t="s">
        <v>746</v>
      </c>
    </row>
    <row r="34" spans="1:19">
      <c r="A34" s="167" t="s">
        <v>437</v>
      </c>
      <c r="B34" s="168"/>
      <c r="C34" s="168"/>
      <c r="D34" s="168"/>
      <c r="E34" s="168"/>
      <c r="F34" s="156">
        <v>8.0500000000000007</v>
      </c>
      <c r="G34" s="156" t="s">
        <v>196</v>
      </c>
      <c r="H34" s="377">
        <v>56.371200561523438</v>
      </c>
      <c r="I34" s="57">
        <v>-1.86</v>
      </c>
      <c r="J34" s="170">
        <v>-0.89012341618537905</v>
      </c>
      <c r="K34" s="546">
        <f t="shared" si="1"/>
        <v>20.684886801804716</v>
      </c>
      <c r="L34" s="540" t="s">
        <v>195</v>
      </c>
      <c r="M34" s="171" t="s">
        <v>74</v>
      </c>
      <c r="N34" s="247"/>
      <c r="O34" s="172" t="s">
        <v>35</v>
      </c>
      <c r="P34" s="171" t="s">
        <v>91</v>
      </c>
      <c r="Q34" s="172" t="s">
        <v>553</v>
      </c>
      <c r="R34" s="175" t="s">
        <v>436</v>
      </c>
      <c r="S34" s="176" t="s">
        <v>746</v>
      </c>
    </row>
    <row r="35" spans="1:19">
      <c r="A35" s="167" t="s">
        <v>437</v>
      </c>
      <c r="B35" s="168"/>
      <c r="C35" s="168"/>
      <c r="D35" s="168"/>
      <c r="E35" s="168"/>
      <c r="F35" s="156">
        <v>8.4</v>
      </c>
      <c r="G35" s="156" t="s">
        <v>196</v>
      </c>
      <c r="H35" s="377">
        <v>56.324398040771484</v>
      </c>
      <c r="I35" s="57">
        <v>-1.84</v>
      </c>
      <c r="J35" s="170">
        <v>-0.89012341618537905</v>
      </c>
      <c r="K35" s="546">
        <f t="shared" si="1"/>
        <v>20.588631246102981</v>
      </c>
      <c r="L35" s="540" t="s">
        <v>195</v>
      </c>
      <c r="M35" s="171" t="s">
        <v>74</v>
      </c>
      <c r="N35" s="247"/>
      <c r="O35" s="172" t="s">
        <v>35</v>
      </c>
      <c r="P35" s="171" t="s">
        <v>91</v>
      </c>
      <c r="Q35" s="172" t="s">
        <v>553</v>
      </c>
      <c r="R35" s="175" t="s">
        <v>436</v>
      </c>
      <c r="S35" s="176" t="s">
        <v>746</v>
      </c>
    </row>
    <row r="36" spans="1:19">
      <c r="A36" s="167" t="s">
        <v>437</v>
      </c>
      <c r="B36" s="168"/>
      <c r="C36" s="168"/>
      <c r="D36" s="168"/>
      <c r="E36" s="168"/>
      <c r="F36" s="156">
        <v>8.75</v>
      </c>
      <c r="G36" s="156" t="s">
        <v>196</v>
      </c>
      <c r="H36" s="377">
        <v>56.277595520019531</v>
      </c>
      <c r="I36" s="57">
        <v>-1.98</v>
      </c>
      <c r="J36" s="170">
        <v>-0.89012341618537905</v>
      </c>
      <c r="K36" s="546">
        <f t="shared" si="1"/>
        <v>21.263932136015111</v>
      </c>
      <c r="L36" s="540" t="s">
        <v>195</v>
      </c>
      <c r="M36" s="171" t="s">
        <v>74</v>
      </c>
      <c r="N36" s="247"/>
      <c r="O36" s="172" t="s">
        <v>35</v>
      </c>
      <c r="P36" s="171" t="s">
        <v>91</v>
      </c>
      <c r="Q36" s="172" t="s">
        <v>553</v>
      </c>
      <c r="R36" s="175" t="s">
        <v>436</v>
      </c>
      <c r="S36" s="176" t="s">
        <v>746</v>
      </c>
    </row>
    <row r="37" spans="1:19">
      <c r="A37" s="167" t="s">
        <v>437</v>
      </c>
      <c r="B37" s="168"/>
      <c r="C37" s="168"/>
      <c r="D37" s="168"/>
      <c r="E37" s="168"/>
      <c r="F37" s="156">
        <v>9.0500000000000007</v>
      </c>
      <c r="G37" s="156" t="s">
        <v>196</v>
      </c>
      <c r="H37" s="377">
        <v>56.237476348876953</v>
      </c>
      <c r="I37" s="57">
        <v>-1.76</v>
      </c>
      <c r="J37" s="170">
        <v>-0.89012341618537905</v>
      </c>
      <c r="K37" s="546">
        <f t="shared" si="1"/>
        <v>20.204329023296054</v>
      </c>
      <c r="L37" s="540" t="s">
        <v>195</v>
      </c>
      <c r="M37" s="171" t="s">
        <v>74</v>
      </c>
      <c r="N37" s="247"/>
      <c r="O37" s="172" t="s">
        <v>35</v>
      </c>
      <c r="P37" s="171" t="s">
        <v>91</v>
      </c>
      <c r="Q37" s="172" t="s">
        <v>553</v>
      </c>
      <c r="R37" s="175" t="s">
        <v>436</v>
      </c>
      <c r="S37" s="176" t="s">
        <v>746</v>
      </c>
    </row>
    <row r="38" spans="1:19">
      <c r="A38" s="167" t="s">
        <v>437</v>
      </c>
      <c r="B38" s="168"/>
      <c r="C38" s="168"/>
      <c r="D38" s="168"/>
      <c r="E38" s="168"/>
      <c r="F38" s="156">
        <v>9.4499999999999993</v>
      </c>
      <c r="G38" s="156" t="s">
        <v>196</v>
      </c>
      <c r="H38" s="377">
        <v>56.183986663818359</v>
      </c>
      <c r="I38" s="57">
        <v>-1.87</v>
      </c>
      <c r="J38" s="170">
        <v>-0.89012341618537905</v>
      </c>
      <c r="K38" s="546">
        <f t="shared" si="1"/>
        <v>20.73304157965558</v>
      </c>
      <c r="L38" s="540" t="s">
        <v>195</v>
      </c>
      <c r="M38" s="171" t="s">
        <v>74</v>
      </c>
      <c r="N38" s="247"/>
      <c r="O38" s="172" t="s">
        <v>35</v>
      </c>
      <c r="P38" s="171" t="s">
        <v>91</v>
      </c>
      <c r="Q38" s="172" t="s">
        <v>553</v>
      </c>
      <c r="R38" s="175" t="s">
        <v>436</v>
      </c>
      <c r="S38" s="176" t="s">
        <v>746</v>
      </c>
    </row>
    <row r="39" spans="1:19">
      <c r="A39" s="167" t="s">
        <v>437</v>
      </c>
      <c r="B39" s="168"/>
      <c r="C39" s="168"/>
      <c r="D39" s="168"/>
      <c r="E39" s="168"/>
      <c r="F39" s="156">
        <v>9.85</v>
      </c>
      <c r="G39" s="156" t="s">
        <v>196</v>
      </c>
      <c r="H39" s="377">
        <v>56.130496978759766</v>
      </c>
      <c r="I39" s="57">
        <v>-1.97</v>
      </c>
      <c r="J39" s="170">
        <v>-0.89012341618537905</v>
      </c>
      <c r="K39" s="546">
        <f t="shared" si="1"/>
        <v>21.215579358164245</v>
      </c>
      <c r="L39" s="540" t="s">
        <v>195</v>
      </c>
      <c r="M39" s="171" t="s">
        <v>74</v>
      </c>
      <c r="N39" s="247"/>
      <c r="O39" s="172" t="s">
        <v>35</v>
      </c>
      <c r="P39" s="171" t="s">
        <v>91</v>
      </c>
      <c r="Q39" s="172" t="s">
        <v>553</v>
      </c>
      <c r="R39" s="175" t="s">
        <v>436</v>
      </c>
      <c r="S39" s="176" t="s">
        <v>746</v>
      </c>
    </row>
    <row r="40" spans="1:19">
      <c r="A40" s="167" t="s">
        <v>437</v>
      </c>
      <c r="B40" s="168"/>
      <c r="C40" s="168"/>
      <c r="D40" s="168"/>
      <c r="E40" s="168"/>
      <c r="F40" s="156">
        <v>10.15</v>
      </c>
      <c r="G40" s="156" t="s">
        <v>196</v>
      </c>
      <c r="H40" s="377">
        <v>56.090381622314453</v>
      </c>
      <c r="I40" s="57">
        <v>-1.77</v>
      </c>
      <c r="J40" s="170">
        <v>-0.89012341618537905</v>
      </c>
      <c r="K40" s="546">
        <f t="shared" si="1"/>
        <v>20.252303801146919</v>
      </c>
      <c r="L40" s="540" t="s">
        <v>195</v>
      </c>
      <c r="M40" s="171" t="s">
        <v>74</v>
      </c>
      <c r="N40" s="247"/>
      <c r="O40" s="172" t="s">
        <v>35</v>
      </c>
      <c r="P40" s="171" t="s">
        <v>91</v>
      </c>
      <c r="Q40" s="172" t="s">
        <v>553</v>
      </c>
      <c r="R40" s="175" t="s">
        <v>436</v>
      </c>
      <c r="S40" s="176" t="s">
        <v>746</v>
      </c>
    </row>
    <row r="41" spans="1:19">
      <c r="A41" s="167" t="s">
        <v>437</v>
      </c>
      <c r="B41" s="168"/>
      <c r="C41" s="168"/>
      <c r="D41" s="168"/>
      <c r="E41" s="168"/>
      <c r="F41" s="156">
        <v>10.45</v>
      </c>
      <c r="G41" s="156" t="s">
        <v>196</v>
      </c>
      <c r="H41" s="377">
        <v>56.050262451171875</v>
      </c>
      <c r="I41" s="57">
        <v>-1.73</v>
      </c>
      <c r="J41" s="170">
        <v>-0.89012341618537905</v>
      </c>
      <c r="K41" s="546">
        <f t="shared" si="1"/>
        <v>20.060512689743451</v>
      </c>
      <c r="L41" s="540" t="s">
        <v>195</v>
      </c>
      <c r="M41" s="171" t="s">
        <v>74</v>
      </c>
      <c r="N41" s="247"/>
      <c r="O41" s="172" t="s">
        <v>35</v>
      </c>
      <c r="P41" s="171" t="s">
        <v>91</v>
      </c>
      <c r="Q41" s="172" t="s">
        <v>553</v>
      </c>
      <c r="R41" s="175" t="s">
        <v>436</v>
      </c>
      <c r="S41" s="176" t="s">
        <v>746</v>
      </c>
    </row>
    <row r="42" spans="1:19">
      <c r="A42" s="167" t="s">
        <v>437</v>
      </c>
      <c r="B42" s="168"/>
      <c r="C42" s="168"/>
      <c r="D42" s="168"/>
      <c r="E42" s="168"/>
      <c r="F42" s="156">
        <v>10.8</v>
      </c>
      <c r="G42" s="156" t="s">
        <v>196</v>
      </c>
      <c r="H42" s="377">
        <v>56.003459930419922</v>
      </c>
      <c r="I42" s="57">
        <v>-1.79</v>
      </c>
      <c r="J42" s="170">
        <v>-0.89012341618537905</v>
      </c>
      <c r="K42" s="546">
        <f t="shared" si="1"/>
        <v>20.34830735684865</v>
      </c>
      <c r="L42" s="540" t="s">
        <v>195</v>
      </c>
      <c r="M42" s="171" t="s">
        <v>74</v>
      </c>
      <c r="N42" s="247"/>
      <c r="O42" s="172" t="s">
        <v>35</v>
      </c>
      <c r="P42" s="171" t="s">
        <v>91</v>
      </c>
      <c r="Q42" s="172" t="s">
        <v>553</v>
      </c>
      <c r="R42" s="175" t="s">
        <v>436</v>
      </c>
      <c r="S42" s="176" t="s">
        <v>746</v>
      </c>
    </row>
    <row r="43" spans="1:19">
      <c r="A43" s="167" t="s">
        <v>437</v>
      </c>
      <c r="B43" s="168"/>
      <c r="C43" s="168"/>
      <c r="D43" s="168"/>
      <c r="E43" s="168"/>
      <c r="F43" s="156">
        <v>11.15</v>
      </c>
      <c r="G43" s="156" t="s">
        <v>196</v>
      </c>
      <c r="H43" s="377">
        <v>55.959999084472656</v>
      </c>
      <c r="I43" s="57">
        <v>-1.93</v>
      </c>
      <c r="J43" s="170">
        <v>-0.89012341618537905</v>
      </c>
      <c r="K43" s="546">
        <f t="shared" si="1"/>
        <v>21.022348246760778</v>
      </c>
      <c r="L43" s="540" t="s">
        <v>195</v>
      </c>
      <c r="M43" s="171" t="s">
        <v>74</v>
      </c>
      <c r="N43" s="247"/>
      <c r="O43" s="172" t="s">
        <v>35</v>
      </c>
      <c r="P43" s="171" t="s">
        <v>91</v>
      </c>
      <c r="Q43" s="172" t="s">
        <v>553</v>
      </c>
      <c r="R43" s="175" t="s">
        <v>436</v>
      </c>
      <c r="S43" s="176" t="s">
        <v>746</v>
      </c>
    </row>
    <row r="44" spans="1:19">
      <c r="A44" s="167" t="s">
        <v>437</v>
      </c>
      <c r="B44" s="168"/>
      <c r="C44" s="168"/>
      <c r="D44" s="168"/>
      <c r="E44" s="168"/>
      <c r="F44" s="156">
        <v>11.3</v>
      </c>
      <c r="G44" s="156" t="s">
        <v>196</v>
      </c>
      <c r="H44" s="377">
        <v>55.959999084472656</v>
      </c>
      <c r="I44" s="57">
        <v>-1.81</v>
      </c>
      <c r="J44" s="170">
        <v>-0.89012341618537905</v>
      </c>
      <c r="K44" s="546">
        <f t="shared" si="1"/>
        <v>20.444382912550385</v>
      </c>
      <c r="L44" s="540" t="s">
        <v>195</v>
      </c>
      <c r="M44" s="171" t="s">
        <v>74</v>
      </c>
      <c r="N44" s="247"/>
      <c r="O44" s="172" t="s">
        <v>35</v>
      </c>
      <c r="P44" s="171" t="s">
        <v>91</v>
      </c>
      <c r="Q44" s="172" t="s">
        <v>553</v>
      </c>
      <c r="R44" s="175" t="s">
        <v>436</v>
      </c>
      <c r="S44" s="176" t="s">
        <v>746</v>
      </c>
    </row>
    <row r="45" spans="1:19">
      <c r="A45" s="167" t="s">
        <v>437</v>
      </c>
      <c r="B45" s="168"/>
      <c r="C45" s="168"/>
      <c r="D45" s="168"/>
      <c r="E45" s="168"/>
      <c r="F45" s="156">
        <v>11.75</v>
      </c>
      <c r="G45" s="156" t="s">
        <v>196</v>
      </c>
      <c r="H45" s="377">
        <v>55.959999084472656</v>
      </c>
      <c r="I45" s="57">
        <v>-1.72</v>
      </c>
      <c r="J45" s="170">
        <v>-0.89012341618537905</v>
      </c>
      <c r="K45" s="546">
        <f t="shared" si="1"/>
        <v>20.012609911892586</v>
      </c>
      <c r="L45" s="540" t="s">
        <v>195</v>
      </c>
      <c r="M45" s="171" t="s">
        <v>74</v>
      </c>
      <c r="N45" s="247"/>
      <c r="O45" s="172" t="s">
        <v>35</v>
      </c>
      <c r="P45" s="171" t="s">
        <v>91</v>
      </c>
      <c r="Q45" s="172" t="s">
        <v>553</v>
      </c>
      <c r="R45" s="175" t="s">
        <v>436</v>
      </c>
      <c r="S45" s="176" t="s">
        <v>746</v>
      </c>
    </row>
    <row r="46" spans="1:19">
      <c r="A46" s="167" t="s">
        <v>437</v>
      </c>
      <c r="B46" s="168"/>
      <c r="C46" s="168"/>
      <c r="D46" s="168"/>
      <c r="E46" s="168"/>
      <c r="F46" s="156">
        <v>12.05</v>
      </c>
      <c r="G46" s="156" t="s">
        <v>196</v>
      </c>
      <c r="H46" s="377">
        <v>55.959999084472656</v>
      </c>
      <c r="I46" s="57">
        <v>-1.61</v>
      </c>
      <c r="J46" s="170">
        <v>-0.89012341618537905</v>
      </c>
      <c r="K46" s="546">
        <f t="shared" si="1"/>
        <v>19.486867355533057</v>
      </c>
      <c r="L46" s="540" t="s">
        <v>195</v>
      </c>
      <c r="M46" s="171" t="s">
        <v>74</v>
      </c>
      <c r="N46" s="247"/>
      <c r="O46" s="172" t="s">
        <v>35</v>
      </c>
      <c r="P46" s="171" t="s">
        <v>91</v>
      </c>
      <c r="Q46" s="172" t="s">
        <v>553</v>
      </c>
      <c r="R46" s="175" t="s">
        <v>436</v>
      </c>
      <c r="S46" s="176" t="s">
        <v>746</v>
      </c>
    </row>
    <row r="47" spans="1:19">
      <c r="A47" s="167" t="s">
        <v>437</v>
      </c>
      <c r="B47" s="168"/>
      <c r="C47" s="168"/>
      <c r="D47" s="168"/>
      <c r="E47" s="168"/>
      <c r="F47" s="156">
        <v>12.35</v>
      </c>
      <c r="G47" s="156" t="s">
        <v>196</v>
      </c>
      <c r="H47" s="377">
        <v>55.959999084472656</v>
      </c>
      <c r="I47" s="57">
        <v>-1.79</v>
      </c>
      <c r="J47" s="170">
        <v>-0.89012341618537905</v>
      </c>
      <c r="K47" s="546">
        <f t="shared" si="1"/>
        <v>20.34830735684865</v>
      </c>
      <c r="L47" s="540" t="s">
        <v>195</v>
      </c>
      <c r="M47" s="171" t="s">
        <v>74</v>
      </c>
      <c r="N47" s="247"/>
      <c r="O47" s="172" t="s">
        <v>35</v>
      </c>
      <c r="P47" s="171" t="s">
        <v>91</v>
      </c>
      <c r="Q47" s="172" t="s">
        <v>553</v>
      </c>
      <c r="R47" s="175" t="s">
        <v>436</v>
      </c>
      <c r="S47" s="176" t="s">
        <v>746</v>
      </c>
    </row>
    <row r="48" spans="1:19">
      <c r="A48" s="167" t="s">
        <v>437</v>
      </c>
      <c r="B48" s="168"/>
      <c r="C48" s="168"/>
      <c r="D48" s="168"/>
      <c r="E48" s="168"/>
      <c r="F48" s="156">
        <v>12.65</v>
      </c>
      <c r="H48" s="377">
        <v>55.959999084472656</v>
      </c>
      <c r="I48" s="57">
        <v>-1.77</v>
      </c>
      <c r="J48" s="170">
        <v>-0.89012341618537905</v>
      </c>
      <c r="K48" s="661">
        <f t="shared" si="1"/>
        <v>20.252303801146919</v>
      </c>
      <c r="L48" s="540" t="s">
        <v>195</v>
      </c>
      <c r="M48" s="171" t="s">
        <v>74</v>
      </c>
      <c r="N48" s="247"/>
      <c r="O48" s="172" t="s">
        <v>35</v>
      </c>
      <c r="P48" s="171" t="s">
        <v>91</v>
      </c>
      <c r="Q48" s="172" t="s">
        <v>553</v>
      </c>
      <c r="R48" s="175" t="s">
        <v>436</v>
      </c>
      <c r="S48" s="176"/>
    </row>
    <row r="49" spans="1:19">
      <c r="A49" s="167" t="s">
        <v>437</v>
      </c>
      <c r="B49" s="168"/>
      <c r="C49" s="168"/>
      <c r="D49" s="168"/>
      <c r="E49" s="168"/>
      <c r="F49" s="156">
        <v>12.95</v>
      </c>
      <c r="H49" s="377">
        <v>55.959999084472656</v>
      </c>
      <c r="I49" s="57">
        <v>-1.72</v>
      </c>
      <c r="J49" s="170">
        <v>-0.89012341618537905</v>
      </c>
      <c r="K49" s="661">
        <f t="shared" si="1"/>
        <v>20.012609911892586</v>
      </c>
      <c r="L49" s="540" t="s">
        <v>195</v>
      </c>
      <c r="M49" s="171" t="s">
        <v>74</v>
      </c>
      <c r="N49" s="247"/>
      <c r="O49" s="172" t="s">
        <v>35</v>
      </c>
      <c r="P49" s="171" t="s">
        <v>91</v>
      </c>
      <c r="Q49" s="172" t="s">
        <v>553</v>
      </c>
      <c r="R49" s="175" t="s">
        <v>436</v>
      </c>
      <c r="S49" s="176"/>
    </row>
    <row r="50" spans="1:19">
      <c r="A50" s="167" t="s">
        <v>437</v>
      </c>
      <c r="B50" s="168"/>
      <c r="C50" s="168"/>
      <c r="D50" s="168"/>
      <c r="E50" s="168"/>
      <c r="F50" s="156">
        <v>13.1</v>
      </c>
      <c r="H50" s="377">
        <v>55.959999084472656</v>
      </c>
      <c r="I50" s="57">
        <v>-1.63</v>
      </c>
      <c r="J50" s="170">
        <v>-0.89012341618537905</v>
      </c>
      <c r="K50" s="661">
        <f t="shared" si="1"/>
        <v>19.58229491123479</v>
      </c>
      <c r="L50" s="540" t="s">
        <v>195</v>
      </c>
      <c r="M50" s="171" t="s">
        <v>74</v>
      </c>
      <c r="N50" s="247"/>
      <c r="O50" s="172" t="s">
        <v>35</v>
      </c>
      <c r="P50" s="171" t="s">
        <v>91</v>
      </c>
      <c r="Q50" s="172" t="s">
        <v>553</v>
      </c>
      <c r="R50" s="175" t="s">
        <v>436</v>
      </c>
      <c r="S50" s="176"/>
    </row>
    <row r="51" spans="1:19">
      <c r="A51" s="167" t="s">
        <v>437</v>
      </c>
      <c r="B51" s="168"/>
      <c r="C51" s="168"/>
      <c r="D51" s="168"/>
      <c r="E51" s="168"/>
      <c r="F51" s="156">
        <v>13.15</v>
      </c>
      <c r="H51" s="377">
        <v>55.959999084472656</v>
      </c>
      <c r="I51" s="57">
        <v>-1.6</v>
      </c>
      <c r="J51" s="170">
        <v>-0.89012341618537905</v>
      </c>
      <c r="K51" s="661">
        <f t="shared" si="1"/>
        <v>19.439180577682194</v>
      </c>
      <c r="L51" s="540" t="s">
        <v>195</v>
      </c>
      <c r="M51" s="171" t="s">
        <v>74</v>
      </c>
      <c r="N51" s="247"/>
      <c r="O51" s="172" t="s">
        <v>35</v>
      </c>
      <c r="P51" s="171" t="s">
        <v>91</v>
      </c>
      <c r="Q51" s="172" t="s">
        <v>553</v>
      </c>
      <c r="R51" s="175" t="s">
        <v>436</v>
      </c>
      <c r="S51" s="176"/>
    </row>
    <row r="52" spans="1:19">
      <c r="A52" s="167" t="s">
        <v>437</v>
      </c>
      <c r="B52" s="168"/>
      <c r="C52" s="168"/>
      <c r="D52" s="168"/>
      <c r="E52" s="168"/>
      <c r="F52" s="156">
        <v>13.25</v>
      </c>
      <c r="H52" s="377">
        <v>55.959999084472656</v>
      </c>
      <c r="I52" s="57">
        <v>-1.75</v>
      </c>
      <c r="J52" s="170">
        <v>-0.89012341618537905</v>
      </c>
      <c r="K52" s="661">
        <f t="shared" si="1"/>
        <v>20.156372245445187</v>
      </c>
      <c r="L52" s="540" t="s">
        <v>195</v>
      </c>
      <c r="M52" s="171" t="s">
        <v>74</v>
      </c>
      <c r="N52" s="247"/>
      <c r="O52" s="172" t="s">
        <v>35</v>
      </c>
      <c r="P52" s="171" t="s">
        <v>91</v>
      </c>
      <c r="Q52" s="172" t="s">
        <v>553</v>
      </c>
      <c r="R52" s="175" t="s">
        <v>436</v>
      </c>
      <c r="S52" s="176"/>
    </row>
    <row r="53" spans="1:19">
      <c r="A53" s="167" t="s">
        <v>437</v>
      </c>
      <c r="B53" s="168"/>
      <c r="C53" s="168"/>
      <c r="D53" s="168"/>
      <c r="E53" s="168"/>
      <c r="F53" s="156">
        <v>13.3</v>
      </c>
      <c r="H53" s="377">
        <v>55.959999084472656</v>
      </c>
      <c r="I53" s="57">
        <v>-1.64</v>
      </c>
      <c r="J53" s="170">
        <v>-0.89012341618537905</v>
      </c>
      <c r="K53" s="661">
        <f t="shared" si="1"/>
        <v>19.630035689085656</v>
      </c>
      <c r="L53" s="540" t="s">
        <v>195</v>
      </c>
      <c r="M53" s="171" t="s">
        <v>74</v>
      </c>
      <c r="N53" s="247"/>
      <c r="O53" s="172" t="s">
        <v>35</v>
      </c>
      <c r="P53" s="171" t="s">
        <v>91</v>
      </c>
      <c r="Q53" s="172" t="s">
        <v>553</v>
      </c>
      <c r="R53" s="175" t="s">
        <v>436</v>
      </c>
      <c r="S53" s="176"/>
    </row>
    <row r="54" spans="1:19">
      <c r="A54" s="167" t="s">
        <v>437</v>
      </c>
      <c r="B54" s="168"/>
      <c r="C54" s="168"/>
      <c r="D54" s="168"/>
      <c r="E54" s="168"/>
      <c r="F54" s="156">
        <v>13.35</v>
      </c>
      <c r="H54" s="377">
        <v>55.959999084472656</v>
      </c>
      <c r="I54" s="57">
        <v>-1.67</v>
      </c>
      <c r="J54" s="170">
        <v>-0.89012341618537905</v>
      </c>
      <c r="K54" s="661">
        <f t="shared" si="1"/>
        <v>19.773366022638257</v>
      </c>
      <c r="L54" s="540" t="s">
        <v>195</v>
      </c>
      <c r="M54" s="171" t="s">
        <v>74</v>
      </c>
      <c r="N54" s="247"/>
      <c r="O54" s="172" t="s">
        <v>35</v>
      </c>
      <c r="P54" s="171" t="s">
        <v>91</v>
      </c>
      <c r="Q54" s="172" t="s">
        <v>553</v>
      </c>
      <c r="R54" s="175" t="s">
        <v>436</v>
      </c>
      <c r="S54" s="176"/>
    </row>
    <row r="55" spans="1:19">
      <c r="A55" s="167" t="s">
        <v>437</v>
      </c>
      <c r="B55" s="168"/>
      <c r="C55" s="168"/>
      <c r="D55" s="168"/>
      <c r="E55" s="168"/>
      <c r="F55" s="156">
        <v>13.45</v>
      </c>
      <c r="H55" s="377">
        <v>55.959999084472656</v>
      </c>
      <c r="I55" s="57">
        <v>-1.67</v>
      </c>
      <c r="J55" s="170">
        <v>-0.89012341618537905</v>
      </c>
      <c r="K55" s="661">
        <f t="shared" si="1"/>
        <v>19.773366022638257</v>
      </c>
      <c r="L55" s="540" t="s">
        <v>195</v>
      </c>
      <c r="M55" s="171" t="s">
        <v>74</v>
      </c>
      <c r="N55" s="247"/>
      <c r="O55" s="172" t="s">
        <v>35</v>
      </c>
      <c r="P55" s="171" t="s">
        <v>91</v>
      </c>
      <c r="Q55" s="172" t="s">
        <v>553</v>
      </c>
      <c r="R55" s="175" t="s">
        <v>436</v>
      </c>
      <c r="S55" s="176"/>
    </row>
    <row r="56" spans="1:19">
      <c r="A56" s="167" t="s">
        <v>437</v>
      </c>
      <c r="B56" s="168"/>
      <c r="C56" s="168"/>
      <c r="D56" s="168"/>
      <c r="E56" s="168"/>
      <c r="F56" s="156">
        <v>13.5</v>
      </c>
      <c r="H56" s="377">
        <v>55.959999084472656</v>
      </c>
      <c r="I56" s="57">
        <v>-1.68</v>
      </c>
      <c r="J56" s="170">
        <v>-0.89012341618537905</v>
      </c>
      <c r="K56" s="661">
        <f t="shared" si="1"/>
        <v>19.821178800489122</v>
      </c>
      <c r="L56" s="540" t="s">
        <v>195</v>
      </c>
      <c r="M56" s="171" t="s">
        <v>74</v>
      </c>
      <c r="N56" s="247"/>
      <c r="O56" s="172" t="s">
        <v>35</v>
      </c>
      <c r="P56" s="171" t="s">
        <v>91</v>
      </c>
      <c r="Q56" s="172" t="s">
        <v>553</v>
      </c>
      <c r="R56" s="175" t="s">
        <v>436</v>
      </c>
      <c r="S56" s="176"/>
    </row>
    <row r="57" spans="1:19">
      <c r="A57" s="167" t="s">
        <v>437</v>
      </c>
      <c r="B57" s="168"/>
      <c r="C57" s="168"/>
      <c r="D57" s="168"/>
      <c r="E57" s="168"/>
      <c r="F57" s="156">
        <v>13.6</v>
      </c>
      <c r="H57" s="377">
        <v>55.959999084472656</v>
      </c>
      <c r="I57" s="57">
        <v>-1.68</v>
      </c>
      <c r="J57" s="170">
        <v>-0.89012341618537905</v>
      </c>
      <c r="K57" s="661">
        <f t="shared" si="1"/>
        <v>19.821178800489122</v>
      </c>
      <c r="L57" s="540" t="s">
        <v>195</v>
      </c>
      <c r="M57" s="171" t="s">
        <v>74</v>
      </c>
      <c r="N57" s="247"/>
      <c r="O57" s="172" t="s">
        <v>35</v>
      </c>
      <c r="P57" s="171" t="s">
        <v>91</v>
      </c>
      <c r="Q57" s="172" t="s">
        <v>553</v>
      </c>
      <c r="R57" s="175" t="s">
        <v>436</v>
      </c>
      <c r="S57" s="176"/>
    </row>
    <row r="58" spans="1:19">
      <c r="A58" s="167" t="s">
        <v>437</v>
      </c>
      <c r="B58" s="168"/>
      <c r="C58" s="168"/>
      <c r="D58" s="168"/>
      <c r="E58" s="168"/>
      <c r="F58" s="156">
        <v>13.7</v>
      </c>
      <c r="H58" s="377">
        <v>55.959999084472656</v>
      </c>
      <c r="I58" s="57">
        <v>-1.2</v>
      </c>
      <c r="J58" s="170">
        <v>-0.89012341618537905</v>
      </c>
      <c r="K58" s="661">
        <f t="shared" si="1"/>
        <v>17.546469463647536</v>
      </c>
      <c r="L58" s="540" t="s">
        <v>195</v>
      </c>
      <c r="M58" s="171" t="s">
        <v>74</v>
      </c>
      <c r="N58" s="247"/>
      <c r="O58" s="172" t="s">
        <v>35</v>
      </c>
      <c r="P58" s="171" t="s">
        <v>91</v>
      </c>
      <c r="Q58" s="172" t="s">
        <v>553</v>
      </c>
      <c r="R58" s="175" t="s">
        <v>436</v>
      </c>
      <c r="S58" s="176"/>
    </row>
    <row r="59" spans="1:19">
      <c r="A59" s="167" t="s">
        <v>437</v>
      </c>
      <c r="B59" s="168"/>
      <c r="C59" s="168"/>
      <c r="D59" s="168"/>
      <c r="E59" s="168"/>
      <c r="F59" s="156">
        <v>13.71</v>
      </c>
      <c r="H59" s="377">
        <v>55.959999084472656</v>
      </c>
      <c r="I59" s="57">
        <v>-1.5</v>
      </c>
      <c r="J59" s="170">
        <v>-0.89012341618537905</v>
      </c>
      <c r="K59" s="661">
        <f t="shared" si="1"/>
        <v>18.963302799173526</v>
      </c>
      <c r="L59" s="540" t="s">
        <v>195</v>
      </c>
      <c r="M59" s="171" t="s">
        <v>74</v>
      </c>
      <c r="N59" s="247"/>
      <c r="O59" s="172" t="s">
        <v>35</v>
      </c>
      <c r="P59" s="171" t="s">
        <v>91</v>
      </c>
      <c r="Q59" s="172" t="s">
        <v>553</v>
      </c>
      <c r="R59" s="175" t="s">
        <v>436</v>
      </c>
      <c r="S59" s="176"/>
    </row>
    <row r="60" spans="1:19">
      <c r="A60" s="167" t="s">
        <v>437</v>
      </c>
      <c r="B60" s="168"/>
      <c r="C60" s="168"/>
      <c r="D60" s="168"/>
      <c r="E60" s="168"/>
      <c r="F60" s="156">
        <v>13.8</v>
      </c>
      <c r="H60" s="377">
        <v>55.959999084472656</v>
      </c>
      <c r="I60" s="57">
        <v>-1.7</v>
      </c>
      <c r="J60" s="170">
        <v>-0.89012341618537905</v>
      </c>
      <c r="K60" s="661">
        <f t="shared" si="1"/>
        <v>19.916858356190854</v>
      </c>
      <c r="L60" s="540" t="s">
        <v>195</v>
      </c>
      <c r="M60" s="171" t="s">
        <v>74</v>
      </c>
      <c r="N60" s="247"/>
      <c r="O60" s="172" t="s">
        <v>35</v>
      </c>
      <c r="P60" s="171" t="s">
        <v>91</v>
      </c>
      <c r="Q60" s="172" t="s">
        <v>553</v>
      </c>
      <c r="R60" s="175" t="s">
        <v>436</v>
      </c>
      <c r="S60" s="176"/>
    </row>
    <row r="61" spans="1:19">
      <c r="A61" s="167" t="s">
        <v>437</v>
      </c>
      <c r="B61" s="168"/>
      <c r="C61" s="168"/>
      <c r="D61" s="168"/>
      <c r="E61" s="168"/>
      <c r="F61" s="156">
        <v>13.85</v>
      </c>
      <c r="H61" s="377">
        <v>55.956893920898438</v>
      </c>
      <c r="I61" s="57">
        <v>-2.17</v>
      </c>
      <c r="J61" s="170">
        <v>-0.89012341618537905</v>
      </c>
      <c r="K61" s="661">
        <f t="shared" si="1"/>
        <v>22.186054915181572</v>
      </c>
      <c r="L61" s="540" t="s">
        <v>195</v>
      </c>
      <c r="M61" s="171" t="s">
        <v>74</v>
      </c>
      <c r="N61" s="247"/>
      <c r="O61" s="172" t="s">
        <v>35</v>
      </c>
      <c r="P61" s="171" t="s">
        <v>91</v>
      </c>
      <c r="Q61" s="172" t="s">
        <v>553</v>
      </c>
      <c r="R61" s="175" t="s">
        <v>436</v>
      </c>
      <c r="S61" s="176"/>
    </row>
    <row r="62" spans="1:19">
      <c r="A62" s="167" t="s">
        <v>437</v>
      </c>
      <c r="B62" s="168"/>
      <c r="C62" s="168"/>
      <c r="D62" s="168"/>
      <c r="E62" s="168"/>
      <c r="F62" s="156">
        <v>13.9</v>
      </c>
      <c r="G62" s="156" t="s">
        <v>20</v>
      </c>
      <c r="H62" s="377">
        <v>55.950679779052734</v>
      </c>
      <c r="I62" s="57">
        <v>-1.71</v>
      </c>
      <c r="J62" s="170">
        <v>-0.89012341618537905</v>
      </c>
      <c r="K62" s="138">
        <f t="shared" si="1"/>
        <v>19.964725134041718</v>
      </c>
      <c r="L62" s="540" t="s">
        <v>195</v>
      </c>
      <c r="M62" s="171" t="s">
        <v>74</v>
      </c>
      <c r="N62" s="247"/>
      <c r="O62" s="172" t="s">
        <v>35</v>
      </c>
      <c r="P62" s="171" t="s">
        <v>91</v>
      </c>
      <c r="Q62" s="172" t="s">
        <v>553</v>
      </c>
      <c r="R62" s="175" t="s">
        <v>436</v>
      </c>
      <c r="S62" s="176"/>
    </row>
    <row r="63" spans="1:19">
      <c r="A63" s="167" t="s">
        <v>437</v>
      </c>
      <c r="B63" s="168"/>
      <c r="C63" s="168"/>
      <c r="D63" s="168"/>
      <c r="E63" s="168"/>
      <c r="F63" s="156">
        <v>13.95</v>
      </c>
      <c r="G63" s="156" t="s">
        <v>20</v>
      </c>
      <c r="H63" s="377">
        <v>55.944465637207031</v>
      </c>
      <c r="I63" s="57">
        <v>-1.94</v>
      </c>
      <c r="J63" s="170">
        <v>-0.89012341618537905</v>
      </c>
      <c r="K63" s="138">
        <f t="shared" si="1"/>
        <v>21.070629024611645</v>
      </c>
      <c r="L63" s="540" t="s">
        <v>195</v>
      </c>
      <c r="M63" s="171" t="s">
        <v>74</v>
      </c>
      <c r="N63" s="247"/>
      <c r="O63" s="172" t="s">
        <v>35</v>
      </c>
      <c r="P63" s="171" t="s">
        <v>91</v>
      </c>
      <c r="Q63" s="172" t="s">
        <v>553</v>
      </c>
      <c r="R63" s="175" t="s">
        <v>436</v>
      </c>
      <c r="S63" s="176"/>
    </row>
    <row r="64" spans="1:19">
      <c r="A64" s="167" t="s">
        <v>437</v>
      </c>
      <c r="B64" s="168"/>
      <c r="C64" s="168"/>
      <c r="D64" s="168"/>
      <c r="E64" s="168"/>
      <c r="F64" s="156">
        <v>14.1</v>
      </c>
      <c r="G64" s="156" t="s">
        <v>20</v>
      </c>
      <c r="H64" s="377">
        <v>55.925827026367188</v>
      </c>
      <c r="I64" s="57">
        <v>-1.72</v>
      </c>
      <c r="J64" s="170">
        <v>-0.89012341618537905</v>
      </c>
      <c r="K64" s="138">
        <f t="shared" si="1"/>
        <v>20.012609911892586</v>
      </c>
      <c r="L64" s="540" t="s">
        <v>195</v>
      </c>
      <c r="M64" s="171" t="s">
        <v>74</v>
      </c>
      <c r="N64" s="247"/>
      <c r="O64" s="172" t="s">
        <v>35</v>
      </c>
      <c r="P64" s="171" t="s">
        <v>91</v>
      </c>
      <c r="Q64" s="172" t="s">
        <v>553</v>
      </c>
      <c r="R64" s="175" t="s">
        <v>436</v>
      </c>
      <c r="S64" s="176"/>
    </row>
    <row r="65" spans="1:19">
      <c r="A65" s="167" t="s">
        <v>437</v>
      </c>
      <c r="B65" s="168"/>
      <c r="C65" s="168"/>
      <c r="D65" s="168"/>
      <c r="E65" s="168"/>
      <c r="F65" s="156">
        <v>14.25</v>
      </c>
      <c r="G65" s="156" t="s">
        <v>20</v>
      </c>
      <c r="H65" s="377">
        <v>55.907184600830078</v>
      </c>
      <c r="I65" s="57">
        <v>-1.63</v>
      </c>
      <c r="J65" s="170">
        <v>-0.89012341618537905</v>
      </c>
      <c r="K65" s="138">
        <f t="shared" si="1"/>
        <v>19.58229491123479</v>
      </c>
      <c r="L65" s="540" t="s">
        <v>195</v>
      </c>
      <c r="M65" s="171" t="s">
        <v>74</v>
      </c>
      <c r="N65" s="247"/>
      <c r="O65" s="172" t="s">
        <v>35</v>
      </c>
      <c r="P65" s="171" t="s">
        <v>91</v>
      </c>
      <c r="Q65" s="172" t="s">
        <v>553</v>
      </c>
      <c r="R65" s="175" t="s">
        <v>436</v>
      </c>
      <c r="S65" s="176"/>
    </row>
    <row r="66" spans="1:19">
      <c r="A66" s="167" t="s">
        <v>437</v>
      </c>
      <c r="B66" s="168"/>
      <c r="C66" s="168"/>
      <c r="D66" s="168"/>
      <c r="E66" s="168"/>
      <c r="F66" s="156">
        <v>14.5</v>
      </c>
      <c r="G66" s="156" t="s">
        <v>20</v>
      </c>
      <c r="H66" s="377">
        <v>55.876117706298828</v>
      </c>
      <c r="I66" s="57">
        <v>-1.7</v>
      </c>
      <c r="J66" s="170">
        <v>-0.89012341618537905</v>
      </c>
      <c r="K66" s="138">
        <f t="shared" si="1"/>
        <v>19.916858356190854</v>
      </c>
      <c r="L66" s="540" t="s">
        <v>195</v>
      </c>
      <c r="M66" s="171" t="s">
        <v>74</v>
      </c>
      <c r="N66" s="247"/>
      <c r="O66" s="172" t="s">
        <v>35</v>
      </c>
      <c r="P66" s="171" t="s">
        <v>91</v>
      </c>
      <c r="Q66" s="172" t="s">
        <v>553</v>
      </c>
      <c r="R66" s="175" t="s">
        <v>436</v>
      </c>
      <c r="S66" s="176"/>
    </row>
    <row r="67" spans="1:19">
      <c r="A67" s="167" t="s">
        <v>437</v>
      </c>
      <c r="B67" s="168"/>
      <c r="C67" s="168"/>
      <c r="D67" s="168"/>
      <c r="E67" s="168"/>
      <c r="F67" s="156">
        <v>14.8</v>
      </c>
      <c r="G67" s="156" t="s">
        <v>20</v>
      </c>
      <c r="H67" s="377">
        <v>55.838836669921875</v>
      </c>
      <c r="I67" s="57">
        <v>-1.87</v>
      </c>
      <c r="J67" s="170">
        <v>-0.89012341618537905</v>
      </c>
      <c r="K67" s="138">
        <f t="shared" si="1"/>
        <v>20.73304157965558</v>
      </c>
      <c r="L67" s="540" t="s">
        <v>195</v>
      </c>
      <c r="M67" s="171" t="s">
        <v>74</v>
      </c>
      <c r="N67" s="247"/>
      <c r="O67" s="172" t="s">
        <v>35</v>
      </c>
      <c r="P67" s="171" t="s">
        <v>91</v>
      </c>
      <c r="Q67" s="172" t="s">
        <v>553</v>
      </c>
      <c r="R67" s="175" t="s">
        <v>436</v>
      </c>
      <c r="S67" s="176"/>
    </row>
    <row r="68" spans="1:19">
      <c r="A68" s="167" t="s">
        <v>437</v>
      </c>
      <c r="B68" s="168"/>
      <c r="C68" s="168"/>
      <c r="D68" s="168"/>
      <c r="E68" s="168"/>
      <c r="F68" s="156">
        <v>14.9</v>
      </c>
      <c r="H68" s="377">
        <v>55.826408386230469</v>
      </c>
      <c r="I68" s="57">
        <v>-1.9</v>
      </c>
      <c r="J68" s="170">
        <v>-0.89012341618537905</v>
      </c>
      <c r="K68" s="661">
        <f t="shared" si="1"/>
        <v>20.877613913208183</v>
      </c>
      <c r="L68" s="540" t="s">
        <v>195</v>
      </c>
      <c r="M68" s="171" t="s">
        <v>74</v>
      </c>
      <c r="N68" s="247"/>
      <c r="O68" s="172" t="s">
        <v>35</v>
      </c>
      <c r="P68" s="171" t="s">
        <v>91</v>
      </c>
      <c r="Q68" s="172" t="s">
        <v>553</v>
      </c>
      <c r="R68" s="175" t="s">
        <v>436</v>
      </c>
      <c r="S68" s="176"/>
    </row>
    <row r="69" spans="1:19">
      <c r="A69" s="167" t="s">
        <v>437</v>
      </c>
      <c r="B69" s="168"/>
      <c r="C69" s="168"/>
      <c r="D69" s="168"/>
      <c r="E69" s="168"/>
      <c r="F69" s="156">
        <v>15.05</v>
      </c>
      <c r="H69" s="377">
        <v>55.807765960693359</v>
      </c>
      <c r="I69" s="57">
        <v>-1.76</v>
      </c>
      <c r="J69" s="170">
        <v>-0.89012341618537905</v>
      </c>
      <c r="K69" s="661">
        <f t="shared" si="1"/>
        <v>20.204329023296054</v>
      </c>
      <c r="L69" s="540" t="s">
        <v>195</v>
      </c>
      <c r="M69" s="171" t="s">
        <v>74</v>
      </c>
      <c r="N69" s="247"/>
      <c r="O69" s="172" t="s">
        <v>35</v>
      </c>
      <c r="P69" s="171" t="s">
        <v>91</v>
      </c>
      <c r="Q69" s="172" t="s">
        <v>553</v>
      </c>
      <c r="R69" s="175" t="s">
        <v>436</v>
      </c>
      <c r="S69" s="176"/>
    </row>
    <row r="70" spans="1:19">
      <c r="A70" s="167" t="s">
        <v>437</v>
      </c>
      <c r="B70" s="168"/>
      <c r="C70" s="168"/>
      <c r="D70" s="168"/>
      <c r="E70" s="168"/>
      <c r="F70" s="156">
        <v>15.35</v>
      </c>
      <c r="H70" s="377">
        <v>55.770484924316406</v>
      </c>
      <c r="I70" s="57">
        <v>-1.68</v>
      </c>
      <c r="J70" s="170">
        <v>-0.89012341618537905</v>
      </c>
      <c r="K70" s="661">
        <f t="shared" si="1"/>
        <v>19.821178800489122</v>
      </c>
      <c r="L70" s="540" t="s">
        <v>195</v>
      </c>
      <c r="M70" s="171" t="s">
        <v>74</v>
      </c>
      <c r="N70" s="247"/>
      <c r="O70" s="172" t="s">
        <v>35</v>
      </c>
      <c r="P70" s="171" t="s">
        <v>91</v>
      </c>
      <c r="Q70" s="172" t="s">
        <v>553</v>
      </c>
      <c r="R70" s="175" t="s">
        <v>436</v>
      </c>
      <c r="S70" s="176"/>
    </row>
    <row r="71" spans="1:19">
      <c r="A71" s="167" t="s">
        <v>437</v>
      </c>
      <c r="B71" s="168"/>
      <c r="C71" s="168"/>
      <c r="D71" s="168"/>
      <c r="E71" s="168"/>
      <c r="F71" s="156">
        <v>15.7</v>
      </c>
      <c r="H71" s="377">
        <v>55.72698974609375</v>
      </c>
      <c r="I71" s="57">
        <v>-1.86</v>
      </c>
      <c r="J71" s="170">
        <v>-0.89012341618537905</v>
      </c>
      <c r="K71" s="661">
        <f t="shared" si="1"/>
        <v>20.684886801804716</v>
      </c>
      <c r="L71" s="540" t="s">
        <v>195</v>
      </c>
      <c r="M71" s="171" t="s">
        <v>74</v>
      </c>
      <c r="N71" s="247"/>
      <c r="O71" s="172" t="s">
        <v>35</v>
      </c>
      <c r="P71" s="171" t="s">
        <v>91</v>
      </c>
      <c r="Q71" s="172" t="s">
        <v>553</v>
      </c>
      <c r="R71" s="175" t="s">
        <v>436</v>
      </c>
      <c r="S71" s="176"/>
    </row>
    <row r="72" spans="1:19">
      <c r="A72" s="167" t="s">
        <v>437</v>
      </c>
      <c r="B72" s="168"/>
      <c r="C72" s="168"/>
      <c r="D72" s="168"/>
      <c r="E72" s="168"/>
      <c r="F72" s="156">
        <v>16.05</v>
      </c>
      <c r="H72" s="377">
        <v>55.683494567871094</v>
      </c>
      <c r="I72" s="57">
        <v>-1.63</v>
      </c>
      <c r="J72" s="170">
        <v>-0.89012341618537905</v>
      </c>
      <c r="K72" s="661">
        <f t="shared" si="1"/>
        <v>19.58229491123479</v>
      </c>
      <c r="L72" s="540" t="s">
        <v>195</v>
      </c>
      <c r="M72" s="171" t="s">
        <v>74</v>
      </c>
      <c r="N72" s="247"/>
      <c r="O72" s="172" t="s">
        <v>35</v>
      </c>
      <c r="P72" s="171" t="s">
        <v>91</v>
      </c>
      <c r="Q72" s="172" t="s">
        <v>553</v>
      </c>
      <c r="R72" s="175" t="s">
        <v>436</v>
      </c>
      <c r="S72" s="176"/>
    </row>
    <row r="73" spans="1:19">
      <c r="A73" s="167" t="s">
        <v>437</v>
      </c>
      <c r="B73" s="168"/>
      <c r="C73" s="168"/>
      <c r="D73" s="168"/>
      <c r="E73" s="168"/>
      <c r="F73" s="156">
        <v>16.399999999999999</v>
      </c>
      <c r="H73" s="377">
        <v>55.639999389648438</v>
      </c>
      <c r="I73" s="57">
        <v>-1.61</v>
      </c>
      <c r="J73" s="170">
        <v>-0.89012341618537905</v>
      </c>
      <c r="K73" s="661">
        <f t="shared" si="1"/>
        <v>19.486867355533057</v>
      </c>
      <c r="L73" s="540" t="s">
        <v>195</v>
      </c>
      <c r="M73" s="171" t="s">
        <v>74</v>
      </c>
      <c r="N73" s="247"/>
      <c r="O73" s="172" t="s">
        <v>35</v>
      </c>
      <c r="P73" s="171" t="s">
        <v>91</v>
      </c>
      <c r="Q73" s="172" t="s">
        <v>553</v>
      </c>
      <c r="R73" s="175" t="s">
        <v>436</v>
      </c>
      <c r="S73" s="176"/>
    </row>
    <row r="74" spans="1:19">
      <c r="A74" s="167" t="s">
        <v>437</v>
      </c>
      <c r="B74" s="168"/>
      <c r="C74" s="168"/>
      <c r="D74" s="168"/>
      <c r="E74" s="168"/>
      <c r="F74" s="156">
        <v>16.649999999999999</v>
      </c>
      <c r="H74" s="377">
        <v>55.608570098876953</v>
      </c>
      <c r="I74" s="57">
        <v>-1.62</v>
      </c>
      <c r="J74" s="170">
        <v>-0.89012341618537905</v>
      </c>
      <c r="K74" s="661">
        <f t="shared" si="1"/>
        <v>19.534572133383925</v>
      </c>
      <c r="L74" s="540" t="s">
        <v>195</v>
      </c>
      <c r="M74" s="171" t="s">
        <v>74</v>
      </c>
      <c r="N74" s="247"/>
      <c r="O74" s="172" t="s">
        <v>35</v>
      </c>
      <c r="P74" s="171" t="s">
        <v>91</v>
      </c>
      <c r="Q74" s="172" t="s">
        <v>553</v>
      </c>
      <c r="R74" s="175" t="s">
        <v>436</v>
      </c>
      <c r="S74" s="176"/>
    </row>
    <row r="75" spans="1:19">
      <c r="A75" s="167" t="s">
        <v>437</v>
      </c>
      <c r="B75" s="168"/>
      <c r="C75" s="168"/>
      <c r="D75" s="168"/>
      <c r="E75" s="168"/>
      <c r="F75" s="156">
        <v>16.899999999999999</v>
      </c>
      <c r="H75" s="377">
        <v>55.577144622802734</v>
      </c>
      <c r="I75" s="57">
        <v>-1.55</v>
      </c>
      <c r="J75" s="170">
        <v>-0.89012341618537905</v>
      </c>
      <c r="K75" s="661">
        <f t="shared" si="1"/>
        <v>19.20101668842786</v>
      </c>
      <c r="L75" s="540" t="s">
        <v>195</v>
      </c>
      <c r="M75" s="171" t="s">
        <v>74</v>
      </c>
      <c r="N75" s="247"/>
      <c r="O75" s="172" t="s">
        <v>35</v>
      </c>
      <c r="P75" s="171" t="s">
        <v>91</v>
      </c>
      <c r="Q75" s="172" t="s">
        <v>553</v>
      </c>
      <c r="R75" s="175" t="s">
        <v>436</v>
      </c>
      <c r="S75" s="176"/>
    </row>
    <row r="76" spans="1:19">
      <c r="A76" s="167" t="s">
        <v>437</v>
      </c>
      <c r="B76" s="168"/>
      <c r="C76" s="168"/>
      <c r="D76" s="168"/>
      <c r="E76" s="168"/>
      <c r="F76" s="156">
        <v>17.25</v>
      </c>
      <c r="H76" s="377">
        <v>55.53314208984375</v>
      </c>
      <c r="I76" s="57">
        <v>-1.48</v>
      </c>
      <c r="J76" s="170">
        <v>-0.89012341618537905</v>
      </c>
      <c r="K76" s="661">
        <f t="shared" si="1"/>
        <v>18.868343243471795</v>
      </c>
      <c r="L76" s="540" t="s">
        <v>195</v>
      </c>
      <c r="M76" s="171" t="s">
        <v>74</v>
      </c>
      <c r="N76" s="247"/>
      <c r="O76" s="172" t="s">
        <v>35</v>
      </c>
      <c r="P76" s="171" t="s">
        <v>91</v>
      </c>
      <c r="Q76" s="172" t="s">
        <v>553</v>
      </c>
      <c r="R76" s="175" t="s">
        <v>436</v>
      </c>
      <c r="S76" s="176"/>
    </row>
    <row r="77" spans="1:19">
      <c r="A77" s="167" t="s">
        <v>437</v>
      </c>
      <c r="B77" s="168"/>
      <c r="C77" s="168"/>
      <c r="D77" s="168"/>
      <c r="E77" s="168"/>
      <c r="F77" s="156">
        <v>17.5</v>
      </c>
      <c r="H77" s="377">
        <v>55.501712799072266</v>
      </c>
      <c r="I77" s="57">
        <v>-1.47</v>
      </c>
      <c r="J77" s="170">
        <v>-0.89012341618537905</v>
      </c>
      <c r="K77" s="661">
        <f t="shared" si="1"/>
        <v>18.820890465620931</v>
      </c>
      <c r="L77" s="540" t="s">
        <v>195</v>
      </c>
      <c r="M77" s="171" t="s">
        <v>74</v>
      </c>
      <c r="N77" s="247"/>
      <c r="O77" s="172" t="s">
        <v>35</v>
      </c>
      <c r="P77" s="171" t="s">
        <v>91</v>
      </c>
      <c r="Q77" s="172" t="s">
        <v>553</v>
      </c>
      <c r="R77" s="175" t="s">
        <v>436</v>
      </c>
      <c r="S77" s="176"/>
    </row>
    <row r="78" spans="1:19">
      <c r="A78" s="167" t="s">
        <v>437</v>
      </c>
      <c r="B78" s="168"/>
      <c r="C78" s="168"/>
      <c r="D78" s="168"/>
      <c r="E78" s="168"/>
      <c r="F78" s="156">
        <v>17.899999999999999</v>
      </c>
      <c r="H78" s="377">
        <v>55.451427459716797</v>
      </c>
      <c r="I78" s="57">
        <v>-1.52</v>
      </c>
      <c r="J78" s="170">
        <v>-0.89012341618537905</v>
      </c>
      <c r="K78" s="661">
        <f t="shared" ref="K78:K105" si="2">16.1-4.64*($I78-J78)+0.09*($I78-J78)^2</f>
        <v>19.05833435487526</v>
      </c>
      <c r="L78" s="540" t="s">
        <v>195</v>
      </c>
      <c r="M78" s="171" t="s">
        <v>74</v>
      </c>
      <c r="N78" s="247"/>
      <c r="O78" s="172" t="s">
        <v>35</v>
      </c>
      <c r="P78" s="171" t="s">
        <v>91</v>
      </c>
      <c r="Q78" s="172" t="s">
        <v>553</v>
      </c>
      <c r="R78" s="175" t="s">
        <v>436</v>
      </c>
      <c r="S78" s="176"/>
    </row>
    <row r="79" spans="1:19">
      <c r="A79" s="167" t="s">
        <v>437</v>
      </c>
      <c r="B79" s="168"/>
      <c r="C79" s="168"/>
      <c r="D79" s="168"/>
      <c r="E79" s="168"/>
      <c r="F79" s="156">
        <v>18.149999999999999</v>
      </c>
      <c r="H79" s="377">
        <v>55.419998168945313</v>
      </c>
      <c r="I79" s="57">
        <v>-1.59</v>
      </c>
      <c r="J79" s="170">
        <v>-0.89012341618537905</v>
      </c>
      <c r="K79" s="661">
        <f t="shared" si="2"/>
        <v>19.391511799831324</v>
      </c>
      <c r="L79" s="540" t="s">
        <v>195</v>
      </c>
      <c r="M79" s="171" t="s">
        <v>74</v>
      </c>
      <c r="N79" s="247"/>
      <c r="O79" s="172" t="s">
        <v>35</v>
      </c>
      <c r="P79" s="171" t="s">
        <v>91</v>
      </c>
      <c r="Q79" s="172" t="s">
        <v>553</v>
      </c>
      <c r="R79" s="175" t="s">
        <v>436</v>
      </c>
      <c r="S79" s="176"/>
    </row>
    <row r="80" spans="1:19">
      <c r="A80" s="167" t="s">
        <v>437</v>
      </c>
      <c r="B80" s="168"/>
      <c r="C80" s="168"/>
      <c r="D80" s="168"/>
      <c r="E80" s="168"/>
      <c r="F80" s="156">
        <v>18.600000000000001</v>
      </c>
      <c r="H80" s="377">
        <v>55.363430023193359</v>
      </c>
      <c r="I80" s="57">
        <v>-1.57</v>
      </c>
      <c r="J80" s="170">
        <v>-0.89012341618537905</v>
      </c>
      <c r="K80" s="661">
        <f t="shared" si="2"/>
        <v>19.29622824412959</v>
      </c>
      <c r="L80" s="540" t="s">
        <v>195</v>
      </c>
      <c r="M80" s="171" t="s">
        <v>74</v>
      </c>
      <c r="N80" s="247"/>
      <c r="O80" s="172" t="s">
        <v>35</v>
      </c>
      <c r="P80" s="171" t="s">
        <v>91</v>
      </c>
      <c r="Q80" s="172" t="s">
        <v>553</v>
      </c>
      <c r="R80" s="175" t="s">
        <v>436</v>
      </c>
      <c r="S80" s="176"/>
    </row>
    <row r="81" spans="1:19">
      <c r="A81" s="167" t="s">
        <v>437</v>
      </c>
      <c r="B81" s="168"/>
      <c r="C81" s="168"/>
      <c r="D81" s="168"/>
      <c r="E81" s="168"/>
      <c r="F81" s="156">
        <v>18.899999999999999</v>
      </c>
      <c r="H81" s="377">
        <v>55.325714111328125</v>
      </c>
      <c r="I81" s="57">
        <v>-1.52</v>
      </c>
      <c r="J81" s="170">
        <v>-0.89012341618537905</v>
      </c>
      <c r="K81" s="661">
        <f t="shared" si="2"/>
        <v>19.05833435487526</v>
      </c>
      <c r="L81" s="540" t="s">
        <v>195</v>
      </c>
      <c r="M81" s="171" t="s">
        <v>74</v>
      </c>
      <c r="N81" s="247"/>
      <c r="O81" s="172" t="s">
        <v>35</v>
      </c>
      <c r="P81" s="171" t="s">
        <v>91</v>
      </c>
      <c r="Q81" s="172" t="s">
        <v>553</v>
      </c>
      <c r="R81" s="175" t="s">
        <v>436</v>
      </c>
      <c r="S81" s="176"/>
    </row>
    <row r="82" spans="1:19">
      <c r="A82" s="167" t="s">
        <v>437</v>
      </c>
      <c r="B82" s="168"/>
      <c r="C82" s="168"/>
      <c r="D82" s="168"/>
      <c r="E82" s="168"/>
      <c r="F82" s="156">
        <v>19.25</v>
      </c>
      <c r="H82" s="377">
        <v>55.281715393066406</v>
      </c>
      <c r="I82" s="57">
        <v>-1.94</v>
      </c>
      <c r="J82" s="170">
        <v>-0.89012341618537905</v>
      </c>
      <c r="K82" s="661">
        <f t="shared" si="2"/>
        <v>21.070629024611645</v>
      </c>
      <c r="L82" s="540" t="s">
        <v>195</v>
      </c>
      <c r="M82" s="171" t="s">
        <v>74</v>
      </c>
      <c r="N82" s="247"/>
      <c r="O82" s="172" t="s">
        <v>35</v>
      </c>
      <c r="P82" s="171" t="s">
        <v>91</v>
      </c>
      <c r="Q82" s="172" t="s">
        <v>553</v>
      </c>
      <c r="R82" s="175" t="s">
        <v>436</v>
      </c>
      <c r="S82" s="176"/>
    </row>
    <row r="83" spans="1:19">
      <c r="A83" s="167" t="s">
        <v>437</v>
      </c>
      <c r="B83" s="168"/>
      <c r="C83" s="168"/>
      <c r="D83" s="168"/>
      <c r="E83" s="168"/>
      <c r="F83" s="156">
        <v>19.55</v>
      </c>
      <c r="H83" s="377">
        <v>55.243999481201172</v>
      </c>
      <c r="I83" s="57">
        <v>-1.69</v>
      </c>
      <c r="J83" s="170">
        <v>-0.89012341618537905</v>
      </c>
      <c r="K83" s="661">
        <f t="shared" si="2"/>
        <v>19.869009578339988</v>
      </c>
      <c r="L83" s="540" t="s">
        <v>195</v>
      </c>
      <c r="M83" s="171" t="s">
        <v>74</v>
      </c>
      <c r="N83" s="247"/>
      <c r="O83" s="172" t="s">
        <v>35</v>
      </c>
      <c r="P83" s="171" t="s">
        <v>91</v>
      </c>
      <c r="Q83" s="172" t="s">
        <v>553</v>
      </c>
      <c r="R83" s="175" t="s">
        <v>436</v>
      </c>
      <c r="S83" s="176"/>
    </row>
    <row r="84" spans="1:19">
      <c r="A84" s="167" t="s">
        <v>437</v>
      </c>
      <c r="B84" s="168"/>
      <c r="C84" s="168"/>
      <c r="D84" s="168"/>
      <c r="E84" s="168"/>
      <c r="F84" s="156">
        <v>19.899999999999999</v>
      </c>
      <c r="H84" s="377">
        <v>55.200000762939453</v>
      </c>
      <c r="I84" s="57">
        <v>-1.56</v>
      </c>
      <c r="J84" s="170">
        <v>-0.89012341618537905</v>
      </c>
      <c r="K84" s="661">
        <f t="shared" si="2"/>
        <v>19.248613466278726</v>
      </c>
      <c r="L84" s="540" t="s">
        <v>195</v>
      </c>
      <c r="M84" s="171" t="s">
        <v>74</v>
      </c>
      <c r="N84" s="247"/>
      <c r="O84" s="172" t="s">
        <v>35</v>
      </c>
      <c r="P84" s="171" t="s">
        <v>91</v>
      </c>
      <c r="Q84" s="172" t="s">
        <v>553</v>
      </c>
      <c r="R84" s="175" t="s">
        <v>436</v>
      </c>
      <c r="S84" s="176"/>
    </row>
    <row r="85" spans="1:19">
      <c r="A85" s="167" t="s">
        <v>437</v>
      </c>
      <c r="B85" s="168"/>
      <c r="C85" s="168"/>
      <c r="D85" s="168"/>
      <c r="E85" s="168"/>
      <c r="F85" s="156">
        <v>20.25</v>
      </c>
      <c r="H85" s="377">
        <v>55.154705047607422</v>
      </c>
      <c r="I85" s="57">
        <v>-1.55</v>
      </c>
      <c r="J85" s="170">
        <v>-0.89012341618537905</v>
      </c>
      <c r="K85" s="661">
        <f t="shared" si="2"/>
        <v>19.20101668842786</v>
      </c>
      <c r="L85" s="540" t="s">
        <v>195</v>
      </c>
      <c r="M85" s="171" t="s">
        <v>74</v>
      </c>
      <c r="N85" s="247"/>
      <c r="O85" s="172" t="s">
        <v>35</v>
      </c>
      <c r="P85" s="171" t="s">
        <v>91</v>
      </c>
      <c r="Q85" s="172" t="s">
        <v>553</v>
      </c>
      <c r="R85" s="175" t="s">
        <v>436</v>
      </c>
      <c r="S85" s="176"/>
    </row>
    <row r="86" spans="1:19">
      <c r="A86" s="167" t="s">
        <v>437</v>
      </c>
      <c r="B86" s="168"/>
      <c r="C86" s="168"/>
      <c r="D86" s="168"/>
      <c r="E86" s="168"/>
      <c r="F86" s="156">
        <v>20.6</v>
      </c>
      <c r="H86" s="377">
        <v>55.109413146972656</v>
      </c>
      <c r="I86" s="57">
        <v>-1.64</v>
      </c>
      <c r="J86" s="170">
        <v>-0.89012341618537905</v>
      </c>
      <c r="K86" s="661">
        <f t="shared" si="2"/>
        <v>19.630035689085656</v>
      </c>
      <c r="L86" s="540" t="s">
        <v>195</v>
      </c>
      <c r="M86" s="171" t="s">
        <v>74</v>
      </c>
      <c r="N86" s="247"/>
      <c r="O86" s="172" t="s">
        <v>35</v>
      </c>
      <c r="P86" s="171" t="s">
        <v>91</v>
      </c>
      <c r="Q86" s="172" t="s">
        <v>553</v>
      </c>
      <c r="R86" s="175" t="s">
        <v>436</v>
      </c>
      <c r="S86" s="176"/>
    </row>
    <row r="87" spans="1:19">
      <c r="A87" s="167" t="s">
        <v>437</v>
      </c>
      <c r="B87" s="168"/>
      <c r="C87" s="168"/>
      <c r="D87" s="168"/>
      <c r="E87" s="168"/>
      <c r="F87" s="156">
        <v>20.95</v>
      </c>
      <c r="H87" s="377">
        <v>55.064117431640625</v>
      </c>
      <c r="I87" s="57">
        <v>-1.62</v>
      </c>
      <c r="J87" s="170">
        <v>-0.89012341618537905</v>
      </c>
      <c r="K87" s="661">
        <f t="shared" si="2"/>
        <v>19.534572133383925</v>
      </c>
      <c r="L87" s="540" t="s">
        <v>195</v>
      </c>
      <c r="M87" s="171" t="s">
        <v>74</v>
      </c>
      <c r="N87" s="247"/>
      <c r="O87" s="172" t="s">
        <v>35</v>
      </c>
      <c r="P87" s="171" t="s">
        <v>91</v>
      </c>
      <c r="Q87" s="172" t="s">
        <v>553</v>
      </c>
      <c r="R87" s="175" t="s">
        <v>436</v>
      </c>
      <c r="S87" s="176"/>
    </row>
    <row r="88" spans="1:19">
      <c r="A88" s="167" t="s">
        <v>437</v>
      </c>
      <c r="B88" s="168"/>
      <c r="C88" s="168"/>
      <c r="D88" s="168"/>
      <c r="E88" s="168"/>
      <c r="F88" s="156">
        <v>21.3</v>
      </c>
      <c r="H88" s="377">
        <v>55.018821716308594</v>
      </c>
      <c r="I88" s="57">
        <v>-1.61</v>
      </c>
      <c r="J88" s="170">
        <v>-0.89012341618537905</v>
      </c>
      <c r="K88" s="661">
        <f t="shared" si="2"/>
        <v>19.486867355533057</v>
      </c>
      <c r="L88" s="540" t="s">
        <v>195</v>
      </c>
      <c r="M88" s="171" t="s">
        <v>74</v>
      </c>
      <c r="N88" s="247"/>
      <c r="O88" s="172" t="s">
        <v>35</v>
      </c>
      <c r="P88" s="171" t="s">
        <v>91</v>
      </c>
      <c r="Q88" s="172" t="s">
        <v>553</v>
      </c>
      <c r="R88" s="175" t="s">
        <v>436</v>
      </c>
      <c r="S88" s="176"/>
    </row>
    <row r="89" spans="1:19">
      <c r="A89" s="167" t="s">
        <v>437</v>
      </c>
      <c r="B89" s="168"/>
      <c r="C89" s="168"/>
      <c r="D89" s="168"/>
      <c r="E89" s="168"/>
      <c r="F89" s="156">
        <v>21.65</v>
      </c>
      <c r="H89" s="377">
        <v>54.973529815673828</v>
      </c>
      <c r="I89" s="57">
        <v>-1.61</v>
      </c>
      <c r="J89" s="170">
        <v>-0.89012341618537905</v>
      </c>
      <c r="K89" s="661">
        <f t="shared" si="2"/>
        <v>19.486867355533057</v>
      </c>
      <c r="L89" s="540" t="s">
        <v>195</v>
      </c>
      <c r="M89" s="171" t="s">
        <v>74</v>
      </c>
      <c r="N89" s="247"/>
      <c r="O89" s="172" t="s">
        <v>35</v>
      </c>
      <c r="P89" s="171" t="s">
        <v>91</v>
      </c>
      <c r="Q89" s="172" t="s">
        <v>553</v>
      </c>
      <c r="R89" s="175" t="s">
        <v>436</v>
      </c>
      <c r="S89" s="176"/>
    </row>
    <row r="90" spans="1:19">
      <c r="A90" s="167" t="s">
        <v>437</v>
      </c>
      <c r="B90" s="168"/>
      <c r="C90" s="168"/>
      <c r="D90" s="168"/>
      <c r="E90" s="168"/>
      <c r="F90" s="156">
        <v>21.95</v>
      </c>
      <c r="H90" s="377">
        <v>54.934703826904297</v>
      </c>
      <c r="I90" s="57">
        <v>-1.7</v>
      </c>
      <c r="J90" s="170">
        <v>-0.89012341618537905</v>
      </c>
      <c r="K90" s="661">
        <f t="shared" si="2"/>
        <v>19.916858356190854</v>
      </c>
      <c r="L90" s="540" t="s">
        <v>195</v>
      </c>
      <c r="M90" s="171" t="s">
        <v>74</v>
      </c>
      <c r="N90" s="247"/>
      <c r="O90" s="172" t="s">
        <v>35</v>
      </c>
      <c r="P90" s="171" t="s">
        <v>91</v>
      </c>
      <c r="Q90" s="172" t="s">
        <v>553</v>
      </c>
      <c r="R90" s="175" t="s">
        <v>436</v>
      </c>
      <c r="S90" s="176"/>
    </row>
    <row r="91" spans="1:19">
      <c r="A91" s="167" t="s">
        <v>437</v>
      </c>
      <c r="B91" s="168"/>
      <c r="C91" s="168"/>
      <c r="D91" s="168"/>
      <c r="E91" s="168"/>
      <c r="F91" s="156">
        <v>22.3</v>
      </c>
      <c r="H91" s="377">
        <v>54.889411926269531</v>
      </c>
      <c r="I91" s="57">
        <v>-1.62</v>
      </c>
      <c r="J91" s="170">
        <v>-0.89012341618537905</v>
      </c>
      <c r="K91" s="661">
        <f t="shared" si="2"/>
        <v>19.534572133383925</v>
      </c>
      <c r="L91" s="540" t="s">
        <v>195</v>
      </c>
      <c r="M91" s="171" t="s">
        <v>74</v>
      </c>
      <c r="N91" s="247"/>
      <c r="O91" s="172" t="s">
        <v>35</v>
      </c>
      <c r="P91" s="171" t="s">
        <v>91</v>
      </c>
      <c r="Q91" s="172" t="s">
        <v>553</v>
      </c>
      <c r="R91" s="175" t="s">
        <v>436</v>
      </c>
      <c r="S91" s="176"/>
    </row>
    <row r="92" spans="1:19">
      <c r="A92" s="167" t="s">
        <v>437</v>
      </c>
      <c r="B92" s="168"/>
      <c r="C92" s="168"/>
      <c r="D92" s="168"/>
      <c r="E92" s="168"/>
      <c r="F92" s="156">
        <v>22.6</v>
      </c>
      <c r="H92" s="377">
        <v>54.850589752197266</v>
      </c>
      <c r="I92" s="57">
        <v>-1.53</v>
      </c>
      <c r="J92" s="170">
        <v>-0.89012341618537905</v>
      </c>
      <c r="K92" s="661">
        <f t="shared" si="2"/>
        <v>19.105877132726128</v>
      </c>
      <c r="L92" s="540" t="s">
        <v>195</v>
      </c>
      <c r="M92" s="171" t="s">
        <v>74</v>
      </c>
      <c r="N92" s="247"/>
      <c r="O92" s="172" t="s">
        <v>35</v>
      </c>
      <c r="P92" s="171" t="s">
        <v>91</v>
      </c>
      <c r="Q92" s="172" t="s">
        <v>553</v>
      </c>
      <c r="R92" s="175" t="s">
        <v>436</v>
      </c>
      <c r="S92" s="176"/>
    </row>
    <row r="93" spans="1:19">
      <c r="A93" s="167" t="s">
        <v>437</v>
      </c>
      <c r="B93" s="168"/>
      <c r="C93" s="168"/>
      <c r="D93" s="168"/>
      <c r="E93" s="168"/>
      <c r="F93" s="156">
        <v>22.95</v>
      </c>
      <c r="H93" s="377">
        <v>54.805294036865234</v>
      </c>
      <c r="I93" s="57">
        <v>-1.39</v>
      </c>
      <c r="J93" s="170">
        <v>-0.89012341618537905</v>
      </c>
      <c r="K93" s="661">
        <f t="shared" si="2"/>
        <v>18.441916242813996</v>
      </c>
      <c r="L93" s="540" t="s">
        <v>195</v>
      </c>
      <c r="M93" s="171" t="s">
        <v>74</v>
      </c>
      <c r="N93" s="247"/>
      <c r="O93" s="172" t="s">
        <v>35</v>
      </c>
      <c r="P93" s="171" t="s">
        <v>91</v>
      </c>
      <c r="Q93" s="172" t="s">
        <v>553</v>
      </c>
      <c r="R93" s="175" t="s">
        <v>436</v>
      </c>
      <c r="S93" s="176"/>
    </row>
    <row r="94" spans="1:19">
      <c r="A94" s="167" t="s">
        <v>437</v>
      </c>
      <c r="B94" s="168"/>
      <c r="C94" s="168"/>
      <c r="D94" s="168"/>
      <c r="E94" s="168"/>
      <c r="F94" s="156">
        <v>23.3</v>
      </c>
      <c r="H94" s="220">
        <v>54.759998321533203</v>
      </c>
      <c r="I94" s="57">
        <v>-1.75</v>
      </c>
      <c r="J94" s="170">
        <v>-0.89012341618537905</v>
      </c>
      <c r="K94" s="661">
        <f t="shared" si="2"/>
        <v>20.156372245445187</v>
      </c>
      <c r="L94" s="540" t="s">
        <v>195</v>
      </c>
      <c r="M94" s="171" t="s">
        <v>74</v>
      </c>
      <c r="N94" s="247"/>
      <c r="O94" s="172" t="s">
        <v>35</v>
      </c>
      <c r="P94" s="171" t="s">
        <v>91</v>
      </c>
      <c r="Q94" s="172" t="s">
        <v>553</v>
      </c>
      <c r="R94" s="175" t="s">
        <v>436</v>
      </c>
      <c r="S94" s="176"/>
    </row>
    <row r="95" spans="1:19">
      <c r="A95" s="167" t="s">
        <v>437</v>
      </c>
      <c r="B95" s="168"/>
      <c r="C95" s="168"/>
      <c r="D95" s="168"/>
      <c r="E95" s="168"/>
      <c r="F95" s="156">
        <v>23.6</v>
      </c>
      <c r="H95" s="220">
        <v>54.583000183105469</v>
      </c>
      <c r="I95" s="57">
        <v>-1.61</v>
      </c>
      <c r="J95" s="170">
        <v>-0.89012341618537905</v>
      </c>
      <c r="K95" s="661">
        <f t="shared" si="2"/>
        <v>19.486867355533057</v>
      </c>
      <c r="L95" s="540" t="s">
        <v>195</v>
      </c>
      <c r="M95" s="171" t="s">
        <v>74</v>
      </c>
      <c r="N95" s="247"/>
      <c r="O95" s="172" t="s">
        <v>35</v>
      </c>
      <c r="P95" s="171" t="s">
        <v>91</v>
      </c>
      <c r="Q95" s="172" t="s">
        <v>553</v>
      </c>
      <c r="R95" s="175" t="s">
        <v>436</v>
      </c>
      <c r="S95" s="176"/>
    </row>
    <row r="96" spans="1:19">
      <c r="A96" s="167" t="s">
        <v>437</v>
      </c>
      <c r="B96" s="168"/>
      <c r="C96" s="168"/>
      <c r="D96" s="168"/>
      <c r="E96" s="168"/>
      <c r="F96" s="156">
        <v>23.85</v>
      </c>
      <c r="H96" s="220">
        <v>54.435501098632813</v>
      </c>
      <c r="I96" s="57">
        <v>-1.61</v>
      </c>
      <c r="J96" s="170">
        <v>-0.89012341618537905</v>
      </c>
      <c r="K96" s="661">
        <f t="shared" si="2"/>
        <v>19.486867355533057</v>
      </c>
      <c r="L96" s="540" t="s">
        <v>195</v>
      </c>
      <c r="M96" s="171" t="s">
        <v>74</v>
      </c>
      <c r="N96" s="247"/>
      <c r="O96" s="172" t="s">
        <v>35</v>
      </c>
      <c r="P96" s="171" t="s">
        <v>91</v>
      </c>
      <c r="Q96" s="172" t="s">
        <v>553</v>
      </c>
      <c r="R96" s="175" t="s">
        <v>436</v>
      </c>
      <c r="S96" s="176"/>
    </row>
    <row r="97" spans="1:19">
      <c r="A97" s="167" t="s">
        <v>437</v>
      </c>
      <c r="B97" s="168"/>
      <c r="C97" s="168"/>
      <c r="D97" s="168"/>
      <c r="E97" s="168"/>
      <c r="F97" s="156">
        <v>24.2</v>
      </c>
      <c r="H97" s="220">
        <v>54.229000091552734</v>
      </c>
      <c r="I97" s="57">
        <v>-1.47</v>
      </c>
      <c r="J97" s="170">
        <v>-0.89012341618537905</v>
      </c>
      <c r="K97" s="661">
        <f t="shared" si="2"/>
        <v>18.820890465620931</v>
      </c>
      <c r="L97" s="540" t="s">
        <v>195</v>
      </c>
      <c r="M97" s="171" t="s">
        <v>74</v>
      </c>
      <c r="N97" s="247"/>
      <c r="O97" s="172" t="s">
        <v>35</v>
      </c>
      <c r="P97" s="171" t="s">
        <v>91</v>
      </c>
      <c r="Q97" s="172" t="s">
        <v>553</v>
      </c>
      <c r="R97" s="175" t="s">
        <v>436</v>
      </c>
      <c r="S97" s="176"/>
    </row>
    <row r="98" spans="1:19">
      <c r="A98" s="167" t="s">
        <v>437</v>
      </c>
      <c r="B98" s="168"/>
      <c r="C98" s="168"/>
      <c r="D98" s="168"/>
      <c r="E98" s="168"/>
      <c r="F98" s="156">
        <v>24.5</v>
      </c>
      <c r="H98" s="220">
        <v>54.220001220703125</v>
      </c>
      <c r="I98" s="57">
        <v>-1.7</v>
      </c>
      <c r="J98" s="170">
        <v>-0.89012341618537905</v>
      </c>
      <c r="K98" s="661">
        <f t="shared" si="2"/>
        <v>19.916858356190854</v>
      </c>
      <c r="L98" s="540" t="s">
        <v>195</v>
      </c>
      <c r="M98" s="171" t="s">
        <v>74</v>
      </c>
      <c r="N98" s="247"/>
      <c r="O98" s="172" t="s">
        <v>35</v>
      </c>
      <c r="P98" s="171" t="s">
        <v>91</v>
      </c>
      <c r="Q98" s="172" t="s">
        <v>553</v>
      </c>
      <c r="R98" s="175" t="s">
        <v>436</v>
      </c>
      <c r="S98" s="176"/>
    </row>
    <row r="99" spans="1:19">
      <c r="A99" s="167" t="s">
        <v>437</v>
      </c>
      <c r="B99" s="168"/>
      <c r="C99" s="168"/>
      <c r="D99" s="168"/>
      <c r="E99" s="168"/>
      <c r="F99" s="156">
        <v>25</v>
      </c>
      <c r="H99" s="220">
        <v>54.345001220703125</v>
      </c>
      <c r="I99" s="57">
        <v>-1.64</v>
      </c>
      <c r="J99" s="170">
        <v>-0.89012341618537905</v>
      </c>
      <c r="K99" s="661">
        <f t="shared" si="2"/>
        <v>19.630035689085656</v>
      </c>
      <c r="L99" s="540" t="s">
        <v>195</v>
      </c>
      <c r="M99" s="171" t="s">
        <v>74</v>
      </c>
      <c r="N99" s="247"/>
      <c r="O99" s="172" t="s">
        <v>35</v>
      </c>
      <c r="P99" s="171" t="s">
        <v>91</v>
      </c>
      <c r="Q99" s="172" t="s">
        <v>553</v>
      </c>
      <c r="R99" s="175" t="s">
        <v>436</v>
      </c>
      <c r="S99" s="176"/>
    </row>
    <row r="100" spans="1:19">
      <c r="A100" s="167" t="s">
        <v>437</v>
      </c>
      <c r="B100" s="536"/>
      <c r="C100" s="536"/>
      <c r="D100" s="536"/>
      <c r="E100" s="536"/>
      <c r="F100" s="156">
        <v>25.6</v>
      </c>
      <c r="H100" s="220">
        <v>54.430000305175781</v>
      </c>
      <c r="I100" s="57">
        <v>-1.62</v>
      </c>
      <c r="J100" s="170">
        <v>-0.89012341618537905</v>
      </c>
      <c r="K100" s="661">
        <f t="shared" si="2"/>
        <v>19.534572133383925</v>
      </c>
      <c r="L100" s="540" t="s">
        <v>195</v>
      </c>
      <c r="M100" s="171" t="s">
        <v>74</v>
      </c>
      <c r="N100" s="247"/>
      <c r="O100" s="172" t="s">
        <v>35</v>
      </c>
      <c r="P100" s="171" t="s">
        <v>91</v>
      </c>
      <c r="Q100" s="172" t="s">
        <v>553</v>
      </c>
      <c r="R100" s="175" t="s">
        <v>436</v>
      </c>
      <c r="S100" s="176"/>
    </row>
    <row r="101" spans="1:19">
      <c r="A101" s="167" t="s">
        <v>437</v>
      </c>
      <c r="B101" s="536"/>
      <c r="C101" s="536"/>
      <c r="D101" s="536"/>
      <c r="E101" s="536"/>
      <c r="F101" s="156">
        <v>26.2</v>
      </c>
      <c r="H101" s="220">
        <v>54.501998901367188</v>
      </c>
      <c r="I101" s="57">
        <v>-1.5</v>
      </c>
      <c r="J101" s="170">
        <v>-0.89012341618537905</v>
      </c>
      <c r="K101" s="661">
        <f t="shared" si="2"/>
        <v>18.963302799173526</v>
      </c>
      <c r="L101" s="540" t="s">
        <v>195</v>
      </c>
      <c r="M101" s="171" t="s">
        <v>74</v>
      </c>
      <c r="N101" s="247"/>
      <c r="O101" s="172" t="s">
        <v>35</v>
      </c>
      <c r="P101" s="171" t="s">
        <v>91</v>
      </c>
      <c r="Q101" s="172" t="s">
        <v>553</v>
      </c>
      <c r="R101" s="175" t="s">
        <v>436</v>
      </c>
      <c r="S101" s="176"/>
    </row>
    <row r="102" spans="1:19">
      <c r="A102" s="167" t="s">
        <v>437</v>
      </c>
      <c r="B102" s="536"/>
      <c r="C102" s="536"/>
      <c r="D102" s="536"/>
      <c r="E102" s="536"/>
      <c r="F102" s="156">
        <v>26.8</v>
      </c>
      <c r="H102" s="220">
        <v>54.574001312255859</v>
      </c>
      <c r="I102" s="57">
        <v>-1.53</v>
      </c>
      <c r="J102" s="170">
        <v>-0.89012341618537905</v>
      </c>
      <c r="K102" s="661">
        <f t="shared" si="2"/>
        <v>19.105877132726128</v>
      </c>
      <c r="L102" s="540" t="s">
        <v>195</v>
      </c>
      <c r="M102" s="171" t="s">
        <v>74</v>
      </c>
      <c r="N102" s="247"/>
      <c r="O102" s="172" t="s">
        <v>35</v>
      </c>
      <c r="P102" s="171" t="s">
        <v>91</v>
      </c>
      <c r="Q102" s="172" t="s">
        <v>553</v>
      </c>
      <c r="R102" s="175" t="s">
        <v>436</v>
      </c>
      <c r="S102" s="176"/>
    </row>
    <row r="103" spans="1:19">
      <c r="A103" s="167" t="s">
        <v>437</v>
      </c>
      <c r="B103" s="536"/>
      <c r="C103" s="536"/>
      <c r="D103" s="536"/>
      <c r="E103" s="536"/>
      <c r="F103" s="156">
        <v>27.4</v>
      </c>
      <c r="H103" s="220">
        <v>54.587223052978516</v>
      </c>
      <c r="I103" s="57">
        <v>-1.75</v>
      </c>
      <c r="J103" s="170">
        <v>-0.89012341618537905</v>
      </c>
      <c r="K103" s="661">
        <f t="shared" si="2"/>
        <v>20.156372245445187</v>
      </c>
      <c r="L103" s="540" t="s">
        <v>195</v>
      </c>
      <c r="M103" s="171" t="s">
        <v>74</v>
      </c>
      <c r="N103" s="247"/>
      <c r="O103" s="172" t="s">
        <v>35</v>
      </c>
      <c r="P103" s="171" t="s">
        <v>91</v>
      </c>
      <c r="Q103" s="172" t="s">
        <v>553</v>
      </c>
      <c r="R103" s="175" t="s">
        <v>436</v>
      </c>
      <c r="S103" s="176"/>
    </row>
    <row r="104" spans="1:19">
      <c r="A104" s="167" t="s">
        <v>437</v>
      </c>
      <c r="B104" s="536"/>
      <c r="C104" s="536"/>
      <c r="D104" s="536"/>
      <c r="E104" s="536"/>
      <c r="F104" s="156">
        <v>28</v>
      </c>
      <c r="H104" s="220">
        <v>54.541667938232422</v>
      </c>
      <c r="I104" s="57">
        <v>-1.44</v>
      </c>
      <c r="J104" s="170">
        <v>-0.89012341618537905</v>
      </c>
      <c r="K104" s="661">
        <f t="shared" si="2"/>
        <v>18.678640132068331</v>
      </c>
      <c r="L104" s="540" t="s">
        <v>195</v>
      </c>
      <c r="M104" s="171" t="s">
        <v>74</v>
      </c>
      <c r="N104" s="247"/>
      <c r="O104" s="172" t="s">
        <v>35</v>
      </c>
      <c r="P104" s="171" t="s">
        <v>91</v>
      </c>
      <c r="Q104" s="172" t="s">
        <v>553</v>
      </c>
      <c r="R104" s="175" t="s">
        <v>436</v>
      </c>
      <c r="S104" s="176"/>
    </row>
    <row r="105" spans="1:19">
      <c r="A105" s="167" t="s">
        <v>437</v>
      </c>
      <c r="B105" s="536"/>
      <c r="C105" s="536"/>
      <c r="D105" s="536"/>
      <c r="E105" s="536"/>
      <c r="F105" s="156">
        <v>28.5</v>
      </c>
      <c r="H105" s="220">
        <v>54.503704071044922</v>
      </c>
      <c r="I105" s="57">
        <v>-1.73</v>
      </c>
      <c r="J105" s="170">
        <v>-0.89012341618537905</v>
      </c>
      <c r="K105" s="661">
        <f t="shared" si="2"/>
        <v>20.060512689743451</v>
      </c>
      <c r="L105" s="540" t="s">
        <v>195</v>
      </c>
      <c r="M105" s="171" t="s">
        <v>74</v>
      </c>
      <c r="N105" s="247"/>
      <c r="O105" s="172" t="s">
        <v>35</v>
      </c>
      <c r="P105" s="171" t="s">
        <v>91</v>
      </c>
      <c r="Q105" s="172" t="s">
        <v>553</v>
      </c>
      <c r="R105" s="175" t="s">
        <v>436</v>
      </c>
      <c r="S105" s="176"/>
    </row>
    <row r="106" spans="1:19" ht="13.5" thickBot="1">
      <c r="A106" s="506"/>
      <c r="B106" s="507"/>
      <c r="C106" s="255"/>
      <c r="D106" s="255"/>
      <c r="E106" s="255"/>
      <c r="F106" s="255"/>
      <c r="G106" s="255"/>
      <c r="H106" s="255"/>
      <c r="I106" s="257"/>
      <c r="J106" s="255"/>
      <c r="K106" s="609"/>
      <c r="L106" s="255"/>
      <c r="M106" s="255"/>
      <c r="N106" s="255"/>
      <c r="O106" s="256"/>
      <c r="P106" s="255"/>
      <c r="Q106" s="256"/>
      <c r="R106" s="258"/>
      <c r="S106" s="258"/>
    </row>
    <row r="107" spans="1:19">
      <c r="A107" s="145"/>
      <c r="B107" s="145"/>
      <c r="C107" s="145"/>
      <c r="D107" s="145"/>
      <c r="E107" s="145"/>
      <c r="F107" s="144"/>
      <c r="G107" s="144"/>
      <c r="H107" s="144"/>
      <c r="I107" s="144"/>
      <c r="J107" s="145"/>
      <c r="K107" s="145"/>
      <c r="L107" s="144"/>
      <c r="M107" s="145"/>
      <c r="N107" s="145"/>
      <c r="O107" s="145"/>
      <c r="P107" s="145"/>
      <c r="Q107" s="145"/>
      <c r="R107" s="145"/>
      <c r="S107" s="145"/>
    </row>
    <row r="108" spans="1:19" ht="13.5" thickBot="1"/>
    <row r="109" spans="1:19" ht="13.5" thickBot="1">
      <c r="G109" s="760"/>
      <c r="H109" s="761" t="s">
        <v>607</v>
      </c>
      <c r="I109" s="761" t="s">
        <v>605</v>
      </c>
      <c r="J109" s="762">
        <v>0.05</v>
      </c>
      <c r="K109" s="761" t="s">
        <v>602</v>
      </c>
      <c r="L109" s="762">
        <v>0.95</v>
      </c>
      <c r="M109" s="763" t="s">
        <v>606</v>
      </c>
    </row>
    <row r="110" spans="1:19">
      <c r="G110" s="322" t="s">
        <v>21</v>
      </c>
      <c r="H110" s="244"/>
      <c r="I110" s="756"/>
      <c r="J110" s="756"/>
      <c r="K110" s="756"/>
      <c r="L110" s="756"/>
      <c r="M110" s="757"/>
    </row>
    <row r="111" spans="1:19">
      <c r="G111" s="322" t="s">
        <v>20</v>
      </c>
      <c r="H111" s="244">
        <f>COUNT(K62:K67)</f>
        <v>6</v>
      </c>
      <c r="I111" s="756">
        <f>MIN(K62:K67)</f>
        <v>19.58229491123479</v>
      </c>
      <c r="J111" s="756">
        <f>_xlfn.PERCENTILE.INC((K62:K67),0.05)</f>
        <v>19.665935772473805</v>
      </c>
      <c r="K111" s="756">
        <f>AVERAGE(K62:K67)</f>
        <v>20.213359819604531</v>
      </c>
      <c r="L111" s="756">
        <f>_xlfn.PERCENTILE.INC((K62:K67),0.95)</f>
        <v>20.986232163372627</v>
      </c>
      <c r="M111" s="757">
        <f>MAX(K62:K67)</f>
        <v>21.070629024611645</v>
      </c>
    </row>
    <row r="112" spans="1:19" ht="13.5" thickBot="1">
      <c r="G112" s="748" t="s">
        <v>601</v>
      </c>
      <c r="H112" s="327">
        <f>COUNT(K22:K47)</f>
        <v>26</v>
      </c>
      <c r="I112" s="758">
        <f>MIN(K22:K47)</f>
        <v>18.963302799173526</v>
      </c>
      <c r="J112" s="758">
        <f>_xlfn.PERCENTILE.INC((K22:K47),0.05)</f>
        <v>19.486867355533057</v>
      </c>
      <c r="K112" s="758">
        <f>AVERAGE(K22:K47)</f>
        <v>20.468305733096937</v>
      </c>
      <c r="L112" s="758">
        <f>_xlfn.PERCENTILE.INC((K22:K47),0.95)</f>
        <v>21.33650180279141</v>
      </c>
      <c r="M112" s="759">
        <f>MAX(K22:K47)</f>
        <v>22.137360137330706</v>
      </c>
    </row>
    <row r="113" spans="8:8">
      <c r="H113" s="156" t="s">
        <v>697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64"/>
  <sheetViews>
    <sheetView zoomScaleNormal="100" zoomScalePageLayoutView="150" workbookViewId="0">
      <selection activeCell="B3" sqref="B3"/>
    </sheetView>
  </sheetViews>
  <sheetFormatPr defaultColWidth="10.625" defaultRowHeight="12.75"/>
  <cols>
    <col min="1" max="1" width="15.625" style="156" customWidth="1"/>
    <col min="2" max="2" width="30" style="156" bestFit="1" customWidth="1"/>
    <col min="3" max="3" width="15.875" style="156" bestFit="1" customWidth="1"/>
    <col min="4" max="6" width="10.625" style="156"/>
    <col min="7" max="7" width="13.5" style="156" bestFit="1" customWidth="1"/>
    <col min="8" max="9" width="10.625" style="156"/>
    <col min="10" max="10" width="19.625" style="156" customWidth="1"/>
    <col min="11" max="11" width="15.625" style="156" customWidth="1"/>
    <col min="12" max="12" width="37.125" style="156" bestFit="1" customWidth="1"/>
    <col min="13" max="13" width="13" style="156" bestFit="1" customWidth="1"/>
    <col min="14" max="15" width="10.625" style="156" bestFit="1" customWidth="1"/>
    <col min="16" max="16" width="11.5" style="156" bestFit="1" customWidth="1"/>
    <col min="17" max="17" width="20.125" style="156" bestFit="1" customWidth="1"/>
    <col min="18" max="18" width="19.5" style="156" customWidth="1"/>
    <col min="19" max="19" width="51.625" style="69" bestFit="1" customWidth="1"/>
    <col min="20" max="16384" width="10.625" style="69"/>
  </cols>
  <sheetData>
    <row r="1" spans="1:21" s="11" customFormat="1" ht="15.75">
      <c r="A1" s="205" t="s">
        <v>62</v>
      </c>
      <c r="B1" s="666" t="s">
        <v>93</v>
      </c>
      <c r="C1" s="207"/>
      <c r="D1" s="20"/>
      <c r="E1" s="20"/>
      <c r="F1" s="20"/>
      <c r="G1" s="20"/>
      <c r="H1" s="20"/>
      <c r="I1" s="20"/>
      <c r="J1" s="20"/>
      <c r="K1" s="20"/>
      <c r="L1" s="20"/>
      <c r="M1" s="20"/>
      <c r="N1" s="20"/>
      <c r="O1" s="20"/>
      <c r="P1" s="20"/>
      <c r="Q1" s="20"/>
      <c r="R1" s="20"/>
      <c r="S1" s="19"/>
      <c r="T1" s="19"/>
      <c r="U1" s="19"/>
    </row>
    <row r="2" spans="1:21">
      <c r="A2" s="141" t="s">
        <v>655</v>
      </c>
      <c r="B2" s="552" t="s">
        <v>656</v>
      </c>
      <c r="C2" s="143"/>
      <c r="D2" s="144"/>
      <c r="E2" s="144"/>
      <c r="F2" s="144"/>
      <c r="G2" s="144"/>
      <c r="H2" s="144"/>
      <c r="I2" s="144"/>
      <c r="J2" s="144"/>
      <c r="K2" s="144"/>
      <c r="L2" s="144"/>
      <c r="M2" s="144"/>
      <c r="N2" s="144"/>
      <c r="O2" s="144"/>
      <c r="P2" s="144"/>
      <c r="Q2" s="144"/>
      <c r="R2" s="144"/>
      <c r="S2" s="145"/>
      <c r="T2" s="145"/>
      <c r="U2" s="145"/>
    </row>
    <row r="3" spans="1:21">
      <c r="A3" s="141" t="s">
        <v>61</v>
      </c>
      <c r="B3" s="552" t="s">
        <v>633</v>
      </c>
      <c r="C3" s="143"/>
      <c r="D3" s="144"/>
      <c r="E3" s="144"/>
      <c r="F3" s="144"/>
      <c r="G3" s="144"/>
      <c r="H3" s="144"/>
      <c r="I3" s="144"/>
      <c r="J3" s="144"/>
      <c r="K3" s="144"/>
      <c r="L3" s="144"/>
      <c r="M3" s="144"/>
      <c r="N3" s="144"/>
      <c r="O3" s="144"/>
      <c r="P3" s="144"/>
      <c r="Q3" s="144"/>
      <c r="R3" s="144"/>
      <c r="S3" s="145"/>
      <c r="T3" s="145"/>
      <c r="U3" s="145"/>
    </row>
    <row r="4" spans="1:21">
      <c r="A4" s="263" t="s">
        <v>621</v>
      </c>
      <c r="B4" s="266">
        <v>18.548999999999999</v>
      </c>
      <c r="C4" s="267"/>
      <c r="D4" s="144"/>
      <c r="E4" s="144"/>
      <c r="F4" s="144"/>
      <c r="G4" s="144"/>
      <c r="H4" s="144"/>
      <c r="I4" s="144"/>
      <c r="J4" s="144"/>
      <c r="K4" s="144"/>
      <c r="L4" s="144"/>
      <c r="M4" s="144"/>
      <c r="N4" s="144"/>
      <c r="O4" s="144"/>
      <c r="P4" s="144"/>
      <c r="Q4" s="144"/>
      <c r="R4" s="144"/>
      <c r="S4" s="145"/>
      <c r="T4" s="145"/>
      <c r="U4" s="145"/>
    </row>
    <row r="5" spans="1:21">
      <c r="A5" s="263" t="s">
        <v>622</v>
      </c>
      <c r="B5" s="266">
        <v>-179.64699999999999</v>
      </c>
      <c r="C5" s="142"/>
      <c r="D5" s="144"/>
      <c r="E5" s="144"/>
      <c r="F5" s="144"/>
      <c r="G5" s="144"/>
      <c r="H5" s="144"/>
      <c r="I5" s="144"/>
      <c r="J5" s="144"/>
      <c r="K5" s="144"/>
      <c r="L5" s="144"/>
      <c r="M5" s="144"/>
      <c r="N5" s="144"/>
      <c r="O5" s="144"/>
      <c r="P5" s="144"/>
      <c r="Q5" s="144"/>
      <c r="R5" s="144"/>
      <c r="S5" s="145"/>
      <c r="T5" s="145"/>
      <c r="U5" s="145"/>
    </row>
    <row r="6" spans="1:21">
      <c r="A6" s="498" t="s">
        <v>50</v>
      </c>
      <c r="B6" s="268">
        <v>13.663319829000001</v>
      </c>
      <c r="C6" s="143"/>
      <c r="D6" s="144"/>
      <c r="E6" s="144"/>
      <c r="F6" s="144"/>
      <c r="G6" s="144"/>
      <c r="H6" s="144"/>
      <c r="I6" s="144"/>
      <c r="J6" s="144"/>
      <c r="K6" s="144"/>
      <c r="L6" s="144"/>
      <c r="M6" s="144"/>
      <c r="N6" s="144"/>
      <c r="O6" s="144"/>
      <c r="P6" s="144"/>
      <c r="Q6" s="144"/>
      <c r="R6" s="144"/>
      <c r="S6" s="145"/>
      <c r="T6" s="145"/>
      <c r="U6" s="145"/>
    </row>
    <row r="7" spans="1:21">
      <c r="A7" s="141" t="s">
        <v>696</v>
      </c>
      <c r="B7" s="272" t="s">
        <v>737</v>
      </c>
      <c r="C7" s="552" t="s">
        <v>738</v>
      </c>
      <c r="D7" s="144"/>
      <c r="E7" s="144"/>
      <c r="F7" s="144"/>
      <c r="G7" s="144"/>
      <c r="H7" s="144"/>
      <c r="I7" s="144"/>
      <c r="J7" s="144"/>
      <c r="K7" s="144"/>
      <c r="L7" s="144"/>
      <c r="M7" s="144"/>
      <c r="N7" s="144"/>
      <c r="O7" s="144"/>
      <c r="P7" s="144"/>
      <c r="Q7" s="144"/>
      <c r="R7" s="144"/>
      <c r="S7" s="145"/>
      <c r="T7" s="145"/>
      <c r="U7" s="145"/>
    </row>
    <row r="8" spans="1:21" ht="38.25">
      <c r="A8" s="141" t="s">
        <v>63</v>
      </c>
      <c r="B8" s="153" t="s">
        <v>739</v>
      </c>
      <c r="C8" s="146" t="s">
        <v>634</v>
      </c>
      <c r="D8" s="144"/>
      <c r="E8" s="144"/>
      <c r="F8" s="144"/>
      <c r="G8" s="144"/>
      <c r="H8" s="144"/>
      <c r="I8" s="144"/>
      <c r="J8" s="144"/>
      <c r="K8" s="144"/>
      <c r="L8" s="144"/>
      <c r="M8" s="144"/>
      <c r="N8" s="144"/>
      <c r="O8" s="144"/>
      <c r="P8" s="144"/>
      <c r="Q8" s="144"/>
      <c r="R8" s="144"/>
      <c r="S8" s="145"/>
      <c r="T8" s="145"/>
      <c r="U8" s="145"/>
    </row>
    <row r="9" spans="1:21">
      <c r="A9" s="141" t="s">
        <v>64</v>
      </c>
      <c r="B9" s="146" t="s">
        <v>197</v>
      </c>
      <c r="C9" s="143"/>
      <c r="D9" s="144"/>
      <c r="E9" s="144"/>
      <c r="F9" s="144"/>
      <c r="G9" s="144"/>
      <c r="H9" s="144"/>
      <c r="I9" s="144"/>
      <c r="J9" s="144"/>
      <c r="K9" s="144"/>
      <c r="L9" s="144"/>
      <c r="M9" s="144"/>
      <c r="N9" s="144"/>
      <c r="O9" s="144"/>
      <c r="P9" s="144"/>
      <c r="Q9" s="144"/>
      <c r="R9" s="144"/>
      <c r="S9" s="145"/>
      <c r="T9" s="145"/>
      <c r="U9" s="145"/>
    </row>
    <row r="10" spans="1:21">
      <c r="A10" s="141" t="s">
        <v>65</v>
      </c>
      <c r="B10" s="152" t="s">
        <v>42</v>
      </c>
      <c r="C10" s="144"/>
      <c r="D10" s="144"/>
      <c r="E10" s="144"/>
      <c r="F10" s="144"/>
      <c r="G10" s="144"/>
      <c r="H10" s="144"/>
      <c r="I10" s="144"/>
      <c r="J10" s="144"/>
      <c r="K10" s="144"/>
      <c r="L10" s="144"/>
      <c r="M10" s="144"/>
      <c r="N10" s="144"/>
      <c r="O10" s="144"/>
      <c r="P10" s="144"/>
      <c r="Q10" s="144"/>
      <c r="R10" s="144"/>
      <c r="S10" s="145"/>
      <c r="T10" s="145"/>
      <c r="U10" s="145"/>
    </row>
    <row r="11" spans="1:21" ht="13.5" thickBot="1">
      <c r="A11" s="144"/>
      <c r="B11" s="144"/>
      <c r="C11" s="144"/>
      <c r="D11" s="144"/>
      <c r="E11" s="144"/>
      <c r="F11" s="144"/>
      <c r="G11" s="144"/>
      <c r="H11" s="144"/>
      <c r="I11" s="144"/>
      <c r="J11" s="144"/>
      <c r="K11" s="168"/>
      <c r="L11" s="144"/>
      <c r="M11" s="144"/>
      <c r="N11" s="144"/>
      <c r="O11" s="144"/>
      <c r="P11" s="144"/>
      <c r="Q11" s="144"/>
      <c r="R11" s="144"/>
      <c r="S11" s="145"/>
      <c r="T11" s="145"/>
      <c r="U11" s="145"/>
    </row>
    <row r="12" spans="1:21" ht="39" thickBot="1">
      <c r="A12" s="211" t="s">
        <v>18</v>
      </c>
      <c r="B12" s="212" t="s">
        <v>66</v>
      </c>
      <c r="C12" s="212" t="s">
        <v>67</v>
      </c>
      <c r="D12" s="212" t="s">
        <v>68</v>
      </c>
      <c r="E12" s="212" t="s">
        <v>69</v>
      </c>
      <c r="F12" s="212" t="s">
        <v>43</v>
      </c>
      <c r="G12" s="212" t="s">
        <v>31</v>
      </c>
      <c r="H12" s="235" t="s">
        <v>10</v>
      </c>
      <c r="I12" s="214" t="s">
        <v>725</v>
      </c>
      <c r="J12" s="215" t="s">
        <v>667</v>
      </c>
      <c r="K12" s="216" t="s">
        <v>659</v>
      </c>
      <c r="L12" s="217" t="s">
        <v>70</v>
      </c>
      <c r="M12" s="217" t="s">
        <v>71</v>
      </c>
      <c r="N12" s="217" t="s">
        <v>36</v>
      </c>
      <c r="O12" s="218" t="s">
        <v>34</v>
      </c>
      <c r="P12" s="217" t="s">
        <v>72</v>
      </c>
      <c r="Q12" s="218" t="s">
        <v>73</v>
      </c>
      <c r="R12" s="160" t="s">
        <v>15</v>
      </c>
      <c r="S12" s="166" t="s">
        <v>38</v>
      </c>
      <c r="T12" s="145"/>
      <c r="U12" s="145"/>
    </row>
    <row r="13" spans="1:21">
      <c r="A13" s="236"/>
      <c r="B13" s="237"/>
      <c r="C13" s="237"/>
      <c r="D13" s="237"/>
      <c r="E13" s="237"/>
      <c r="F13" s="237"/>
      <c r="G13" s="237"/>
      <c r="H13" s="238"/>
      <c r="I13" s="554"/>
      <c r="J13" s="500"/>
      <c r="K13" s="578"/>
      <c r="L13" s="241"/>
      <c r="M13" s="241"/>
      <c r="N13" s="241"/>
      <c r="O13" s="242"/>
      <c r="P13" s="240"/>
      <c r="Q13" s="242"/>
      <c r="R13" s="500"/>
      <c r="S13" s="176"/>
      <c r="T13" s="145"/>
      <c r="U13" s="145"/>
    </row>
    <row r="14" spans="1:21">
      <c r="A14" s="167">
        <v>865</v>
      </c>
      <c r="B14" s="196" t="s">
        <v>98</v>
      </c>
      <c r="C14" s="196">
        <v>12</v>
      </c>
      <c r="D14" s="196">
        <v>4</v>
      </c>
      <c r="E14" s="555" t="s">
        <v>358</v>
      </c>
      <c r="F14" s="53">
        <v>102.86</v>
      </c>
      <c r="G14" s="400" t="s">
        <v>587</v>
      </c>
      <c r="H14" s="526">
        <v>55.953598022460938</v>
      </c>
      <c r="I14" s="243">
        <v>-1.63</v>
      </c>
      <c r="J14" s="449">
        <v>-0.89</v>
      </c>
      <c r="K14" s="66">
        <f t="shared" ref="K14" si="0">16.1-4.64*($I14-J14)+0.09*($I14-J14)^2</f>
        <v>19.582884</v>
      </c>
      <c r="L14" s="481" t="s">
        <v>96</v>
      </c>
      <c r="M14" s="317" t="s">
        <v>85</v>
      </c>
      <c r="N14" s="317" t="s">
        <v>95</v>
      </c>
      <c r="O14" s="307" t="s">
        <v>35</v>
      </c>
      <c r="P14" s="314" t="s">
        <v>91</v>
      </c>
      <c r="Q14" s="501" t="s">
        <v>435</v>
      </c>
      <c r="R14" s="315" t="s">
        <v>94</v>
      </c>
      <c r="S14" s="380"/>
      <c r="T14" s="145"/>
      <c r="U14" s="145"/>
    </row>
    <row r="15" spans="1:21">
      <c r="A15" s="167">
        <v>865</v>
      </c>
      <c r="B15" s="196" t="s">
        <v>98</v>
      </c>
      <c r="C15" s="196">
        <v>12</v>
      </c>
      <c r="D15" s="196">
        <v>4</v>
      </c>
      <c r="E15" s="555" t="s">
        <v>358</v>
      </c>
      <c r="F15" s="53">
        <v>102.86</v>
      </c>
      <c r="G15" s="400" t="s">
        <v>587</v>
      </c>
      <c r="H15" s="526">
        <v>55.953598022460938</v>
      </c>
      <c r="I15" s="243">
        <v>-1.71</v>
      </c>
      <c r="J15" s="449">
        <v>-0.89</v>
      </c>
      <c r="K15" s="66">
        <f t="shared" ref="K15:K76" si="1">16.1-4.64*($I15-J15)+0.09*($I15-J15)^2</f>
        <v>19.965316000000001</v>
      </c>
      <c r="L15" s="481" t="s">
        <v>96</v>
      </c>
      <c r="M15" s="317" t="s">
        <v>85</v>
      </c>
      <c r="N15" s="317" t="s">
        <v>95</v>
      </c>
      <c r="O15" s="307" t="s">
        <v>35</v>
      </c>
      <c r="P15" s="314" t="s">
        <v>91</v>
      </c>
      <c r="Q15" s="501" t="s">
        <v>435</v>
      </c>
      <c r="R15" s="315" t="s">
        <v>94</v>
      </c>
      <c r="S15" s="176"/>
      <c r="T15" s="145"/>
      <c r="U15" s="145"/>
    </row>
    <row r="16" spans="1:21">
      <c r="A16" s="167">
        <v>865</v>
      </c>
      <c r="B16" s="196" t="s">
        <v>98</v>
      </c>
      <c r="C16" s="196">
        <v>12</v>
      </c>
      <c r="D16" s="196">
        <v>4</v>
      </c>
      <c r="E16" s="555" t="s">
        <v>358</v>
      </c>
      <c r="F16" s="53">
        <v>102.86</v>
      </c>
      <c r="G16" s="400" t="s">
        <v>587</v>
      </c>
      <c r="H16" s="526">
        <v>55.953598022460938</v>
      </c>
      <c r="I16" s="243">
        <v>-1.31</v>
      </c>
      <c r="J16" s="449">
        <v>-0.89</v>
      </c>
      <c r="K16" s="66">
        <f t="shared" si="1"/>
        <v>18.064675999999999</v>
      </c>
      <c r="L16" s="481" t="s">
        <v>96</v>
      </c>
      <c r="M16" s="317" t="s">
        <v>85</v>
      </c>
      <c r="N16" s="317" t="s">
        <v>95</v>
      </c>
      <c r="O16" s="307" t="s">
        <v>35</v>
      </c>
      <c r="P16" s="314" t="s">
        <v>91</v>
      </c>
      <c r="Q16" s="501" t="s">
        <v>435</v>
      </c>
      <c r="R16" s="315" t="s">
        <v>94</v>
      </c>
      <c r="S16" s="176"/>
      <c r="T16" s="145"/>
      <c r="U16" s="145"/>
    </row>
    <row r="17" spans="1:21">
      <c r="A17" s="167">
        <v>865</v>
      </c>
      <c r="B17" s="196" t="s">
        <v>98</v>
      </c>
      <c r="C17" s="196">
        <v>12</v>
      </c>
      <c r="D17" s="196">
        <v>4</v>
      </c>
      <c r="E17" s="555" t="s">
        <v>358</v>
      </c>
      <c r="F17" s="53">
        <v>102.86</v>
      </c>
      <c r="G17" s="400" t="s">
        <v>587</v>
      </c>
      <c r="H17" s="526">
        <v>55.953598022460938</v>
      </c>
      <c r="I17" s="243">
        <v>-1.54</v>
      </c>
      <c r="J17" s="449">
        <v>-0.89</v>
      </c>
      <c r="K17" s="66">
        <f t="shared" si="1"/>
        <v>19.154025000000001</v>
      </c>
      <c r="L17" s="481" t="s">
        <v>96</v>
      </c>
      <c r="M17" s="317" t="s">
        <v>85</v>
      </c>
      <c r="N17" s="317" t="s">
        <v>95</v>
      </c>
      <c r="O17" s="307" t="s">
        <v>35</v>
      </c>
      <c r="P17" s="314" t="s">
        <v>91</v>
      </c>
      <c r="Q17" s="501" t="s">
        <v>435</v>
      </c>
      <c r="R17" s="315" t="s">
        <v>94</v>
      </c>
      <c r="S17" s="176"/>
      <c r="T17" s="145"/>
      <c r="U17" s="145"/>
    </row>
    <row r="18" spans="1:21">
      <c r="A18" s="167">
        <v>865</v>
      </c>
      <c r="B18" s="196" t="s">
        <v>98</v>
      </c>
      <c r="C18" s="196">
        <v>12</v>
      </c>
      <c r="D18" s="196">
        <v>4</v>
      </c>
      <c r="E18" s="555" t="s">
        <v>358</v>
      </c>
      <c r="F18" s="53">
        <v>102.86</v>
      </c>
      <c r="G18" s="400" t="s">
        <v>587</v>
      </c>
      <c r="H18" s="526">
        <v>55.953598022460938</v>
      </c>
      <c r="I18" s="243">
        <v>-1.47</v>
      </c>
      <c r="J18" s="449">
        <v>-0.89</v>
      </c>
      <c r="K18" s="66">
        <f t="shared" si="1"/>
        <v>18.821476000000001</v>
      </c>
      <c r="L18" s="481" t="s">
        <v>96</v>
      </c>
      <c r="M18" s="317" t="s">
        <v>85</v>
      </c>
      <c r="N18" s="317" t="s">
        <v>95</v>
      </c>
      <c r="O18" s="307" t="s">
        <v>35</v>
      </c>
      <c r="P18" s="314" t="s">
        <v>91</v>
      </c>
      <c r="Q18" s="501" t="s">
        <v>435</v>
      </c>
      <c r="R18" s="315" t="s">
        <v>94</v>
      </c>
      <c r="S18" s="176"/>
      <c r="T18" s="145"/>
      <c r="U18" s="145"/>
    </row>
    <row r="19" spans="1:21">
      <c r="A19" s="167">
        <v>865</v>
      </c>
      <c r="B19" s="196" t="s">
        <v>98</v>
      </c>
      <c r="C19" s="196">
        <v>12</v>
      </c>
      <c r="D19" s="196">
        <v>4</v>
      </c>
      <c r="E19" s="555" t="s">
        <v>360</v>
      </c>
      <c r="F19" s="53">
        <v>102.9</v>
      </c>
      <c r="G19" s="400" t="s">
        <v>587</v>
      </c>
      <c r="H19" s="526">
        <v>55.959999084472656</v>
      </c>
      <c r="I19" s="243">
        <v>-2.52</v>
      </c>
      <c r="J19" s="449">
        <v>-0.89</v>
      </c>
      <c r="K19" s="66">
        <f t="shared" si="1"/>
        <v>23.902321000000001</v>
      </c>
      <c r="L19" s="481" t="s">
        <v>96</v>
      </c>
      <c r="M19" s="317" t="s">
        <v>85</v>
      </c>
      <c r="N19" s="317" t="s">
        <v>95</v>
      </c>
      <c r="O19" s="307" t="s">
        <v>35</v>
      </c>
      <c r="P19" s="314" t="s">
        <v>91</v>
      </c>
      <c r="Q19" s="501" t="s">
        <v>435</v>
      </c>
      <c r="R19" s="315" t="s">
        <v>94</v>
      </c>
      <c r="S19" s="176"/>
      <c r="T19" s="145"/>
      <c r="U19" s="145"/>
    </row>
    <row r="20" spans="1:21">
      <c r="A20" s="167">
        <v>865</v>
      </c>
      <c r="B20" s="196" t="s">
        <v>98</v>
      </c>
      <c r="C20" s="196">
        <v>12</v>
      </c>
      <c r="D20" s="196">
        <v>4</v>
      </c>
      <c r="E20" s="555" t="s">
        <v>360</v>
      </c>
      <c r="F20" s="53">
        <v>102.9</v>
      </c>
      <c r="G20" s="400" t="s">
        <v>587</v>
      </c>
      <c r="H20" s="526">
        <v>55.959999084472656</v>
      </c>
      <c r="I20" s="243">
        <v>-1.96</v>
      </c>
      <c r="J20" s="449">
        <v>-0.89</v>
      </c>
      <c r="K20" s="66">
        <f t="shared" si="1"/>
        <v>21.167840999999999</v>
      </c>
      <c r="L20" s="481" t="s">
        <v>96</v>
      </c>
      <c r="M20" s="317" t="s">
        <v>85</v>
      </c>
      <c r="N20" s="317" t="s">
        <v>95</v>
      </c>
      <c r="O20" s="307" t="s">
        <v>35</v>
      </c>
      <c r="P20" s="314" t="s">
        <v>91</v>
      </c>
      <c r="Q20" s="501" t="s">
        <v>435</v>
      </c>
      <c r="R20" s="315" t="s">
        <v>94</v>
      </c>
      <c r="S20" s="176"/>
      <c r="T20" s="145"/>
      <c r="U20" s="145"/>
    </row>
    <row r="21" spans="1:21">
      <c r="A21" s="167">
        <v>865</v>
      </c>
      <c r="B21" s="196" t="s">
        <v>98</v>
      </c>
      <c r="C21" s="196">
        <v>12</v>
      </c>
      <c r="D21" s="196">
        <v>4</v>
      </c>
      <c r="E21" s="555" t="s">
        <v>360</v>
      </c>
      <c r="F21" s="53">
        <v>102.9</v>
      </c>
      <c r="G21" s="400" t="s">
        <v>587</v>
      </c>
      <c r="H21" s="526">
        <v>55.959999084472656</v>
      </c>
      <c r="I21" s="243">
        <v>-1.88</v>
      </c>
      <c r="J21" s="449">
        <v>-0.89</v>
      </c>
      <c r="K21" s="66">
        <f t="shared" si="1"/>
        <v>20.781808999999999</v>
      </c>
      <c r="L21" s="481" t="s">
        <v>96</v>
      </c>
      <c r="M21" s="317" t="s">
        <v>85</v>
      </c>
      <c r="N21" s="317" t="s">
        <v>95</v>
      </c>
      <c r="O21" s="307" t="s">
        <v>35</v>
      </c>
      <c r="P21" s="314" t="s">
        <v>91</v>
      </c>
      <c r="Q21" s="501" t="s">
        <v>435</v>
      </c>
      <c r="R21" s="315" t="s">
        <v>94</v>
      </c>
      <c r="S21" s="176"/>
      <c r="T21" s="145"/>
      <c r="U21" s="145"/>
    </row>
    <row r="22" spans="1:21">
      <c r="A22" s="167">
        <v>865</v>
      </c>
      <c r="B22" s="196" t="s">
        <v>98</v>
      </c>
      <c r="C22" s="196">
        <v>12</v>
      </c>
      <c r="D22" s="196">
        <v>4</v>
      </c>
      <c r="E22" s="555" t="s">
        <v>360</v>
      </c>
      <c r="F22" s="53">
        <v>102.9</v>
      </c>
      <c r="G22" s="400" t="s">
        <v>587</v>
      </c>
      <c r="H22" s="526">
        <v>55.959999084472656</v>
      </c>
      <c r="I22" s="243">
        <v>-1.86</v>
      </c>
      <c r="J22" s="449">
        <v>-0.89</v>
      </c>
      <c r="K22" s="66">
        <f t="shared" si="1"/>
        <v>20.685480999999999</v>
      </c>
      <c r="L22" s="481" t="s">
        <v>96</v>
      </c>
      <c r="M22" s="317" t="s">
        <v>85</v>
      </c>
      <c r="N22" s="317" t="s">
        <v>95</v>
      </c>
      <c r="O22" s="307" t="s">
        <v>35</v>
      </c>
      <c r="P22" s="314" t="s">
        <v>91</v>
      </c>
      <c r="Q22" s="501" t="s">
        <v>435</v>
      </c>
      <c r="R22" s="315" t="s">
        <v>94</v>
      </c>
      <c r="S22" s="176"/>
      <c r="T22" s="145"/>
      <c r="U22" s="145"/>
    </row>
    <row r="23" spans="1:21">
      <c r="A23" s="167">
        <v>865</v>
      </c>
      <c r="B23" s="196" t="s">
        <v>98</v>
      </c>
      <c r="C23" s="196">
        <v>12</v>
      </c>
      <c r="D23" s="196">
        <v>4</v>
      </c>
      <c r="E23" s="196" t="s">
        <v>584</v>
      </c>
      <c r="F23" s="196">
        <v>102.94</v>
      </c>
      <c r="G23" s="196"/>
      <c r="H23" s="526">
        <v>55.964912414550781</v>
      </c>
      <c r="I23" s="243">
        <v>-1.48</v>
      </c>
      <c r="J23" s="449">
        <v>-0.89</v>
      </c>
      <c r="K23" s="789">
        <f t="shared" si="1"/>
        <v>18.868929000000001</v>
      </c>
      <c r="L23" s="481" t="s">
        <v>96</v>
      </c>
      <c r="M23" s="317" t="s">
        <v>85</v>
      </c>
      <c r="N23" s="317" t="s">
        <v>95</v>
      </c>
      <c r="O23" s="307" t="s">
        <v>35</v>
      </c>
      <c r="P23" s="314" t="s">
        <v>91</v>
      </c>
      <c r="Q23" s="501" t="s">
        <v>435</v>
      </c>
      <c r="R23" s="315" t="s">
        <v>94</v>
      </c>
      <c r="S23" s="176"/>
      <c r="T23" s="145"/>
      <c r="U23" s="145"/>
    </row>
    <row r="24" spans="1:21">
      <c r="A24" s="167">
        <v>865</v>
      </c>
      <c r="B24" s="196" t="s">
        <v>98</v>
      </c>
      <c r="C24" s="196">
        <v>12</v>
      </c>
      <c r="D24" s="196">
        <v>4</v>
      </c>
      <c r="E24" s="196" t="s">
        <v>584</v>
      </c>
      <c r="F24" s="196">
        <v>102.94</v>
      </c>
      <c r="G24" s="196"/>
      <c r="H24" s="526">
        <v>55.964912414550781</v>
      </c>
      <c r="I24" s="243">
        <v>-1.66</v>
      </c>
      <c r="J24" s="449">
        <v>-0.89</v>
      </c>
      <c r="K24" s="789">
        <f t="shared" si="1"/>
        <v>19.726161000000001</v>
      </c>
      <c r="L24" s="481" t="s">
        <v>96</v>
      </c>
      <c r="M24" s="317" t="s">
        <v>85</v>
      </c>
      <c r="N24" s="317" t="s">
        <v>95</v>
      </c>
      <c r="O24" s="307" t="s">
        <v>35</v>
      </c>
      <c r="P24" s="314" t="s">
        <v>91</v>
      </c>
      <c r="Q24" s="501" t="s">
        <v>435</v>
      </c>
      <c r="R24" s="315" t="s">
        <v>94</v>
      </c>
      <c r="S24" s="176"/>
      <c r="T24" s="145"/>
      <c r="U24" s="145"/>
    </row>
    <row r="25" spans="1:21">
      <c r="A25" s="167">
        <v>865</v>
      </c>
      <c r="B25" s="196" t="s">
        <v>98</v>
      </c>
      <c r="C25" s="196">
        <v>12</v>
      </c>
      <c r="D25" s="196">
        <v>4</v>
      </c>
      <c r="E25" s="196" t="s">
        <v>584</v>
      </c>
      <c r="F25" s="196">
        <v>102.94</v>
      </c>
      <c r="G25" s="196"/>
      <c r="H25" s="526">
        <v>55.964912414550781</v>
      </c>
      <c r="I25" s="243">
        <v>-1.4</v>
      </c>
      <c r="J25" s="449">
        <v>-0.89</v>
      </c>
      <c r="K25" s="789">
        <f t="shared" si="1"/>
        <v>18.489809000000001</v>
      </c>
      <c r="L25" s="481" t="s">
        <v>96</v>
      </c>
      <c r="M25" s="317" t="s">
        <v>85</v>
      </c>
      <c r="N25" s="317" t="s">
        <v>95</v>
      </c>
      <c r="O25" s="307" t="s">
        <v>35</v>
      </c>
      <c r="P25" s="314" t="s">
        <v>91</v>
      </c>
      <c r="Q25" s="501" t="s">
        <v>435</v>
      </c>
      <c r="R25" s="315" t="s">
        <v>94</v>
      </c>
      <c r="S25" s="176"/>
      <c r="T25" s="145"/>
      <c r="U25" s="145"/>
    </row>
    <row r="26" spans="1:21">
      <c r="A26" s="167">
        <v>865</v>
      </c>
      <c r="B26" s="196" t="s">
        <v>98</v>
      </c>
      <c r="C26" s="196">
        <v>12</v>
      </c>
      <c r="D26" s="196">
        <v>4</v>
      </c>
      <c r="E26" s="196" t="s">
        <v>584</v>
      </c>
      <c r="F26" s="196">
        <v>102.94</v>
      </c>
      <c r="G26" s="196"/>
      <c r="H26" s="526">
        <v>55.964912414550781</v>
      </c>
      <c r="I26" s="243">
        <v>-1.5</v>
      </c>
      <c r="J26" s="449">
        <v>-0.89</v>
      </c>
      <c r="K26" s="789">
        <f t="shared" si="1"/>
        <v>18.963889000000002</v>
      </c>
      <c r="L26" s="481" t="s">
        <v>96</v>
      </c>
      <c r="M26" s="317" t="s">
        <v>85</v>
      </c>
      <c r="N26" s="317" t="s">
        <v>95</v>
      </c>
      <c r="O26" s="307" t="s">
        <v>35</v>
      </c>
      <c r="P26" s="314" t="s">
        <v>91</v>
      </c>
      <c r="Q26" s="501" t="s">
        <v>435</v>
      </c>
      <c r="R26" s="315" t="s">
        <v>94</v>
      </c>
      <c r="S26" s="176"/>
      <c r="T26" s="145"/>
      <c r="U26" s="145"/>
    </row>
    <row r="27" spans="1:21">
      <c r="A27" s="167">
        <v>865</v>
      </c>
      <c r="B27" s="196" t="s">
        <v>98</v>
      </c>
      <c r="C27" s="196">
        <v>12</v>
      </c>
      <c r="D27" s="196">
        <v>4</v>
      </c>
      <c r="E27" s="196" t="s">
        <v>584</v>
      </c>
      <c r="F27" s="196">
        <v>102.94</v>
      </c>
      <c r="G27" s="196"/>
      <c r="H27" s="526">
        <v>55.964912414550781</v>
      </c>
      <c r="I27" s="243">
        <v>-2.25</v>
      </c>
      <c r="J27" s="449">
        <v>-0.89</v>
      </c>
      <c r="K27" s="789">
        <f t="shared" si="1"/>
        <v>22.576864</v>
      </c>
      <c r="L27" s="481" t="s">
        <v>96</v>
      </c>
      <c r="M27" s="317" t="s">
        <v>85</v>
      </c>
      <c r="N27" s="317" t="s">
        <v>95</v>
      </c>
      <c r="O27" s="307" t="s">
        <v>35</v>
      </c>
      <c r="P27" s="314" t="s">
        <v>91</v>
      </c>
      <c r="Q27" s="501" t="s">
        <v>435</v>
      </c>
      <c r="R27" s="315" t="s">
        <v>94</v>
      </c>
      <c r="S27" s="176"/>
      <c r="T27" s="145"/>
      <c r="U27" s="145"/>
    </row>
    <row r="28" spans="1:21">
      <c r="A28" s="167">
        <v>865</v>
      </c>
      <c r="B28" s="196" t="s">
        <v>98</v>
      </c>
      <c r="C28" s="196">
        <v>12</v>
      </c>
      <c r="D28" s="196">
        <v>4</v>
      </c>
      <c r="E28" s="196" t="s">
        <v>584</v>
      </c>
      <c r="F28" s="196">
        <v>102.94</v>
      </c>
      <c r="G28" s="196"/>
      <c r="H28" s="526">
        <v>55.964912414550781</v>
      </c>
      <c r="I28" s="243">
        <v>-1.97</v>
      </c>
      <c r="J28" s="449">
        <v>-0.89</v>
      </c>
      <c r="K28" s="789">
        <f t="shared" si="1"/>
        <v>21.216176000000001</v>
      </c>
      <c r="L28" s="481" t="s">
        <v>96</v>
      </c>
      <c r="M28" s="317" t="s">
        <v>85</v>
      </c>
      <c r="N28" s="317" t="s">
        <v>95</v>
      </c>
      <c r="O28" s="307" t="s">
        <v>35</v>
      </c>
      <c r="P28" s="314" t="s">
        <v>91</v>
      </c>
      <c r="Q28" s="501" t="s">
        <v>435</v>
      </c>
      <c r="R28" s="315" t="s">
        <v>94</v>
      </c>
      <c r="S28" s="176"/>
      <c r="T28" s="145"/>
      <c r="U28" s="145"/>
    </row>
    <row r="29" spans="1:21">
      <c r="A29" s="167">
        <v>865</v>
      </c>
      <c r="B29" s="196" t="s">
        <v>98</v>
      </c>
      <c r="C29" s="196">
        <v>12</v>
      </c>
      <c r="D29" s="196">
        <v>4</v>
      </c>
      <c r="E29" s="196" t="s">
        <v>584</v>
      </c>
      <c r="F29" s="196">
        <v>102.94</v>
      </c>
      <c r="G29" s="196"/>
      <c r="H29" s="526">
        <v>55.964912414550781</v>
      </c>
      <c r="I29" s="243">
        <v>-1.2</v>
      </c>
      <c r="J29" s="449">
        <v>-0.89</v>
      </c>
      <c r="K29" s="789">
        <f t="shared" si="1"/>
        <v>17.547049000000001</v>
      </c>
      <c r="L29" s="481" t="s">
        <v>96</v>
      </c>
      <c r="M29" s="317" t="s">
        <v>85</v>
      </c>
      <c r="N29" s="317" t="s">
        <v>95</v>
      </c>
      <c r="O29" s="307" t="s">
        <v>35</v>
      </c>
      <c r="P29" s="314" t="s">
        <v>91</v>
      </c>
      <c r="Q29" s="501" t="s">
        <v>435</v>
      </c>
      <c r="R29" s="315" t="s">
        <v>94</v>
      </c>
      <c r="S29" s="176"/>
      <c r="T29" s="145"/>
      <c r="U29" s="145"/>
    </row>
    <row r="30" spans="1:21">
      <c r="A30" s="167">
        <v>865</v>
      </c>
      <c r="B30" s="196" t="s">
        <v>98</v>
      </c>
      <c r="C30" s="196">
        <v>12</v>
      </c>
      <c r="D30" s="196">
        <v>4</v>
      </c>
      <c r="E30" s="196" t="s">
        <v>102</v>
      </c>
      <c r="F30" s="196">
        <v>102.96</v>
      </c>
      <c r="G30" s="196"/>
      <c r="H30" s="526">
        <v>55.967369079589844</v>
      </c>
      <c r="I30" s="243">
        <v>-2.04</v>
      </c>
      <c r="J30" s="449">
        <v>-0.89</v>
      </c>
      <c r="K30" s="789">
        <f t="shared" si="1"/>
        <v>21.555025000000001</v>
      </c>
      <c r="L30" s="481" t="s">
        <v>96</v>
      </c>
      <c r="M30" s="317" t="s">
        <v>85</v>
      </c>
      <c r="N30" s="317" t="s">
        <v>95</v>
      </c>
      <c r="O30" s="307" t="s">
        <v>35</v>
      </c>
      <c r="P30" s="314" t="s">
        <v>91</v>
      </c>
      <c r="Q30" s="501" t="s">
        <v>435</v>
      </c>
      <c r="R30" s="315" t="s">
        <v>94</v>
      </c>
      <c r="S30" s="176"/>
      <c r="T30" s="145"/>
      <c r="U30" s="145"/>
    </row>
    <row r="31" spans="1:21">
      <c r="A31" s="167">
        <v>865</v>
      </c>
      <c r="B31" s="196" t="s">
        <v>98</v>
      </c>
      <c r="C31" s="196">
        <v>12</v>
      </c>
      <c r="D31" s="196">
        <v>4</v>
      </c>
      <c r="E31" s="196" t="s">
        <v>102</v>
      </c>
      <c r="F31" s="196">
        <v>102.96</v>
      </c>
      <c r="G31" s="196"/>
      <c r="H31" s="526">
        <v>55.967369079589844</v>
      </c>
      <c r="I31" s="243">
        <v>-1.85</v>
      </c>
      <c r="J31" s="449">
        <v>-0.89</v>
      </c>
      <c r="K31" s="789">
        <f t="shared" si="1"/>
        <v>20.637344000000002</v>
      </c>
      <c r="L31" s="481" t="s">
        <v>96</v>
      </c>
      <c r="M31" s="317" t="s">
        <v>85</v>
      </c>
      <c r="N31" s="317" t="s">
        <v>95</v>
      </c>
      <c r="O31" s="307" t="s">
        <v>35</v>
      </c>
      <c r="P31" s="314" t="s">
        <v>91</v>
      </c>
      <c r="Q31" s="501" t="s">
        <v>435</v>
      </c>
      <c r="R31" s="315" t="s">
        <v>94</v>
      </c>
      <c r="S31" s="176"/>
      <c r="T31" s="145"/>
      <c r="U31" s="145"/>
    </row>
    <row r="32" spans="1:21">
      <c r="A32" s="167">
        <v>865</v>
      </c>
      <c r="B32" s="196" t="s">
        <v>98</v>
      </c>
      <c r="C32" s="196">
        <v>12</v>
      </c>
      <c r="D32" s="196">
        <v>4</v>
      </c>
      <c r="E32" s="196" t="s">
        <v>102</v>
      </c>
      <c r="F32" s="196">
        <v>102.96</v>
      </c>
      <c r="G32" s="196"/>
      <c r="H32" s="526">
        <v>55.967369079589844</v>
      </c>
      <c r="I32" s="243">
        <v>-1.59</v>
      </c>
      <c r="J32" s="449">
        <v>-0.89</v>
      </c>
      <c r="K32" s="789">
        <f t="shared" si="1"/>
        <v>19.392100000000003</v>
      </c>
      <c r="L32" s="481" t="s">
        <v>96</v>
      </c>
      <c r="M32" s="317" t="s">
        <v>85</v>
      </c>
      <c r="N32" s="317" t="s">
        <v>95</v>
      </c>
      <c r="O32" s="307" t="s">
        <v>35</v>
      </c>
      <c r="P32" s="314" t="s">
        <v>91</v>
      </c>
      <c r="Q32" s="501" t="s">
        <v>435</v>
      </c>
      <c r="R32" s="315" t="s">
        <v>94</v>
      </c>
      <c r="S32" s="176"/>
      <c r="T32" s="145"/>
      <c r="U32" s="145"/>
    </row>
    <row r="33" spans="1:21">
      <c r="A33" s="167">
        <v>865</v>
      </c>
      <c r="B33" s="196" t="s">
        <v>98</v>
      </c>
      <c r="C33" s="196">
        <v>12</v>
      </c>
      <c r="D33" s="196">
        <v>4</v>
      </c>
      <c r="E33" s="196" t="s">
        <v>102</v>
      </c>
      <c r="F33" s="196">
        <v>102.96</v>
      </c>
      <c r="G33" s="196"/>
      <c r="H33" s="526">
        <v>55.967369079589844</v>
      </c>
      <c r="I33" s="243">
        <v>-1.81</v>
      </c>
      <c r="J33" s="449">
        <v>-0.89</v>
      </c>
      <c r="K33" s="789">
        <f t="shared" si="1"/>
        <v>20.444976</v>
      </c>
      <c r="L33" s="481" t="s">
        <v>96</v>
      </c>
      <c r="M33" s="317" t="s">
        <v>85</v>
      </c>
      <c r="N33" s="317" t="s">
        <v>95</v>
      </c>
      <c r="O33" s="307" t="s">
        <v>35</v>
      </c>
      <c r="P33" s="314" t="s">
        <v>91</v>
      </c>
      <c r="Q33" s="501" t="s">
        <v>435</v>
      </c>
      <c r="R33" s="315" t="s">
        <v>94</v>
      </c>
      <c r="S33" s="176"/>
      <c r="T33" s="145"/>
      <c r="U33" s="145"/>
    </row>
    <row r="34" spans="1:21">
      <c r="A34" s="167">
        <v>865</v>
      </c>
      <c r="B34" s="196" t="s">
        <v>98</v>
      </c>
      <c r="C34" s="196">
        <v>12</v>
      </c>
      <c r="D34" s="196">
        <v>4</v>
      </c>
      <c r="E34" s="196" t="s">
        <v>102</v>
      </c>
      <c r="F34" s="196">
        <v>102.96</v>
      </c>
      <c r="G34" s="196"/>
      <c r="H34" s="526">
        <v>55.967369079589844</v>
      </c>
      <c r="I34" s="243">
        <v>-2.0099999999999998</v>
      </c>
      <c r="J34" s="449">
        <v>-0.89</v>
      </c>
      <c r="K34" s="789">
        <f t="shared" si="1"/>
        <v>21.409695999999997</v>
      </c>
      <c r="L34" s="481" t="s">
        <v>96</v>
      </c>
      <c r="M34" s="317" t="s">
        <v>85</v>
      </c>
      <c r="N34" s="317" t="s">
        <v>95</v>
      </c>
      <c r="O34" s="307" t="s">
        <v>35</v>
      </c>
      <c r="P34" s="314" t="s">
        <v>91</v>
      </c>
      <c r="Q34" s="501" t="s">
        <v>435</v>
      </c>
      <c r="R34" s="315" t="s">
        <v>94</v>
      </c>
      <c r="S34" s="176"/>
      <c r="T34" s="145"/>
      <c r="U34" s="145"/>
    </row>
    <row r="35" spans="1:21">
      <c r="A35" s="167">
        <v>865</v>
      </c>
      <c r="B35" s="196" t="s">
        <v>98</v>
      </c>
      <c r="C35" s="196">
        <v>12</v>
      </c>
      <c r="D35" s="196">
        <v>4</v>
      </c>
      <c r="E35" s="196" t="s">
        <v>102</v>
      </c>
      <c r="F35" s="196">
        <v>102.96</v>
      </c>
      <c r="G35" s="196"/>
      <c r="H35" s="526">
        <v>55.967369079589844</v>
      </c>
      <c r="I35" s="243">
        <v>-1.66</v>
      </c>
      <c r="J35" s="449">
        <v>-0.89</v>
      </c>
      <c r="K35" s="789">
        <f t="shared" si="1"/>
        <v>19.726161000000001</v>
      </c>
      <c r="L35" s="481" t="s">
        <v>96</v>
      </c>
      <c r="M35" s="317" t="s">
        <v>85</v>
      </c>
      <c r="N35" s="317" t="s">
        <v>95</v>
      </c>
      <c r="O35" s="307" t="s">
        <v>35</v>
      </c>
      <c r="P35" s="314" t="s">
        <v>91</v>
      </c>
      <c r="Q35" s="501" t="s">
        <v>435</v>
      </c>
      <c r="R35" s="315" t="s">
        <v>94</v>
      </c>
      <c r="S35" s="176"/>
      <c r="T35" s="145"/>
      <c r="U35" s="145"/>
    </row>
    <row r="36" spans="1:21">
      <c r="A36" s="167">
        <v>865</v>
      </c>
      <c r="B36" s="196" t="s">
        <v>98</v>
      </c>
      <c r="C36" s="196">
        <v>12</v>
      </c>
      <c r="D36" s="196">
        <v>4</v>
      </c>
      <c r="E36" s="196" t="s">
        <v>102</v>
      </c>
      <c r="F36" s="196">
        <v>102.96</v>
      </c>
      <c r="G36" s="196"/>
      <c r="H36" s="526">
        <v>55.967369079589844</v>
      </c>
      <c r="I36" s="243">
        <v>-1.25</v>
      </c>
      <c r="J36" s="449">
        <v>-0.89</v>
      </c>
      <c r="K36" s="789">
        <f t="shared" si="1"/>
        <v>17.782064000000002</v>
      </c>
      <c r="L36" s="481" t="s">
        <v>96</v>
      </c>
      <c r="M36" s="317" t="s">
        <v>85</v>
      </c>
      <c r="N36" s="317" t="s">
        <v>95</v>
      </c>
      <c r="O36" s="307" t="s">
        <v>35</v>
      </c>
      <c r="P36" s="314" t="s">
        <v>91</v>
      </c>
      <c r="Q36" s="501" t="s">
        <v>435</v>
      </c>
      <c r="R36" s="315" t="s">
        <v>94</v>
      </c>
      <c r="S36" s="176"/>
      <c r="T36" s="145"/>
      <c r="U36" s="145"/>
    </row>
    <row r="37" spans="1:21">
      <c r="A37" s="167">
        <v>865</v>
      </c>
      <c r="B37" s="196" t="s">
        <v>98</v>
      </c>
      <c r="C37" s="196">
        <v>12</v>
      </c>
      <c r="D37" s="196">
        <v>4</v>
      </c>
      <c r="E37" s="196" t="s">
        <v>102</v>
      </c>
      <c r="F37" s="196">
        <v>102.96</v>
      </c>
      <c r="G37" s="196"/>
      <c r="H37" s="526">
        <v>55.967369079589844</v>
      </c>
      <c r="I37" s="243">
        <v>-1.91</v>
      </c>
      <c r="J37" s="449">
        <v>-0.89</v>
      </c>
      <c r="K37" s="789">
        <f t="shared" si="1"/>
        <v>20.926436000000002</v>
      </c>
      <c r="L37" s="481" t="s">
        <v>96</v>
      </c>
      <c r="M37" s="317" t="s">
        <v>85</v>
      </c>
      <c r="N37" s="317" t="s">
        <v>95</v>
      </c>
      <c r="O37" s="307" t="s">
        <v>35</v>
      </c>
      <c r="P37" s="314" t="s">
        <v>91</v>
      </c>
      <c r="Q37" s="501" t="s">
        <v>435</v>
      </c>
      <c r="R37" s="315" t="s">
        <v>94</v>
      </c>
      <c r="S37" s="176"/>
      <c r="T37" s="145"/>
      <c r="U37" s="145"/>
    </row>
    <row r="38" spans="1:21">
      <c r="A38" s="167">
        <v>865</v>
      </c>
      <c r="B38" s="196" t="s">
        <v>98</v>
      </c>
      <c r="C38" s="196">
        <v>12</v>
      </c>
      <c r="D38" s="196">
        <v>4</v>
      </c>
      <c r="E38" s="196" t="s">
        <v>102</v>
      </c>
      <c r="F38" s="196">
        <v>102.96</v>
      </c>
      <c r="G38" s="196"/>
      <c r="H38" s="526">
        <v>55.967369079589844</v>
      </c>
      <c r="I38" s="243">
        <v>-1.69</v>
      </c>
      <c r="J38" s="449">
        <v>-0.89</v>
      </c>
      <c r="K38" s="789">
        <f t="shared" si="1"/>
        <v>19.869600000000002</v>
      </c>
      <c r="L38" s="481" t="s">
        <v>96</v>
      </c>
      <c r="M38" s="317" t="s">
        <v>85</v>
      </c>
      <c r="N38" s="317" t="s">
        <v>95</v>
      </c>
      <c r="O38" s="307" t="s">
        <v>35</v>
      </c>
      <c r="P38" s="314" t="s">
        <v>91</v>
      </c>
      <c r="Q38" s="501" t="s">
        <v>435</v>
      </c>
      <c r="R38" s="315" t="s">
        <v>94</v>
      </c>
      <c r="S38" s="176"/>
      <c r="T38" s="145"/>
      <c r="U38" s="145"/>
    </row>
    <row r="39" spans="1:21">
      <c r="A39" s="167">
        <v>865</v>
      </c>
      <c r="B39" s="196" t="s">
        <v>98</v>
      </c>
      <c r="C39" s="196">
        <v>12</v>
      </c>
      <c r="D39" s="196">
        <v>4</v>
      </c>
      <c r="E39" s="196" t="s">
        <v>103</v>
      </c>
      <c r="F39" s="196">
        <v>102.98</v>
      </c>
      <c r="G39" s="196"/>
      <c r="H39" s="526">
        <v>55.969825744628906</v>
      </c>
      <c r="I39" s="243">
        <v>-1.82</v>
      </c>
      <c r="J39" s="449">
        <v>-0.89</v>
      </c>
      <c r="K39" s="789">
        <f t="shared" si="1"/>
        <v>20.493041000000002</v>
      </c>
      <c r="L39" s="481" t="s">
        <v>96</v>
      </c>
      <c r="M39" s="317" t="s">
        <v>85</v>
      </c>
      <c r="N39" s="317" t="s">
        <v>95</v>
      </c>
      <c r="O39" s="307" t="s">
        <v>35</v>
      </c>
      <c r="P39" s="314" t="s">
        <v>91</v>
      </c>
      <c r="Q39" s="501" t="s">
        <v>435</v>
      </c>
      <c r="R39" s="315" t="s">
        <v>94</v>
      </c>
      <c r="S39" s="176"/>
      <c r="T39" s="145"/>
      <c r="U39" s="145"/>
    </row>
    <row r="40" spans="1:21">
      <c r="A40" s="167">
        <v>865</v>
      </c>
      <c r="B40" s="196" t="s">
        <v>98</v>
      </c>
      <c r="C40" s="196">
        <v>12</v>
      </c>
      <c r="D40" s="196">
        <v>4</v>
      </c>
      <c r="E40" s="196" t="s">
        <v>103</v>
      </c>
      <c r="F40" s="196">
        <v>102.98</v>
      </c>
      <c r="G40" s="196"/>
      <c r="H40" s="526">
        <v>55.969825744628906</v>
      </c>
      <c r="I40" s="243">
        <v>-1.31</v>
      </c>
      <c r="J40" s="449">
        <v>-0.89</v>
      </c>
      <c r="K40" s="789">
        <f t="shared" si="1"/>
        <v>18.064675999999999</v>
      </c>
      <c r="L40" s="481" t="s">
        <v>96</v>
      </c>
      <c r="M40" s="317" t="s">
        <v>85</v>
      </c>
      <c r="N40" s="317" t="s">
        <v>95</v>
      </c>
      <c r="O40" s="307" t="s">
        <v>35</v>
      </c>
      <c r="P40" s="314" t="s">
        <v>91</v>
      </c>
      <c r="Q40" s="501" t="s">
        <v>435</v>
      </c>
      <c r="R40" s="315" t="s">
        <v>94</v>
      </c>
      <c r="S40" s="176"/>
      <c r="T40" s="145"/>
      <c r="U40" s="145"/>
    </row>
    <row r="41" spans="1:21">
      <c r="A41" s="167">
        <v>865</v>
      </c>
      <c r="B41" s="196" t="s">
        <v>98</v>
      </c>
      <c r="C41" s="196">
        <v>12</v>
      </c>
      <c r="D41" s="196">
        <v>4</v>
      </c>
      <c r="E41" s="196" t="s">
        <v>103</v>
      </c>
      <c r="F41" s="196">
        <v>102.98</v>
      </c>
      <c r="G41" s="196"/>
      <c r="H41" s="526">
        <v>55.969825744628906</v>
      </c>
      <c r="I41" s="243">
        <v>-1.56</v>
      </c>
      <c r="J41" s="449">
        <v>-0.89</v>
      </c>
      <c r="K41" s="789">
        <f t="shared" si="1"/>
        <v>19.249200999999999</v>
      </c>
      <c r="L41" s="481" t="s">
        <v>96</v>
      </c>
      <c r="M41" s="317" t="s">
        <v>85</v>
      </c>
      <c r="N41" s="317" t="s">
        <v>95</v>
      </c>
      <c r="O41" s="307" t="s">
        <v>35</v>
      </c>
      <c r="P41" s="314" t="s">
        <v>91</v>
      </c>
      <c r="Q41" s="501" t="s">
        <v>435</v>
      </c>
      <c r="R41" s="315" t="s">
        <v>94</v>
      </c>
      <c r="S41" s="176"/>
      <c r="T41" s="145"/>
      <c r="U41" s="145"/>
    </row>
    <row r="42" spans="1:21">
      <c r="A42" s="167">
        <v>865</v>
      </c>
      <c r="B42" s="196" t="s">
        <v>98</v>
      </c>
      <c r="C42" s="196">
        <v>12</v>
      </c>
      <c r="D42" s="196">
        <v>4</v>
      </c>
      <c r="E42" s="196" t="s">
        <v>103</v>
      </c>
      <c r="F42" s="196">
        <v>102.98</v>
      </c>
      <c r="G42" s="196"/>
      <c r="H42" s="526">
        <v>55.969825744628906</v>
      </c>
      <c r="I42" s="243">
        <v>-1.98</v>
      </c>
      <c r="J42" s="449">
        <v>-0.89</v>
      </c>
      <c r="K42" s="789">
        <f t="shared" si="1"/>
        <v>21.264529000000003</v>
      </c>
      <c r="L42" s="481" t="s">
        <v>96</v>
      </c>
      <c r="M42" s="317" t="s">
        <v>85</v>
      </c>
      <c r="N42" s="317" t="s">
        <v>95</v>
      </c>
      <c r="O42" s="307" t="s">
        <v>35</v>
      </c>
      <c r="P42" s="314" t="s">
        <v>91</v>
      </c>
      <c r="Q42" s="501" t="s">
        <v>435</v>
      </c>
      <c r="R42" s="315" t="s">
        <v>94</v>
      </c>
      <c r="S42" s="176"/>
      <c r="T42" s="145"/>
      <c r="U42" s="145"/>
    </row>
    <row r="43" spans="1:21">
      <c r="A43" s="177">
        <v>865</v>
      </c>
      <c r="B43" s="226" t="s">
        <v>98</v>
      </c>
      <c r="C43" s="226">
        <v>12</v>
      </c>
      <c r="D43" s="226">
        <v>4</v>
      </c>
      <c r="E43" s="226" t="s">
        <v>103</v>
      </c>
      <c r="F43" s="226">
        <v>102.98</v>
      </c>
      <c r="G43" s="226"/>
      <c r="H43" s="556">
        <v>55.969825744628906</v>
      </c>
      <c r="I43" s="557">
        <v>-1.66</v>
      </c>
      <c r="J43" s="456">
        <v>-0.89</v>
      </c>
      <c r="K43" s="790">
        <f t="shared" si="1"/>
        <v>19.726161000000001</v>
      </c>
      <c r="L43" s="479" t="s">
        <v>96</v>
      </c>
      <c r="M43" s="386" t="s">
        <v>85</v>
      </c>
      <c r="N43" s="386" t="s">
        <v>95</v>
      </c>
      <c r="O43" s="387" t="s">
        <v>35</v>
      </c>
      <c r="P43" s="388" t="s">
        <v>91</v>
      </c>
      <c r="Q43" s="504" t="s">
        <v>435</v>
      </c>
      <c r="R43" s="315" t="s">
        <v>94</v>
      </c>
      <c r="S43" s="176"/>
      <c r="T43" s="145"/>
      <c r="U43" s="145"/>
    </row>
    <row r="44" spans="1:21">
      <c r="A44" s="167">
        <v>865</v>
      </c>
      <c r="B44" s="196" t="s">
        <v>98</v>
      </c>
      <c r="C44" s="196">
        <v>12</v>
      </c>
      <c r="D44" s="196">
        <v>4</v>
      </c>
      <c r="E44" s="555" t="s">
        <v>358</v>
      </c>
      <c r="F44" s="53">
        <v>102.86</v>
      </c>
      <c r="G44" s="400" t="s">
        <v>587</v>
      </c>
      <c r="H44" s="526">
        <v>55.953598022460938</v>
      </c>
      <c r="I44" s="243">
        <v>-1.99</v>
      </c>
      <c r="J44" s="449">
        <v>-0.89</v>
      </c>
      <c r="K44" s="66">
        <f t="shared" si="1"/>
        <v>21.312899999999999</v>
      </c>
      <c r="L44" s="481" t="s">
        <v>683</v>
      </c>
      <c r="M44" s="317" t="s">
        <v>85</v>
      </c>
      <c r="N44" s="317" t="s">
        <v>95</v>
      </c>
      <c r="O44" s="307" t="s">
        <v>35</v>
      </c>
      <c r="P44" s="314" t="s">
        <v>91</v>
      </c>
      <c r="Q44" s="501" t="s">
        <v>435</v>
      </c>
      <c r="R44" s="315" t="s">
        <v>94</v>
      </c>
      <c r="S44" s="176"/>
      <c r="T44" s="145"/>
      <c r="U44" s="145"/>
    </row>
    <row r="45" spans="1:21">
      <c r="A45" s="167">
        <v>865</v>
      </c>
      <c r="B45" s="196" t="s">
        <v>98</v>
      </c>
      <c r="C45" s="196">
        <v>12</v>
      </c>
      <c r="D45" s="196">
        <v>4</v>
      </c>
      <c r="E45" s="555" t="s">
        <v>358</v>
      </c>
      <c r="F45" s="53">
        <v>102.86</v>
      </c>
      <c r="G45" s="400" t="s">
        <v>587</v>
      </c>
      <c r="H45" s="526">
        <v>55.953598022460938</v>
      </c>
      <c r="I45" s="243">
        <v>-1.58</v>
      </c>
      <c r="J45" s="449">
        <v>-0.89</v>
      </c>
      <c r="K45" s="66">
        <f t="shared" si="1"/>
        <v>19.344449000000001</v>
      </c>
      <c r="L45" s="481" t="s">
        <v>683</v>
      </c>
      <c r="M45" s="317" t="s">
        <v>85</v>
      </c>
      <c r="N45" s="317" t="s">
        <v>95</v>
      </c>
      <c r="O45" s="307" t="s">
        <v>35</v>
      </c>
      <c r="P45" s="314" t="s">
        <v>91</v>
      </c>
      <c r="Q45" s="501" t="s">
        <v>435</v>
      </c>
      <c r="R45" s="315" t="s">
        <v>94</v>
      </c>
      <c r="S45" s="176"/>
      <c r="T45" s="145"/>
      <c r="U45" s="145"/>
    </row>
    <row r="46" spans="1:21">
      <c r="A46" s="167">
        <v>865</v>
      </c>
      <c r="B46" s="196" t="s">
        <v>98</v>
      </c>
      <c r="C46" s="196">
        <v>12</v>
      </c>
      <c r="D46" s="196">
        <v>4</v>
      </c>
      <c r="E46" s="555" t="s">
        <v>360</v>
      </c>
      <c r="F46" s="53">
        <v>102.9</v>
      </c>
      <c r="G46" s="400" t="s">
        <v>587</v>
      </c>
      <c r="H46" s="526">
        <v>55.959999084472656</v>
      </c>
      <c r="I46" s="243">
        <v>-2.08</v>
      </c>
      <c r="J46" s="449">
        <v>-0.89</v>
      </c>
      <c r="K46" s="66">
        <f t="shared" si="1"/>
        <v>21.749048999999999</v>
      </c>
      <c r="L46" s="481" t="s">
        <v>683</v>
      </c>
      <c r="M46" s="317" t="s">
        <v>85</v>
      </c>
      <c r="N46" s="317" t="s">
        <v>95</v>
      </c>
      <c r="O46" s="307" t="s">
        <v>35</v>
      </c>
      <c r="P46" s="314" t="s">
        <v>91</v>
      </c>
      <c r="Q46" s="501" t="s">
        <v>435</v>
      </c>
      <c r="R46" s="315" t="s">
        <v>94</v>
      </c>
      <c r="S46" s="176"/>
      <c r="T46" s="145"/>
      <c r="U46" s="145"/>
    </row>
    <row r="47" spans="1:21">
      <c r="A47" s="167">
        <v>865</v>
      </c>
      <c r="B47" s="196" t="s">
        <v>98</v>
      </c>
      <c r="C47" s="196">
        <v>12</v>
      </c>
      <c r="D47" s="196">
        <v>4</v>
      </c>
      <c r="E47" s="555" t="s">
        <v>360</v>
      </c>
      <c r="F47" s="53">
        <v>102.9</v>
      </c>
      <c r="G47" s="400" t="s">
        <v>587</v>
      </c>
      <c r="H47" s="526">
        <v>55.959999084472656</v>
      </c>
      <c r="I47" s="243">
        <v>-1.92</v>
      </c>
      <c r="J47" s="449">
        <v>-0.89</v>
      </c>
      <c r="K47" s="66">
        <f t="shared" si="1"/>
        <v>20.974681</v>
      </c>
      <c r="L47" s="481" t="s">
        <v>683</v>
      </c>
      <c r="M47" s="317" t="s">
        <v>85</v>
      </c>
      <c r="N47" s="317" t="s">
        <v>95</v>
      </c>
      <c r="O47" s="307" t="s">
        <v>35</v>
      </c>
      <c r="P47" s="314" t="s">
        <v>91</v>
      </c>
      <c r="Q47" s="501" t="s">
        <v>435</v>
      </c>
      <c r="R47" s="315" t="s">
        <v>94</v>
      </c>
      <c r="S47" s="176"/>
      <c r="T47" s="145"/>
      <c r="U47" s="145"/>
    </row>
    <row r="48" spans="1:21">
      <c r="A48" s="167">
        <v>865</v>
      </c>
      <c r="B48" s="196" t="s">
        <v>98</v>
      </c>
      <c r="C48" s="196">
        <v>12</v>
      </c>
      <c r="D48" s="196">
        <v>4</v>
      </c>
      <c r="E48" s="555" t="s">
        <v>360</v>
      </c>
      <c r="F48" s="53">
        <v>102.9</v>
      </c>
      <c r="G48" s="400" t="s">
        <v>587</v>
      </c>
      <c r="H48" s="526">
        <v>55.959999084472656</v>
      </c>
      <c r="I48" s="243">
        <v>-1.76</v>
      </c>
      <c r="J48" s="449">
        <v>-0.89</v>
      </c>
      <c r="K48" s="66">
        <f t="shared" si="1"/>
        <v>20.204921000000002</v>
      </c>
      <c r="L48" s="481" t="s">
        <v>683</v>
      </c>
      <c r="M48" s="317" t="s">
        <v>85</v>
      </c>
      <c r="N48" s="317" t="s">
        <v>95</v>
      </c>
      <c r="O48" s="307" t="s">
        <v>35</v>
      </c>
      <c r="P48" s="314" t="s">
        <v>91</v>
      </c>
      <c r="Q48" s="501" t="s">
        <v>435</v>
      </c>
      <c r="R48" s="315" t="s">
        <v>94</v>
      </c>
      <c r="S48" s="176"/>
      <c r="T48" s="145"/>
      <c r="U48" s="145"/>
    </row>
    <row r="49" spans="1:21">
      <c r="A49" s="167">
        <v>865</v>
      </c>
      <c r="B49" s="196" t="s">
        <v>98</v>
      </c>
      <c r="C49" s="196">
        <v>12</v>
      </c>
      <c r="D49" s="196">
        <v>4</v>
      </c>
      <c r="E49" s="555" t="s">
        <v>360</v>
      </c>
      <c r="F49" s="53">
        <v>102.9</v>
      </c>
      <c r="G49" s="400" t="s">
        <v>587</v>
      </c>
      <c r="H49" s="526">
        <v>55.959999084472656</v>
      </c>
      <c r="I49" s="243">
        <v>-1.74</v>
      </c>
      <c r="J49" s="449">
        <v>-0.89</v>
      </c>
      <c r="K49" s="66">
        <f t="shared" si="1"/>
        <v>20.109024999999999</v>
      </c>
      <c r="L49" s="481" t="s">
        <v>683</v>
      </c>
      <c r="M49" s="317" t="s">
        <v>85</v>
      </c>
      <c r="N49" s="317" t="s">
        <v>95</v>
      </c>
      <c r="O49" s="307" t="s">
        <v>35</v>
      </c>
      <c r="P49" s="314" t="s">
        <v>91</v>
      </c>
      <c r="Q49" s="501" t="s">
        <v>435</v>
      </c>
      <c r="R49" s="315" t="s">
        <v>94</v>
      </c>
      <c r="S49" s="176"/>
      <c r="T49" s="145"/>
      <c r="U49" s="145"/>
    </row>
    <row r="50" spans="1:21">
      <c r="A50" s="167">
        <v>865</v>
      </c>
      <c r="B50" s="196" t="s">
        <v>98</v>
      </c>
      <c r="C50" s="196">
        <v>12</v>
      </c>
      <c r="D50" s="196">
        <v>4</v>
      </c>
      <c r="E50" s="555" t="s">
        <v>360</v>
      </c>
      <c r="F50" s="53">
        <v>102.9</v>
      </c>
      <c r="G50" s="400" t="s">
        <v>587</v>
      </c>
      <c r="H50" s="526">
        <v>55.959999084472656</v>
      </c>
      <c r="I50" s="243">
        <v>-2.09</v>
      </c>
      <c r="J50" s="449">
        <v>-0.89</v>
      </c>
      <c r="K50" s="66">
        <f t="shared" si="1"/>
        <v>21.797599999999999</v>
      </c>
      <c r="L50" s="481" t="s">
        <v>683</v>
      </c>
      <c r="M50" s="317" t="s">
        <v>85</v>
      </c>
      <c r="N50" s="317" t="s">
        <v>95</v>
      </c>
      <c r="O50" s="307" t="s">
        <v>35</v>
      </c>
      <c r="P50" s="314" t="s">
        <v>91</v>
      </c>
      <c r="Q50" s="501" t="s">
        <v>435</v>
      </c>
      <c r="R50" s="315" t="s">
        <v>94</v>
      </c>
      <c r="S50" s="176"/>
      <c r="T50" s="145"/>
      <c r="U50" s="145"/>
    </row>
    <row r="51" spans="1:21">
      <c r="A51" s="167">
        <v>865</v>
      </c>
      <c r="B51" s="196" t="s">
        <v>98</v>
      </c>
      <c r="C51" s="196">
        <v>12</v>
      </c>
      <c r="D51" s="196">
        <v>4</v>
      </c>
      <c r="E51" s="555" t="s">
        <v>360</v>
      </c>
      <c r="F51" s="53">
        <v>102.9</v>
      </c>
      <c r="G51" s="400" t="s">
        <v>587</v>
      </c>
      <c r="H51" s="526">
        <v>55.959999084472656</v>
      </c>
      <c r="I51" s="243">
        <v>-2</v>
      </c>
      <c r="J51" s="449">
        <v>-0.89</v>
      </c>
      <c r="K51" s="66">
        <f t="shared" si="1"/>
        <v>21.361288999999999</v>
      </c>
      <c r="L51" s="481" t="s">
        <v>683</v>
      </c>
      <c r="M51" s="317" t="s">
        <v>85</v>
      </c>
      <c r="N51" s="317" t="s">
        <v>95</v>
      </c>
      <c r="O51" s="307" t="s">
        <v>35</v>
      </c>
      <c r="P51" s="314" t="s">
        <v>91</v>
      </c>
      <c r="Q51" s="501" t="s">
        <v>435</v>
      </c>
      <c r="R51" s="315" t="s">
        <v>94</v>
      </c>
      <c r="S51" s="176"/>
      <c r="T51" s="145"/>
      <c r="U51" s="145"/>
    </row>
    <row r="52" spans="1:21">
      <c r="A52" s="167">
        <v>865</v>
      </c>
      <c r="B52" s="196" t="s">
        <v>98</v>
      </c>
      <c r="C52" s="196">
        <v>12</v>
      </c>
      <c r="D52" s="196">
        <v>4</v>
      </c>
      <c r="E52" s="555" t="s">
        <v>360</v>
      </c>
      <c r="F52" s="53">
        <v>102.9</v>
      </c>
      <c r="G52" s="400" t="s">
        <v>587</v>
      </c>
      <c r="H52" s="526">
        <v>55.959999084472656</v>
      </c>
      <c r="I52" s="243">
        <v>-1.73</v>
      </c>
      <c r="J52" s="449">
        <v>-0.89</v>
      </c>
      <c r="K52" s="66">
        <f t="shared" si="1"/>
        <v>20.061104</v>
      </c>
      <c r="L52" s="481" t="s">
        <v>683</v>
      </c>
      <c r="M52" s="317" t="s">
        <v>85</v>
      </c>
      <c r="N52" s="317" t="s">
        <v>95</v>
      </c>
      <c r="O52" s="307" t="s">
        <v>35</v>
      </c>
      <c r="P52" s="314" t="s">
        <v>91</v>
      </c>
      <c r="Q52" s="501" t="s">
        <v>435</v>
      </c>
      <c r="R52" s="315" t="s">
        <v>94</v>
      </c>
      <c r="S52" s="176"/>
      <c r="T52" s="145"/>
      <c r="U52" s="145"/>
    </row>
    <row r="53" spans="1:21">
      <c r="A53" s="167">
        <v>865</v>
      </c>
      <c r="B53" s="196" t="s">
        <v>98</v>
      </c>
      <c r="C53" s="196">
        <v>12</v>
      </c>
      <c r="D53" s="196">
        <v>4</v>
      </c>
      <c r="E53" s="555" t="s">
        <v>360</v>
      </c>
      <c r="F53" s="53">
        <v>102.9</v>
      </c>
      <c r="G53" s="400" t="s">
        <v>587</v>
      </c>
      <c r="H53" s="526">
        <v>55.959999084472656</v>
      </c>
      <c r="I53" s="243">
        <v>-1.8</v>
      </c>
      <c r="J53" s="449">
        <v>-0.89</v>
      </c>
      <c r="K53" s="66">
        <f t="shared" si="1"/>
        <v>20.396929</v>
      </c>
      <c r="L53" s="481" t="s">
        <v>683</v>
      </c>
      <c r="M53" s="317" t="s">
        <v>85</v>
      </c>
      <c r="N53" s="317" t="s">
        <v>95</v>
      </c>
      <c r="O53" s="307" t="s">
        <v>35</v>
      </c>
      <c r="P53" s="314" t="s">
        <v>91</v>
      </c>
      <c r="Q53" s="501" t="s">
        <v>435</v>
      </c>
      <c r="R53" s="315" t="s">
        <v>94</v>
      </c>
      <c r="S53" s="176"/>
      <c r="T53" s="145"/>
      <c r="U53" s="145"/>
    </row>
    <row r="54" spans="1:21">
      <c r="A54" s="167">
        <v>865</v>
      </c>
      <c r="B54" s="196" t="s">
        <v>98</v>
      </c>
      <c r="C54" s="196">
        <v>12</v>
      </c>
      <c r="D54" s="196">
        <v>4</v>
      </c>
      <c r="E54" s="555" t="s">
        <v>360</v>
      </c>
      <c r="F54" s="53">
        <v>102.9</v>
      </c>
      <c r="G54" s="400" t="s">
        <v>587</v>
      </c>
      <c r="H54" s="526">
        <v>55.959999084472656</v>
      </c>
      <c r="I54" s="243">
        <v>-1.86</v>
      </c>
      <c r="J54" s="449">
        <v>-0.89</v>
      </c>
      <c r="K54" s="66">
        <f t="shared" si="1"/>
        <v>20.685480999999999</v>
      </c>
      <c r="L54" s="481" t="s">
        <v>683</v>
      </c>
      <c r="M54" s="317" t="s">
        <v>85</v>
      </c>
      <c r="N54" s="317" t="s">
        <v>95</v>
      </c>
      <c r="O54" s="307" t="s">
        <v>35</v>
      </c>
      <c r="P54" s="314" t="s">
        <v>91</v>
      </c>
      <c r="Q54" s="501" t="s">
        <v>435</v>
      </c>
      <c r="R54" s="315" t="s">
        <v>94</v>
      </c>
      <c r="S54" s="176"/>
      <c r="T54" s="145"/>
      <c r="U54" s="145"/>
    </row>
    <row r="55" spans="1:21">
      <c r="A55" s="167">
        <v>865</v>
      </c>
      <c r="B55" s="196" t="s">
        <v>98</v>
      </c>
      <c r="C55" s="196">
        <v>12</v>
      </c>
      <c r="D55" s="196">
        <v>4</v>
      </c>
      <c r="E55" s="196" t="s">
        <v>102</v>
      </c>
      <c r="F55" s="196">
        <v>102.96</v>
      </c>
      <c r="G55" s="196"/>
      <c r="H55" s="526">
        <v>55.967369079589844</v>
      </c>
      <c r="I55" s="243">
        <v>-1.49</v>
      </c>
      <c r="J55" s="449">
        <v>-0.89</v>
      </c>
      <c r="K55" s="789">
        <f t="shared" si="1"/>
        <v>18.916399999999999</v>
      </c>
      <c r="L55" s="481" t="s">
        <v>683</v>
      </c>
      <c r="M55" s="317" t="s">
        <v>85</v>
      </c>
      <c r="N55" s="317" t="s">
        <v>95</v>
      </c>
      <c r="O55" s="307" t="s">
        <v>35</v>
      </c>
      <c r="P55" s="314" t="s">
        <v>91</v>
      </c>
      <c r="Q55" s="501" t="s">
        <v>435</v>
      </c>
      <c r="R55" s="315" t="s">
        <v>94</v>
      </c>
      <c r="S55" s="176"/>
      <c r="T55" s="145"/>
      <c r="U55" s="145"/>
    </row>
    <row r="56" spans="1:21">
      <c r="A56" s="167">
        <v>865</v>
      </c>
      <c r="B56" s="196" t="s">
        <v>98</v>
      </c>
      <c r="C56" s="196">
        <v>12</v>
      </c>
      <c r="D56" s="196">
        <v>4</v>
      </c>
      <c r="E56" s="196" t="s">
        <v>102</v>
      </c>
      <c r="F56" s="196">
        <v>102.96</v>
      </c>
      <c r="G56" s="196"/>
      <c r="H56" s="526">
        <v>55.967369079589844</v>
      </c>
      <c r="I56" s="243">
        <v>-1.54</v>
      </c>
      <c r="J56" s="449">
        <v>-0.89</v>
      </c>
      <c r="K56" s="789">
        <f t="shared" si="1"/>
        <v>19.154025000000001</v>
      </c>
      <c r="L56" s="481" t="s">
        <v>683</v>
      </c>
      <c r="M56" s="317" t="s">
        <v>85</v>
      </c>
      <c r="N56" s="317" t="s">
        <v>95</v>
      </c>
      <c r="O56" s="307" t="s">
        <v>35</v>
      </c>
      <c r="P56" s="314" t="s">
        <v>91</v>
      </c>
      <c r="Q56" s="501" t="s">
        <v>435</v>
      </c>
      <c r="R56" s="315" t="s">
        <v>94</v>
      </c>
      <c r="S56" s="176"/>
      <c r="T56" s="145"/>
      <c r="U56" s="145"/>
    </row>
    <row r="57" spans="1:21">
      <c r="A57" s="167">
        <v>865</v>
      </c>
      <c r="B57" s="196" t="s">
        <v>98</v>
      </c>
      <c r="C57" s="196">
        <v>12</v>
      </c>
      <c r="D57" s="196">
        <v>4</v>
      </c>
      <c r="E57" s="196" t="s">
        <v>102</v>
      </c>
      <c r="F57" s="196">
        <v>102.96</v>
      </c>
      <c r="G57" s="196"/>
      <c r="H57" s="526">
        <v>55.967369079589844</v>
      </c>
      <c r="I57" s="243">
        <v>-1.47</v>
      </c>
      <c r="J57" s="449">
        <v>-0.89</v>
      </c>
      <c r="K57" s="789">
        <f t="shared" si="1"/>
        <v>18.821476000000001</v>
      </c>
      <c r="L57" s="481" t="s">
        <v>683</v>
      </c>
      <c r="M57" s="317" t="s">
        <v>85</v>
      </c>
      <c r="N57" s="317" t="s">
        <v>95</v>
      </c>
      <c r="O57" s="307" t="s">
        <v>35</v>
      </c>
      <c r="P57" s="314" t="s">
        <v>91</v>
      </c>
      <c r="Q57" s="501" t="s">
        <v>435</v>
      </c>
      <c r="R57" s="315" t="s">
        <v>94</v>
      </c>
      <c r="S57" s="176"/>
      <c r="T57" s="145"/>
      <c r="U57" s="145"/>
    </row>
    <row r="58" spans="1:21">
      <c r="A58" s="167">
        <v>865</v>
      </c>
      <c r="B58" s="196" t="s">
        <v>98</v>
      </c>
      <c r="C58" s="196">
        <v>12</v>
      </c>
      <c r="D58" s="196">
        <v>4</v>
      </c>
      <c r="E58" s="196" t="s">
        <v>102</v>
      </c>
      <c r="F58" s="196">
        <v>102.96</v>
      </c>
      <c r="G58" s="196"/>
      <c r="H58" s="526">
        <v>55.967369079589844</v>
      </c>
      <c r="I58" s="243">
        <v>-1.97</v>
      </c>
      <c r="J58" s="449">
        <v>-0.89</v>
      </c>
      <c r="K58" s="789">
        <f t="shared" si="1"/>
        <v>21.216176000000001</v>
      </c>
      <c r="L58" s="481" t="s">
        <v>683</v>
      </c>
      <c r="M58" s="317" t="s">
        <v>85</v>
      </c>
      <c r="N58" s="317" t="s">
        <v>95</v>
      </c>
      <c r="O58" s="307" t="s">
        <v>35</v>
      </c>
      <c r="P58" s="314" t="s">
        <v>91</v>
      </c>
      <c r="Q58" s="501" t="s">
        <v>435</v>
      </c>
      <c r="R58" s="315" t="s">
        <v>94</v>
      </c>
      <c r="S58" s="176"/>
      <c r="T58" s="145"/>
      <c r="U58" s="145"/>
    </row>
    <row r="59" spans="1:21">
      <c r="A59" s="167">
        <v>865</v>
      </c>
      <c r="B59" s="196" t="s">
        <v>98</v>
      </c>
      <c r="C59" s="196">
        <v>12</v>
      </c>
      <c r="D59" s="196">
        <v>4</v>
      </c>
      <c r="E59" s="196" t="s">
        <v>102</v>
      </c>
      <c r="F59" s="196">
        <v>102.96</v>
      </c>
      <c r="G59" s="196"/>
      <c r="H59" s="526">
        <v>55.967369079589844</v>
      </c>
      <c r="I59" s="243">
        <v>-2.0699999999999998</v>
      </c>
      <c r="J59" s="449">
        <v>-0.89</v>
      </c>
      <c r="K59" s="789">
        <f t="shared" si="1"/>
        <v>21.700516</v>
      </c>
      <c r="L59" s="481" t="s">
        <v>683</v>
      </c>
      <c r="M59" s="317" t="s">
        <v>85</v>
      </c>
      <c r="N59" s="317" t="s">
        <v>95</v>
      </c>
      <c r="O59" s="307" t="s">
        <v>35</v>
      </c>
      <c r="P59" s="314" t="s">
        <v>91</v>
      </c>
      <c r="Q59" s="501" t="s">
        <v>435</v>
      </c>
      <c r="R59" s="315" t="s">
        <v>94</v>
      </c>
      <c r="S59" s="176"/>
      <c r="T59" s="145"/>
      <c r="U59" s="145"/>
    </row>
    <row r="60" spans="1:21">
      <c r="A60" s="167">
        <v>865</v>
      </c>
      <c r="B60" s="196" t="s">
        <v>98</v>
      </c>
      <c r="C60" s="196">
        <v>12</v>
      </c>
      <c r="D60" s="196">
        <v>4</v>
      </c>
      <c r="E60" s="196" t="s">
        <v>103</v>
      </c>
      <c r="F60" s="196">
        <v>102.98</v>
      </c>
      <c r="G60" s="196"/>
      <c r="H60" s="526">
        <v>55.969825744628906</v>
      </c>
      <c r="I60" s="243">
        <v>-2.2200000000000002</v>
      </c>
      <c r="J60" s="449">
        <v>-0.89</v>
      </c>
      <c r="K60" s="789">
        <f t="shared" si="1"/>
        <v>22.430401</v>
      </c>
      <c r="L60" s="481" t="s">
        <v>683</v>
      </c>
      <c r="M60" s="317" t="s">
        <v>85</v>
      </c>
      <c r="N60" s="317" t="s">
        <v>95</v>
      </c>
      <c r="O60" s="307" t="s">
        <v>35</v>
      </c>
      <c r="P60" s="314" t="s">
        <v>91</v>
      </c>
      <c r="Q60" s="501" t="s">
        <v>435</v>
      </c>
      <c r="R60" s="315" t="s">
        <v>94</v>
      </c>
      <c r="S60" s="176"/>
      <c r="T60" s="145"/>
      <c r="U60" s="145"/>
    </row>
    <row r="61" spans="1:21">
      <c r="A61" s="167">
        <v>865</v>
      </c>
      <c r="B61" s="196" t="s">
        <v>98</v>
      </c>
      <c r="C61" s="196">
        <v>12</v>
      </c>
      <c r="D61" s="196">
        <v>4</v>
      </c>
      <c r="E61" s="196" t="s">
        <v>103</v>
      </c>
      <c r="F61" s="196">
        <v>102.98</v>
      </c>
      <c r="G61" s="196"/>
      <c r="H61" s="526">
        <v>55.969825744628906</v>
      </c>
      <c r="I61" s="243">
        <v>-1.65</v>
      </c>
      <c r="J61" s="449">
        <v>-0.89</v>
      </c>
      <c r="K61" s="789">
        <f t="shared" si="1"/>
        <v>19.678384000000001</v>
      </c>
      <c r="L61" s="481" t="s">
        <v>683</v>
      </c>
      <c r="M61" s="317" t="s">
        <v>85</v>
      </c>
      <c r="N61" s="317" t="s">
        <v>95</v>
      </c>
      <c r="O61" s="307" t="s">
        <v>35</v>
      </c>
      <c r="P61" s="314" t="s">
        <v>91</v>
      </c>
      <c r="Q61" s="501" t="s">
        <v>435</v>
      </c>
      <c r="R61" s="315" t="s">
        <v>94</v>
      </c>
      <c r="S61" s="176"/>
      <c r="T61" s="145"/>
      <c r="U61" s="145"/>
    </row>
    <row r="62" spans="1:21">
      <c r="A62" s="167">
        <v>865</v>
      </c>
      <c r="B62" s="196" t="s">
        <v>98</v>
      </c>
      <c r="C62" s="196">
        <v>12</v>
      </c>
      <c r="D62" s="196">
        <v>4</v>
      </c>
      <c r="E62" s="196" t="s">
        <v>103</v>
      </c>
      <c r="F62" s="196">
        <v>102.98</v>
      </c>
      <c r="G62" s="196"/>
      <c r="H62" s="526">
        <v>55.969825744628906</v>
      </c>
      <c r="I62" s="243">
        <v>-1.67</v>
      </c>
      <c r="J62" s="449">
        <v>-0.89</v>
      </c>
      <c r="K62" s="789">
        <f t="shared" si="1"/>
        <v>19.773956000000002</v>
      </c>
      <c r="L62" s="481" t="s">
        <v>683</v>
      </c>
      <c r="M62" s="317" t="s">
        <v>85</v>
      </c>
      <c r="N62" s="317" t="s">
        <v>95</v>
      </c>
      <c r="O62" s="307" t="s">
        <v>35</v>
      </c>
      <c r="P62" s="314" t="s">
        <v>91</v>
      </c>
      <c r="Q62" s="501" t="s">
        <v>435</v>
      </c>
      <c r="R62" s="315" t="s">
        <v>94</v>
      </c>
      <c r="S62" s="176"/>
      <c r="T62" s="145"/>
      <c r="U62" s="145"/>
    </row>
    <row r="63" spans="1:21">
      <c r="A63" s="167">
        <v>865</v>
      </c>
      <c r="B63" s="196" t="s">
        <v>98</v>
      </c>
      <c r="C63" s="196">
        <v>12</v>
      </c>
      <c r="D63" s="196">
        <v>4</v>
      </c>
      <c r="E63" s="196" t="s">
        <v>103</v>
      </c>
      <c r="F63" s="196">
        <v>102.98</v>
      </c>
      <c r="G63" s="196"/>
      <c r="H63" s="526">
        <v>55.969825744628906</v>
      </c>
      <c r="I63" s="243">
        <v>-1.51</v>
      </c>
      <c r="J63" s="449">
        <v>-0.89</v>
      </c>
      <c r="K63" s="789">
        <f t="shared" si="1"/>
        <v>19.011396000000001</v>
      </c>
      <c r="L63" s="481" t="s">
        <v>683</v>
      </c>
      <c r="M63" s="317" t="s">
        <v>85</v>
      </c>
      <c r="N63" s="317" t="s">
        <v>95</v>
      </c>
      <c r="O63" s="307" t="s">
        <v>35</v>
      </c>
      <c r="P63" s="314" t="s">
        <v>91</v>
      </c>
      <c r="Q63" s="501" t="s">
        <v>435</v>
      </c>
      <c r="R63" s="315" t="s">
        <v>94</v>
      </c>
      <c r="S63" s="176"/>
      <c r="T63" s="145"/>
      <c r="U63" s="145"/>
    </row>
    <row r="64" spans="1:21">
      <c r="A64" s="167">
        <v>865</v>
      </c>
      <c r="B64" s="196" t="s">
        <v>98</v>
      </c>
      <c r="C64" s="196">
        <v>12</v>
      </c>
      <c r="D64" s="196">
        <v>4</v>
      </c>
      <c r="E64" s="196" t="s">
        <v>103</v>
      </c>
      <c r="F64" s="196">
        <v>102.98</v>
      </c>
      <c r="G64" s="196"/>
      <c r="H64" s="526">
        <v>55.969825744628906</v>
      </c>
      <c r="I64" s="243">
        <v>-1.82</v>
      </c>
      <c r="J64" s="449">
        <v>-0.89</v>
      </c>
      <c r="K64" s="789">
        <f t="shared" si="1"/>
        <v>20.493041000000002</v>
      </c>
      <c r="L64" s="481" t="s">
        <v>683</v>
      </c>
      <c r="M64" s="317" t="s">
        <v>85</v>
      </c>
      <c r="N64" s="317" t="s">
        <v>95</v>
      </c>
      <c r="O64" s="307" t="s">
        <v>35</v>
      </c>
      <c r="P64" s="314" t="s">
        <v>91</v>
      </c>
      <c r="Q64" s="501" t="s">
        <v>435</v>
      </c>
      <c r="R64" s="315" t="s">
        <v>94</v>
      </c>
      <c r="S64" s="176"/>
      <c r="T64" s="145"/>
      <c r="U64" s="145"/>
    </row>
    <row r="65" spans="1:21">
      <c r="A65" s="177">
        <v>865</v>
      </c>
      <c r="B65" s="226" t="s">
        <v>98</v>
      </c>
      <c r="C65" s="226">
        <v>12</v>
      </c>
      <c r="D65" s="226">
        <v>4</v>
      </c>
      <c r="E65" s="226" t="s">
        <v>103</v>
      </c>
      <c r="F65" s="226">
        <v>102.98</v>
      </c>
      <c r="G65" s="226"/>
      <c r="H65" s="556">
        <v>55.969825744628906</v>
      </c>
      <c r="I65" s="557">
        <v>-1.35</v>
      </c>
      <c r="J65" s="456">
        <v>-0.89</v>
      </c>
      <c r="K65" s="790">
        <f t="shared" si="1"/>
        <v>18.253444000000002</v>
      </c>
      <c r="L65" s="479" t="s">
        <v>683</v>
      </c>
      <c r="M65" s="386" t="s">
        <v>85</v>
      </c>
      <c r="N65" s="386" t="s">
        <v>95</v>
      </c>
      <c r="O65" s="387" t="s">
        <v>35</v>
      </c>
      <c r="P65" s="388" t="s">
        <v>91</v>
      </c>
      <c r="Q65" s="504" t="s">
        <v>435</v>
      </c>
      <c r="R65" s="315" t="s">
        <v>94</v>
      </c>
      <c r="S65" s="176"/>
      <c r="T65" s="145"/>
      <c r="U65" s="145"/>
    </row>
    <row r="66" spans="1:21">
      <c r="A66" s="167">
        <v>865</v>
      </c>
      <c r="B66" s="196" t="s">
        <v>98</v>
      </c>
      <c r="C66" s="196">
        <v>12</v>
      </c>
      <c r="D66" s="196">
        <v>4</v>
      </c>
      <c r="E66" s="555" t="s">
        <v>358</v>
      </c>
      <c r="F66" s="53">
        <v>102.86</v>
      </c>
      <c r="G66" s="400" t="s">
        <v>587</v>
      </c>
      <c r="H66" s="526">
        <v>55.953598022460938</v>
      </c>
      <c r="I66" s="243">
        <v>-2.04</v>
      </c>
      <c r="J66" s="449">
        <v>-0.89</v>
      </c>
      <c r="K66" s="66">
        <f t="shared" si="1"/>
        <v>21.555025000000001</v>
      </c>
      <c r="L66" s="481" t="s">
        <v>33</v>
      </c>
      <c r="M66" s="317" t="s">
        <v>85</v>
      </c>
      <c r="N66" s="317" t="s">
        <v>95</v>
      </c>
      <c r="O66" s="307" t="s">
        <v>35</v>
      </c>
      <c r="P66" s="314" t="s">
        <v>91</v>
      </c>
      <c r="Q66" s="501" t="s">
        <v>435</v>
      </c>
      <c r="R66" s="315" t="s">
        <v>94</v>
      </c>
      <c r="S66" s="176"/>
      <c r="T66" s="145"/>
      <c r="U66" s="145"/>
    </row>
    <row r="67" spans="1:21">
      <c r="A67" s="167">
        <v>865</v>
      </c>
      <c r="B67" s="196" t="s">
        <v>98</v>
      </c>
      <c r="C67" s="196">
        <v>12</v>
      </c>
      <c r="D67" s="196">
        <v>4</v>
      </c>
      <c r="E67" s="555" t="s">
        <v>358</v>
      </c>
      <c r="F67" s="53">
        <v>102.86</v>
      </c>
      <c r="G67" s="400" t="s">
        <v>587</v>
      </c>
      <c r="H67" s="526">
        <v>55.953598022460938</v>
      </c>
      <c r="I67" s="243">
        <v>-1.85</v>
      </c>
      <c r="J67" s="449">
        <v>-0.89</v>
      </c>
      <c r="K67" s="66">
        <f t="shared" si="1"/>
        <v>20.637344000000002</v>
      </c>
      <c r="L67" s="481" t="s">
        <v>33</v>
      </c>
      <c r="M67" s="317" t="s">
        <v>85</v>
      </c>
      <c r="N67" s="317" t="s">
        <v>95</v>
      </c>
      <c r="O67" s="307" t="s">
        <v>35</v>
      </c>
      <c r="P67" s="314" t="s">
        <v>91</v>
      </c>
      <c r="Q67" s="501" t="s">
        <v>435</v>
      </c>
      <c r="R67" s="315" t="s">
        <v>94</v>
      </c>
      <c r="S67" s="176"/>
      <c r="T67" s="145"/>
      <c r="U67" s="145"/>
    </row>
    <row r="68" spans="1:21">
      <c r="A68" s="167">
        <v>865</v>
      </c>
      <c r="B68" s="196" t="s">
        <v>98</v>
      </c>
      <c r="C68" s="196">
        <v>12</v>
      </c>
      <c r="D68" s="196">
        <v>4</v>
      </c>
      <c r="E68" s="555" t="s">
        <v>358</v>
      </c>
      <c r="F68" s="53">
        <v>102.86</v>
      </c>
      <c r="G68" s="400" t="s">
        <v>587</v>
      </c>
      <c r="H68" s="526">
        <v>55.953598022460938</v>
      </c>
      <c r="I68" s="243">
        <v>-2.04</v>
      </c>
      <c r="J68" s="449">
        <v>-0.89</v>
      </c>
      <c r="K68" s="66">
        <f t="shared" si="1"/>
        <v>21.555025000000001</v>
      </c>
      <c r="L68" s="481" t="s">
        <v>33</v>
      </c>
      <c r="M68" s="317" t="s">
        <v>85</v>
      </c>
      <c r="N68" s="317" t="s">
        <v>95</v>
      </c>
      <c r="O68" s="307" t="s">
        <v>35</v>
      </c>
      <c r="P68" s="314" t="s">
        <v>91</v>
      </c>
      <c r="Q68" s="501" t="s">
        <v>435</v>
      </c>
      <c r="R68" s="315" t="s">
        <v>94</v>
      </c>
      <c r="S68" s="176"/>
      <c r="T68" s="145"/>
      <c r="U68" s="145"/>
    </row>
    <row r="69" spans="1:21">
      <c r="A69" s="167">
        <v>865</v>
      </c>
      <c r="B69" s="196" t="s">
        <v>98</v>
      </c>
      <c r="C69" s="196">
        <v>12</v>
      </c>
      <c r="D69" s="196">
        <v>4</v>
      </c>
      <c r="E69" s="555" t="s">
        <v>358</v>
      </c>
      <c r="F69" s="53">
        <v>102.86</v>
      </c>
      <c r="G69" s="400" t="s">
        <v>587</v>
      </c>
      <c r="H69" s="526">
        <v>55.953598022460938</v>
      </c>
      <c r="I69" s="243">
        <v>-1.94</v>
      </c>
      <c r="J69" s="449">
        <v>-0.89</v>
      </c>
      <c r="K69" s="66">
        <f t="shared" si="1"/>
        <v>21.071225000000002</v>
      </c>
      <c r="L69" s="481" t="s">
        <v>33</v>
      </c>
      <c r="M69" s="317" t="s">
        <v>85</v>
      </c>
      <c r="N69" s="317" t="s">
        <v>95</v>
      </c>
      <c r="O69" s="307" t="s">
        <v>35</v>
      </c>
      <c r="P69" s="314" t="s">
        <v>91</v>
      </c>
      <c r="Q69" s="501" t="s">
        <v>435</v>
      </c>
      <c r="R69" s="315" t="s">
        <v>94</v>
      </c>
      <c r="S69" s="176"/>
      <c r="T69" s="145"/>
      <c r="U69" s="145"/>
    </row>
    <row r="70" spans="1:21">
      <c r="A70" s="167">
        <v>865</v>
      </c>
      <c r="B70" s="196" t="s">
        <v>98</v>
      </c>
      <c r="C70" s="196">
        <v>12</v>
      </c>
      <c r="D70" s="196">
        <v>4</v>
      </c>
      <c r="E70" s="555" t="s">
        <v>358</v>
      </c>
      <c r="F70" s="53">
        <v>102.86</v>
      </c>
      <c r="G70" s="400" t="s">
        <v>587</v>
      </c>
      <c r="H70" s="526">
        <v>55.953598022460938</v>
      </c>
      <c r="I70" s="243">
        <v>-1.86</v>
      </c>
      <c r="J70" s="449">
        <v>-0.89</v>
      </c>
      <c r="K70" s="66">
        <f t="shared" si="1"/>
        <v>20.685480999999999</v>
      </c>
      <c r="L70" s="481" t="s">
        <v>33</v>
      </c>
      <c r="M70" s="317" t="s">
        <v>85</v>
      </c>
      <c r="N70" s="317" t="s">
        <v>95</v>
      </c>
      <c r="O70" s="307" t="s">
        <v>35</v>
      </c>
      <c r="P70" s="314" t="s">
        <v>91</v>
      </c>
      <c r="Q70" s="501" t="s">
        <v>435</v>
      </c>
      <c r="R70" s="315" t="s">
        <v>94</v>
      </c>
      <c r="S70" s="176"/>
      <c r="T70" s="145"/>
      <c r="U70" s="145"/>
    </row>
    <row r="71" spans="1:21">
      <c r="A71" s="167">
        <v>865</v>
      </c>
      <c r="B71" s="196" t="s">
        <v>98</v>
      </c>
      <c r="C71" s="196">
        <v>12</v>
      </c>
      <c r="D71" s="196">
        <v>4</v>
      </c>
      <c r="E71" s="555" t="s">
        <v>358</v>
      </c>
      <c r="F71" s="53">
        <v>102.86</v>
      </c>
      <c r="G71" s="400" t="s">
        <v>587</v>
      </c>
      <c r="H71" s="526">
        <v>55.953598022460938</v>
      </c>
      <c r="I71" s="243">
        <v>-2.2799999999999998</v>
      </c>
      <c r="J71" s="449">
        <v>-0.89</v>
      </c>
      <c r="K71" s="66">
        <f t="shared" si="1"/>
        <v>22.723488999999997</v>
      </c>
      <c r="L71" s="481" t="s">
        <v>33</v>
      </c>
      <c r="M71" s="317" t="s">
        <v>85</v>
      </c>
      <c r="N71" s="317" t="s">
        <v>95</v>
      </c>
      <c r="O71" s="307" t="s">
        <v>35</v>
      </c>
      <c r="P71" s="314" t="s">
        <v>91</v>
      </c>
      <c r="Q71" s="501" t="s">
        <v>435</v>
      </c>
      <c r="R71" s="315" t="s">
        <v>94</v>
      </c>
      <c r="S71" s="176"/>
      <c r="T71" s="145"/>
      <c r="U71" s="145"/>
    </row>
    <row r="72" spans="1:21">
      <c r="A72" s="167">
        <v>865</v>
      </c>
      <c r="B72" s="196" t="s">
        <v>98</v>
      </c>
      <c r="C72" s="196">
        <v>12</v>
      </c>
      <c r="D72" s="196">
        <v>4</v>
      </c>
      <c r="E72" s="555" t="s">
        <v>358</v>
      </c>
      <c r="F72" s="53">
        <v>102.86</v>
      </c>
      <c r="G72" s="400" t="s">
        <v>587</v>
      </c>
      <c r="H72" s="526">
        <v>55.953598022460938</v>
      </c>
      <c r="I72" s="243">
        <v>-2.12</v>
      </c>
      <c r="J72" s="449">
        <v>-0.89</v>
      </c>
      <c r="K72" s="66">
        <f t="shared" si="1"/>
        <v>21.943361000000003</v>
      </c>
      <c r="L72" s="481" t="s">
        <v>33</v>
      </c>
      <c r="M72" s="317" t="s">
        <v>85</v>
      </c>
      <c r="N72" s="317" t="s">
        <v>95</v>
      </c>
      <c r="O72" s="307" t="s">
        <v>35</v>
      </c>
      <c r="P72" s="314" t="s">
        <v>91</v>
      </c>
      <c r="Q72" s="501" t="s">
        <v>435</v>
      </c>
      <c r="R72" s="315" t="s">
        <v>94</v>
      </c>
      <c r="S72" s="176"/>
      <c r="T72" s="145"/>
      <c r="U72" s="145"/>
    </row>
    <row r="73" spans="1:21">
      <c r="A73" s="167">
        <v>865</v>
      </c>
      <c r="B73" s="196" t="s">
        <v>98</v>
      </c>
      <c r="C73" s="196">
        <v>12</v>
      </c>
      <c r="D73" s="196">
        <v>4</v>
      </c>
      <c r="E73" s="555" t="s">
        <v>358</v>
      </c>
      <c r="F73" s="53">
        <v>102.86</v>
      </c>
      <c r="G73" s="400" t="s">
        <v>587</v>
      </c>
      <c r="H73" s="526">
        <v>55.953598022460938</v>
      </c>
      <c r="I73" s="243">
        <v>-1.86</v>
      </c>
      <c r="J73" s="449">
        <v>-0.89</v>
      </c>
      <c r="K73" s="66">
        <f t="shared" si="1"/>
        <v>20.685480999999999</v>
      </c>
      <c r="L73" s="481" t="s">
        <v>33</v>
      </c>
      <c r="M73" s="317" t="s">
        <v>85</v>
      </c>
      <c r="N73" s="317" t="s">
        <v>95</v>
      </c>
      <c r="O73" s="307" t="s">
        <v>35</v>
      </c>
      <c r="P73" s="314" t="s">
        <v>91</v>
      </c>
      <c r="Q73" s="501" t="s">
        <v>435</v>
      </c>
      <c r="R73" s="315" t="s">
        <v>94</v>
      </c>
      <c r="S73" s="176"/>
      <c r="T73" s="145"/>
      <c r="U73" s="145"/>
    </row>
    <row r="74" spans="1:21">
      <c r="A74" s="167">
        <v>865</v>
      </c>
      <c r="B74" s="196" t="s">
        <v>98</v>
      </c>
      <c r="C74" s="196">
        <v>12</v>
      </c>
      <c r="D74" s="196">
        <v>4</v>
      </c>
      <c r="E74" s="555" t="s">
        <v>358</v>
      </c>
      <c r="F74" s="53">
        <v>102.86</v>
      </c>
      <c r="G74" s="400" t="s">
        <v>587</v>
      </c>
      <c r="H74" s="526">
        <v>55.953598022460938</v>
      </c>
      <c r="I74" s="243">
        <v>-2.2200000000000002</v>
      </c>
      <c r="J74" s="449">
        <v>-0.89</v>
      </c>
      <c r="K74" s="66">
        <f t="shared" si="1"/>
        <v>22.430401</v>
      </c>
      <c r="L74" s="481" t="s">
        <v>33</v>
      </c>
      <c r="M74" s="317" t="s">
        <v>85</v>
      </c>
      <c r="N74" s="317" t="s">
        <v>95</v>
      </c>
      <c r="O74" s="307" t="s">
        <v>35</v>
      </c>
      <c r="P74" s="314" t="s">
        <v>91</v>
      </c>
      <c r="Q74" s="501" t="s">
        <v>435</v>
      </c>
      <c r="R74" s="315" t="s">
        <v>94</v>
      </c>
      <c r="S74" s="176"/>
      <c r="T74" s="145"/>
      <c r="U74" s="145"/>
    </row>
    <row r="75" spans="1:21">
      <c r="A75" s="167">
        <v>865</v>
      </c>
      <c r="B75" s="196" t="s">
        <v>98</v>
      </c>
      <c r="C75" s="196">
        <v>12</v>
      </c>
      <c r="D75" s="196">
        <v>4</v>
      </c>
      <c r="E75" s="555" t="s">
        <v>358</v>
      </c>
      <c r="F75" s="53">
        <v>102.86</v>
      </c>
      <c r="G75" s="400" t="s">
        <v>587</v>
      </c>
      <c r="H75" s="526">
        <v>55.953598022460938</v>
      </c>
      <c r="I75" s="243">
        <v>-1.82</v>
      </c>
      <c r="J75" s="449">
        <v>-0.89</v>
      </c>
      <c r="K75" s="66">
        <f t="shared" si="1"/>
        <v>20.493041000000002</v>
      </c>
      <c r="L75" s="481" t="s">
        <v>33</v>
      </c>
      <c r="M75" s="317" t="s">
        <v>85</v>
      </c>
      <c r="N75" s="317" t="s">
        <v>95</v>
      </c>
      <c r="O75" s="307" t="s">
        <v>35</v>
      </c>
      <c r="P75" s="314" t="s">
        <v>91</v>
      </c>
      <c r="Q75" s="501" t="s">
        <v>435</v>
      </c>
      <c r="R75" s="315" t="s">
        <v>94</v>
      </c>
      <c r="S75" s="176"/>
      <c r="T75" s="145"/>
      <c r="U75" s="145"/>
    </row>
    <row r="76" spans="1:21">
      <c r="A76" s="167">
        <v>865</v>
      </c>
      <c r="B76" s="196" t="s">
        <v>98</v>
      </c>
      <c r="C76" s="196">
        <v>12</v>
      </c>
      <c r="D76" s="196">
        <v>4</v>
      </c>
      <c r="E76" s="555" t="s">
        <v>360</v>
      </c>
      <c r="F76" s="53">
        <v>102.9</v>
      </c>
      <c r="G76" s="400" t="s">
        <v>587</v>
      </c>
      <c r="H76" s="526">
        <v>55.959999084472656</v>
      </c>
      <c r="I76" s="243">
        <v>-2.2200000000000002</v>
      </c>
      <c r="J76" s="449">
        <v>-0.89</v>
      </c>
      <c r="K76" s="66">
        <f t="shared" si="1"/>
        <v>22.430401</v>
      </c>
      <c r="L76" s="481" t="s">
        <v>33</v>
      </c>
      <c r="M76" s="317" t="s">
        <v>85</v>
      </c>
      <c r="N76" s="317" t="s">
        <v>95</v>
      </c>
      <c r="O76" s="307" t="s">
        <v>35</v>
      </c>
      <c r="P76" s="314" t="s">
        <v>91</v>
      </c>
      <c r="Q76" s="501" t="s">
        <v>435</v>
      </c>
      <c r="R76" s="315" t="s">
        <v>94</v>
      </c>
      <c r="S76" s="176"/>
      <c r="T76" s="145"/>
      <c r="U76" s="145"/>
    </row>
    <row r="77" spans="1:21">
      <c r="A77" s="167">
        <v>865</v>
      </c>
      <c r="B77" s="196" t="s">
        <v>98</v>
      </c>
      <c r="C77" s="196">
        <v>12</v>
      </c>
      <c r="D77" s="196">
        <v>4</v>
      </c>
      <c r="E77" s="555" t="s">
        <v>360</v>
      </c>
      <c r="F77" s="53">
        <v>102.9</v>
      </c>
      <c r="G77" s="400" t="s">
        <v>587</v>
      </c>
      <c r="H77" s="526">
        <v>55.959999084472656</v>
      </c>
      <c r="I77" s="243">
        <v>-2.27</v>
      </c>
      <c r="J77" s="449">
        <v>-0.89</v>
      </c>
      <c r="K77" s="66">
        <f t="shared" ref="K77:K139" si="2">16.1-4.64*($I77-J77)+0.09*($I77-J77)^2</f>
        <v>22.674596000000001</v>
      </c>
      <c r="L77" s="481" t="s">
        <v>33</v>
      </c>
      <c r="M77" s="317" t="s">
        <v>85</v>
      </c>
      <c r="N77" s="317" t="s">
        <v>95</v>
      </c>
      <c r="O77" s="307" t="s">
        <v>35</v>
      </c>
      <c r="P77" s="314" t="s">
        <v>91</v>
      </c>
      <c r="Q77" s="501" t="s">
        <v>435</v>
      </c>
      <c r="R77" s="315" t="s">
        <v>94</v>
      </c>
      <c r="S77" s="176"/>
      <c r="T77" s="145"/>
      <c r="U77" s="145"/>
    </row>
    <row r="78" spans="1:21">
      <c r="A78" s="167">
        <v>865</v>
      </c>
      <c r="B78" s="196" t="s">
        <v>98</v>
      </c>
      <c r="C78" s="196">
        <v>12</v>
      </c>
      <c r="D78" s="196">
        <v>4</v>
      </c>
      <c r="E78" s="555" t="s">
        <v>360</v>
      </c>
      <c r="F78" s="53">
        <v>102.9</v>
      </c>
      <c r="G78" s="400" t="s">
        <v>587</v>
      </c>
      <c r="H78" s="526">
        <v>55.959999084472656</v>
      </c>
      <c r="I78" s="243">
        <v>-2.04</v>
      </c>
      <c r="J78" s="449">
        <v>-0.89</v>
      </c>
      <c r="K78" s="66">
        <f t="shared" si="2"/>
        <v>21.555025000000001</v>
      </c>
      <c r="L78" s="481" t="s">
        <v>33</v>
      </c>
      <c r="M78" s="317" t="s">
        <v>85</v>
      </c>
      <c r="N78" s="317" t="s">
        <v>95</v>
      </c>
      <c r="O78" s="307" t="s">
        <v>35</v>
      </c>
      <c r="P78" s="314" t="s">
        <v>91</v>
      </c>
      <c r="Q78" s="501" t="s">
        <v>435</v>
      </c>
      <c r="R78" s="315" t="s">
        <v>94</v>
      </c>
      <c r="S78" s="176"/>
      <c r="T78" s="145"/>
      <c r="U78" s="145"/>
    </row>
    <row r="79" spans="1:21">
      <c r="A79" s="167">
        <v>865</v>
      </c>
      <c r="B79" s="196" t="s">
        <v>98</v>
      </c>
      <c r="C79" s="196">
        <v>12</v>
      </c>
      <c r="D79" s="196">
        <v>4</v>
      </c>
      <c r="E79" s="555" t="s">
        <v>360</v>
      </c>
      <c r="F79" s="53">
        <v>102.9</v>
      </c>
      <c r="G79" s="400" t="s">
        <v>587</v>
      </c>
      <c r="H79" s="526">
        <v>55.959999084472656</v>
      </c>
      <c r="I79" s="243">
        <v>-2.33</v>
      </c>
      <c r="J79" s="449">
        <v>-0.89</v>
      </c>
      <c r="K79" s="66">
        <f t="shared" si="2"/>
        <v>22.968223999999999</v>
      </c>
      <c r="L79" s="481" t="s">
        <v>33</v>
      </c>
      <c r="M79" s="317" t="s">
        <v>85</v>
      </c>
      <c r="N79" s="317" t="s">
        <v>95</v>
      </c>
      <c r="O79" s="307" t="s">
        <v>35</v>
      </c>
      <c r="P79" s="314" t="s">
        <v>91</v>
      </c>
      <c r="Q79" s="501" t="s">
        <v>435</v>
      </c>
      <c r="R79" s="315" t="s">
        <v>94</v>
      </c>
      <c r="S79" s="176"/>
      <c r="T79" s="145"/>
      <c r="U79" s="145"/>
    </row>
    <row r="80" spans="1:21">
      <c r="A80" s="167">
        <v>865</v>
      </c>
      <c r="B80" s="196" t="s">
        <v>98</v>
      </c>
      <c r="C80" s="196">
        <v>12</v>
      </c>
      <c r="D80" s="196">
        <v>4</v>
      </c>
      <c r="E80" s="555" t="s">
        <v>360</v>
      </c>
      <c r="F80" s="53">
        <v>102.9</v>
      </c>
      <c r="G80" s="400" t="s">
        <v>587</v>
      </c>
      <c r="H80" s="526">
        <v>55.959999084472656</v>
      </c>
      <c r="I80" s="243">
        <v>-1.99</v>
      </c>
      <c r="J80" s="449">
        <v>-0.89</v>
      </c>
      <c r="K80" s="66">
        <f t="shared" si="2"/>
        <v>21.312899999999999</v>
      </c>
      <c r="L80" s="481" t="s">
        <v>33</v>
      </c>
      <c r="M80" s="317" t="s">
        <v>85</v>
      </c>
      <c r="N80" s="317" t="s">
        <v>95</v>
      </c>
      <c r="O80" s="307" t="s">
        <v>35</v>
      </c>
      <c r="P80" s="314" t="s">
        <v>91</v>
      </c>
      <c r="Q80" s="501" t="s">
        <v>435</v>
      </c>
      <c r="R80" s="315" t="s">
        <v>94</v>
      </c>
      <c r="S80" s="176"/>
      <c r="T80" s="145"/>
      <c r="U80" s="145"/>
    </row>
    <row r="81" spans="1:21">
      <c r="A81" s="167">
        <v>865</v>
      </c>
      <c r="B81" s="196" t="s">
        <v>98</v>
      </c>
      <c r="C81" s="196">
        <v>12</v>
      </c>
      <c r="D81" s="196">
        <v>4</v>
      </c>
      <c r="E81" s="555" t="s">
        <v>360</v>
      </c>
      <c r="F81" s="53">
        <v>102.9</v>
      </c>
      <c r="G81" s="400" t="s">
        <v>587</v>
      </c>
      <c r="H81" s="526">
        <v>55.959999084472656</v>
      </c>
      <c r="I81" s="243">
        <v>-2.0499999999999998</v>
      </c>
      <c r="J81" s="449">
        <v>-0.89</v>
      </c>
      <c r="K81" s="66">
        <f t="shared" si="2"/>
        <v>21.603503999999997</v>
      </c>
      <c r="L81" s="481" t="s">
        <v>33</v>
      </c>
      <c r="M81" s="317" t="s">
        <v>85</v>
      </c>
      <c r="N81" s="317" t="s">
        <v>95</v>
      </c>
      <c r="O81" s="307" t="s">
        <v>35</v>
      </c>
      <c r="P81" s="314" t="s">
        <v>91</v>
      </c>
      <c r="Q81" s="501" t="s">
        <v>435</v>
      </c>
      <c r="R81" s="315" t="s">
        <v>94</v>
      </c>
      <c r="S81" s="176"/>
      <c r="T81" s="145"/>
      <c r="U81" s="145"/>
    </row>
    <row r="82" spans="1:21">
      <c r="A82" s="167">
        <v>865</v>
      </c>
      <c r="B82" s="196" t="s">
        <v>98</v>
      </c>
      <c r="C82" s="196">
        <v>12</v>
      </c>
      <c r="D82" s="196">
        <v>4</v>
      </c>
      <c r="E82" s="555" t="s">
        <v>360</v>
      </c>
      <c r="F82" s="53">
        <v>102.9</v>
      </c>
      <c r="G82" s="400" t="s">
        <v>587</v>
      </c>
      <c r="H82" s="526">
        <v>55.959999084472656</v>
      </c>
      <c r="I82" s="243">
        <v>-1.94</v>
      </c>
      <c r="J82" s="449">
        <v>-0.89</v>
      </c>
      <c r="K82" s="66">
        <f t="shared" si="2"/>
        <v>21.071225000000002</v>
      </c>
      <c r="L82" s="481" t="s">
        <v>33</v>
      </c>
      <c r="M82" s="317" t="s">
        <v>85</v>
      </c>
      <c r="N82" s="317" t="s">
        <v>95</v>
      </c>
      <c r="O82" s="307" t="s">
        <v>35</v>
      </c>
      <c r="P82" s="314" t="s">
        <v>91</v>
      </c>
      <c r="Q82" s="501" t="s">
        <v>435</v>
      </c>
      <c r="R82" s="315" t="s">
        <v>94</v>
      </c>
      <c r="S82" s="176"/>
      <c r="T82" s="145"/>
      <c r="U82" s="145"/>
    </row>
    <row r="83" spans="1:21">
      <c r="A83" s="167">
        <v>865</v>
      </c>
      <c r="B83" s="196" t="s">
        <v>98</v>
      </c>
      <c r="C83" s="196">
        <v>12</v>
      </c>
      <c r="D83" s="196">
        <v>4</v>
      </c>
      <c r="E83" s="555" t="s">
        <v>360</v>
      </c>
      <c r="F83" s="53">
        <v>102.9</v>
      </c>
      <c r="G83" s="400" t="s">
        <v>587</v>
      </c>
      <c r="H83" s="526">
        <v>55.959999084472656</v>
      </c>
      <c r="I83" s="243">
        <v>-2.48</v>
      </c>
      <c r="J83" s="449">
        <v>-0.89</v>
      </c>
      <c r="K83" s="66">
        <f t="shared" si="2"/>
        <v>23.705129000000003</v>
      </c>
      <c r="L83" s="481" t="s">
        <v>33</v>
      </c>
      <c r="M83" s="317" t="s">
        <v>85</v>
      </c>
      <c r="N83" s="317" t="s">
        <v>95</v>
      </c>
      <c r="O83" s="307" t="s">
        <v>35</v>
      </c>
      <c r="P83" s="314" t="s">
        <v>91</v>
      </c>
      <c r="Q83" s="501" t="s">
        <v>435</v>
      </c>
      <c r="R83" s="315" t="s">
        <v>94</v>
      </c>
      <c r="S83" s="176"/>
      <c r="T83" s="145"/>
      <c r="U83" s="145"/>
    </row>
    <row r="84" spans="1:21">
      <c r="A84" s="167">
        <v>865</v>
      </c>
      <c r="B84" s="196" t="s">
        <v>98</v>
      </c>
      <c r="C84" s="196">
        <v>12</v>
      </c>
      <c r="D84" s="196">
        <v>4</v>
      </c>
      <c r="E84" s="555" t="s">
        <v>360</v>
      </c>
      <c r="F84" s="53">
        <v>102.9</v>
      </c>
      <c r="G84" s="400" t="s">
        <v>587</v>
      </c>
      <c r="H84" s="526">
        <v>55.959999084472656</v>
      </c>
      <c r="I84" s="243">
        <v>-2.2599999999999998</v>
      </c>
      <c r="J84" s="449">
        <v>-0.89</v>
      </c>
      <c r="K84" s="66">
        <f t="shared" si="2"/>
        <v>22.625721000000002</v>
      </c>
      <c r="L84" s="481" t="s">
        <v>33</v>
      </c>
      <c r="M84" s="317" t="s">
        <v>85</v>
      </c>
      <c r="N84" s="317" t="s">
        <v>95</v>
      </c>
      <c r="O84" s="307" t="s">
        <v>35</v>
      </c>
      <c r="P84" s="314" t="s">
        <v>91</v>
      </c>
      <c r="Q84" s="501" t="s">
        <v>435</v>
      </c>
      <c r="R84" s="315" t="s">
        <v>94</v>
      </c>
      <c r="S84" s="176"/>
      <c r="T84" s="145"/>
      <c r="U84" s="145"/>
    </row>
    <row r="85" spans="1:21">
      <c r="A85" s="167">
        <v>865</v>
      </c>
      <c r="B85" s="196" t="s">
        <v>98</v>
      </c>
      <c r="C85" s="196">
        <v>12</v>
      </c>
      <c r="D85" s="196">
        <v>4</v>
      </c>
      <c r="E85" s="555" t="s">
        <v>360</v>
      </c>
      <c r="F85" s="53">
        <v>102.9</v>
      </c>
      <c r="G85" s="400" t="s">
        <v>587</v>
      </c>
      <c r="H85" s="526">
        <v>55.959999084472656</v>
      </c>
      <c r="I85" s="243">
        <v>-1.91</v>
      </c>
      <c r="J85" s="449">
        <v>-0.89</v>
      </c>
      <c r="K85" s="66">
        <f t="shared" si="2"/>
        <v>20.926436000000002</v>
      </c>
      <c r="L85" s="481" t="s">
        <v>33</v>
      </c>
      <c r="M85" s="317" t="s">
        <v>85</v>
      </c>
      <c r="N85" s="317" t="s">
        <v>95</v>
      </c>
      <c r="O85" s="307" t="s">
        <v>35</v>
      </c>
      <c r="P85" s="314" t="s">
        <v>91</v>
      </c>
      <c r="Q85" s="501" t="s">
        <v>435</v>
      </c>
      <c r="R85" s="315" t="s">
        <v>94</v>
      </c>
      <c r="S85" s="176"/>
      <c r="T85" s="145"/>
      <c r="U85" s="145"/>
    </row>
    <row r="86" spans="1:21">
      <c r="A86" s="167">
        <v>865</v>
      </c>
      <c r="B86" s="196" t="s">
        <v>98</v>
      </c>
      <c r="C86" s="196">
        <v>12</v>
      </c>
      <c r="D86" s="196">
        <v>4</v>
      </c>
      <c r="E86" s="555" t="s">
        <v>360</v>
      </c>
      <c r="F86" s="53">
        <v>102.9</v>
      </c>
      <c r="G86" s="400" t="s">
        <v>587</v>
      </c>
      <c r="H86" s="526">
        <v>55.959999084472656</v>
      </c>
      <c r="I86" s="243">
        <v>-2.38</v>
      </c>
      <c r="J86" s="449">
        <v>-0.89</v>
      </c>
      <c r="K86" s="66">
        <f t="shared" si="2"/>
        <v>23.213408999999999</v>
      </c>
      <c r="L86" s="481" t="s">
        <v>33</v>
      </c>
      <c r="M86" s="317" t="s">
        <v>85</v>
      </c>
      <c r="N86" s="317" t="s">
        <v>95</v>
      </c>
      <c r="O86" s="307" t="s">
        <v>35</v>
      </c>
      <c r="P86" s="314" t="s">
        <v>91</v>
      </c>
      <c r="Q86" s="501" t="s">
        <v>435</v>
      </c>
      <c r="R86" s="315" t="s">
        <v>94</v>
      </c>
      <c r="S86" s="176"/>
      <c r="T86" s="145"/>
      <c r="U86" s="145"/>
    </row>
    <row r="87" spans="1:21">
      <c r="A87" s="167">
        <v>865</v>
      </c>
      <c r="B87" s="196" t="s">
        <v>98</v>
      </c>
      <c r="C87" s="196">
        <v>12</v>
      </c>
      <c r="D87" s="196">
        <v>4</v>
      </c>
      <c r="E87" s="555" t="s">
        <v>360</v>
      </c>
      <c r="F87" s="53">
        <v>102.9</v>
      </c>
      <c r="G87" s="400" t="s">
        <v>587</v>
      </c>
      <c r="H87" s="526">
        <v>55.959999084472656</v>
      </c>
      <c r="I87" s="243">
        <v>-2.06</v>
      </c>
      <c r="J87" s="449">
        <v>-0.89</v>
      </c>
      <c r="K87" s="66">
        <f t="shared" si="2"/>
        <v>21.652001000000002</v>
      </c>
      <c r="L87" s="481" t="s">
        <v>33</v>
      </c>
      <c r="M87" s="317" t="s">
        <v>85</v>
      </c>
      <c r="N87" s="317" t="s">
        <v>95</v>
      </c>
      <c r="O87" s="307" t="s">
        <v>35</v>
      </c>
      <c r="P87" s="314" t="s">
        <v>91</v>
      </c>
      <c r="Q87" s="501" t="s">
        <v>435</v>
      </c>
      <c r="R87" s="315" t="s">
        <v>94</v>
      </c>
      <c r="S87" s="176"/>
      <c r="T87" s="145"/>
      <c r="U87" s="145"/>
    </row>
    <row r="88" spans="1:21">
      <c r="A88" s="167">
        <v>865</v>
      </c>
      <c r="B88" s="196" t="s">
        <v>98</v>
      </c>
      <c r="C88" s="196">
        <v>12</v>
      </c>
      <c r="D88" s="196">
        <v>4</v>
      </c>
      <c r="E88" s="555" t="s">
        <v>360</v>
      </c>
      <c r="F88" s="53">
        <v>102.9</v>
      </c>
      <c r="G88" s="400" t="s">
        <v>587</v>
      </c>
      <c r="H88" s="526">
        <v>55.959999084472656</v>
      </c>
      <c r="I88" s="243">
        <v>-2.42</v>
      </c>
      <c r="J88" s="449">
        <v>-0.89</v>
      </c>
      <c r="K88" s="66">
        <f t="shared" si="2"/>
        <v>23.409881000000002</v>
      </c>
      <c r="L88" s="481" t="s">
        <v>33</v>
      </c>
      <c r="M88" s="317" t="s">
        <v>85</v>
      </c>
      <c r="N88" s="317" t="s">
        <v>95</v>
      </c>
      <c r="O88" s="307" t="s">
        <v>35</v>
      </c>
      <c r="P88" s="314" t="s">
        <v>91</v>
      </c>
      <c r="Q88" s="501" t="s">
        <v>435</v>
      </c>
      <c r="R88" s="315" t="s">
        <v>94</v>
      </c>
      <c r="S88" s="176"/>
      <c r="T88" s="145"/>
      <c r="U88" s="145"/>
    </row>
    <row r="89" spans="1:21">
      <c r="A89" s="167">
        <v>865</v>
      </c>
      <c r="B89" s="196" t="s">
        <v>98</v>
      </c>
      <c r="C89" s="196">
        <v>12</v>
      </c>
      <c r="D89" s="196">
        <v>4</v>
      </c>
      <c r="E89" s="555" t="s">
        <v>360</v>
      </c>
      <c r="F89" s="53">
        <v>102.9</v>
      </c>
      <c r="G89" s="400" t="s">
        <v>587</v>
      </c>
      <c r="H89" s="526">
        <v>55.959999084472656</v>
      </c>
      <c r="I89" s="243">
        <v>-2.19</v>
      </c>
      <c r="J89" s="449">
        <v>-0.89</v>
      </c>
      <c r="K89" s="66">
        <f t="shared" si="2"/>
        <v>22.284100000000002</v>
      </c>
      <c r="L89" s="481" t="s">
        <v>33</v>
      </c>
      <c r="M89" s="317" t="s">
        <v>85</v>
      </c>
      <c r="N89" s="317" t="s">
        <v>95</v>
      </c>
      <c r="O89" s="307" t="s">
        <v>35</v>
      </c>
      <c r="P89" s="314" t="s">
        <v>91</v>
      </c>
      <c r="Q89" s="501" t="s">
        <v>435</v>
      </c>
      <c r="R89" s="315" t="s">
        <v>94</v>
      </c>
      <c r="S89" s="176"/>
      <c r="T89" s="145"/>
      <c r="U89" s="145"/>
    </row>
    <row r="90" spans="1:21">
      <c r="A90" s="167">
        <v>865</v>
      </c>
      <c r="B90" s="196" t="s">
        <v>98</v>
      </c>
      <c r="C90" s="196">
        <v>12</v>
      </c>
      <c r="D90" s="196">
        <v>4</v>
      </c>
      <c r="E90" s="196" t="s">
        <v>584</v>
      </c>
      <c r="F90" s="196">
        <v>102.94</v>
      </c>
      <c r="G90" s="196"/>
      <c r="H90" s="526">
        <v>55.964912414550781</v>
      </c>
      <c r="I90" s="243">
        <v>-1.92</v>
      </c>
      <c r="J90" s="449">
        <v>-0.89</v>
      </c>
      <c r="K90" s="789">
        <f t="shared" si="2"/>
        <v>20.974681</v>
      </c>
      <c r="L90" s="481" t="s">
        <v>33</v>
      </c>
      <c r="M90" s="317" t="s">
        <v>85</v>
      </c>
      <c r="N90" s="317" t="s">
        <v>95</v>
      </c>
      <c r="O90" s="307" t="s">
        <v>35</v>
      </c>
      <c r="P90" s="314" t="s">
        <v>91</v>
      </c>
      <c r="Q90" s="501" t="s">
        <v>435</v>
      </c>
      <c r="R90" s="315" t="s">
        <v>94</v>
      </c>
      <c r="S90" s="176"/>
      <c r="T90" s="145"/>
      <c r="U90" s="145"/>
    </row>
    <row r="91" spans="1:21">
      <c r="A91" s="167">
        <v>865</v>
      </c>
      <c r="B91" s="196" t="s">
        <v>98</v>
      </c>
      <c r="C91" s="196">
        <v>12</v>
      </c>
      <c r="D91" s="196">
        <v>4</v>
      </c>
      <c r="E91" s="196" t="s">
        <v>584</v>
      </c>
      <c r="F91" s="196">
        <v>102.94</v>
      </c>
      <c r="G91" s="196"/>
      <c r="H91" s="526">
        <v>55.964912414550781</v>
      </c>
      <c r="I91" s="243">
        <v>-2.12</v>
      </c>
      <c r="J91" s="449">
        <v>-0.89</v>
      </c>
      <c r="K91" s="789">
        <f t="shared" si="2"/>
        <v>21.943361000000003</v>
      </c>
      <c r="L91" s="481" t="s">
        <v>33</v>
      </c>
      <c r="M91" s="317" t="s">
        <v>85</v>
      </c>
      <c r="N91" s="317" t="s">
        <v>95</v>
      </c>
      <c r="O91" s="307" t="s">
        <v>35</v>
      </c>
      <c r="P91" s="314" t="s">
        <v>91</v>
      </c>
      <c r="Q91" s="501" t="s">
        <v>435</v>
      </c>
      <c r="R91" s="315" t="s">
        <v>94</v>
      </c>
      <c r="S91" s="176"/>
      <c r="T91" s="145"/>
      <c r="U91" s="145"/>
    </row>
    <row r="92" spans="1:21">
      <c r="A92" s="167">
        <v>865</v>
      </c>
      <c r="B92" s="196" t="s">
        <v>98</v>
      </c>
      <c r="C92" s="196">
        <v>12</v>
      </c>
      <c r="D92" s="196">
        <v>4</v>
      </c>
      <c r="E92" s="196" t="s">
        <v>584</v>
      </c>
      <c r="F92" s="196">
        <v>102.94</v>
      </c>
      <c r="G92" s="196"/>
      <c r="H92" s="526">
        <v>55.964912414550781</v>
      </c>
      <c r="I92" s="243">
        <v>-2.2200000000000002</v>
      </c>
      <c r="J92" s="449">
        <v>-0.89</v>
      </c>
      <c r="K92" s="789">
        <f t="shared" si="2"/>
        <v>22.430401</v>
      </c>
      <c r="L92" s="481" t="s">
        <v>33</v>
      </c>
      <c r="M92" s="317" t="s">
        <v>85</v>
      </c>
      <c r="N92" s="317" t="s">
        <v>95</v>
      </c>
      <c r="O92" s="307" t="s">
        <v>35</v>
      </c>
      <c r="P92" s="314" t="s">
        <v>91</v>
      </c>
      <c r="Q92" s="501" t="s">
        <v>435</v>
      </c>
      <c r="R92" s="315" t="s">
        <v>94</v>
      </c>
      <c r="S92" s="176"/>
      <c r="T92" s="145"/>
      <c r="U92" s="145"/>
    </row>
    <row r="93" spans="1:21">
      <c r="A93" s="167">
        <v>865</v>
      </c>
      <c r="B93" s="196" t="s">
        <v>98</v>
      </c>
      <c r="C93" s="196">
        <v>12</v>
      </c>
      <c r="D93" s="196">
        <v>4</v>
      </c>
      <c r="E93" s="196" t="s">
        <v>584</v>
      </c>
      <c r="F93" s="196">
        <v>102.94</v>
      </c>
      <c r="G93" s="196"/>
      <c r="H93" s="526">
        <v>55.964912414550781</v>
      </c>
      <c r="I93" s="243">
        <v>-2.1800000000000002</v>
      </c>
      <c r="J93" s="449">
        <v>-0.89</v>
      </c>
      <c r="K93" s="789">
        <f t="shared" si="2"/>
        <v>22.235368999999999</v>
      </c>
      <c r="L93" s="481" t="s">
        <v>33</v>
      </c>
      <c r="M93" s="317" t="s">
        <v>85</v>
      </c>
      <c r="N93" s="317" t="s">
        <v>95</v>
      </c>
      <c r="O93" s="307" t="s">
        <v>35</v>
      </c>
      <c r="P93" s="314" t="s">
        <v>91</v>
      </c>
      <c r="Q93" s="501" t="s">
        <v>435</v>
      </c>
      <c r="R93" s="315" t="s">
        <v>94</v>
      </c>
      <c r="S93" s="176"/>
      <c r="T93" s="145"/>
      <c r="U93" s="145"/>
    </row>
    <row r="94" spans="1:21">
      <c r="A94" s="167">
        <v>865</v>
      </c>
      <c r="B94" s="196" t="s">
        <v>98</v>
      </c>
      <c r="C94" s="196">
        <v>12</v>
      </c>
      <c r="D94" s="196">
        <v>4</v>
      </c>
      <c r="E94" s="196" t="s">
        <v>584</v>
      </c>
      <c r="F94" s="196">
        <v>102.94</v>
      </c>
      <c r="G94" s="196"/>
      <c r="H94" s="526">
        <v>55.964912414550781</v>
      </c>
      <c r="I94" s="243">
        <v>-2.16</v>
      </c>
      <c r="J94" s="449">
        <v>-0.89</v>
      </c>
      <c r="K94" s="789">
        <f t="shared" si="2"/>
        <v>22.137961000000004</v>
      </c>
      <c r="L94" s="481" t="s">
        <v>33</v>
      </c>
      <c r="M94" s="317" t="s">
        <v>85</v>
      </c>
      <c r="N94" s="317" t="s">
        <v>95</v>
      </c>
      <c r="O94" s="307" t="s">
        <v>35</v>
      </c>
      <c r="P94" s="314" t="s">
        <v>91</v>
      </c>
      <c r="Q94" s="501" t="s">
        <v>435</v>
      </c>
      <c r="R94" s="315" t="s">
        <v>94</v>
      </c>
      <c r="S94" s="176"/>
      <c r="T94" s="145"/>
      <c r="U94" s="145"/>
    </row>
    <row r="95" spans="1:21">
      <c r="A95" s="167">
        <v>865</v>
      </c>
      <c r="B95" s="196" t="s">
        <v>98</v>
      </c>
      <c r="C95" s="196">
        <v>12</v>
      </c>
      <c r="D95" s="196">
        <v>4</v>
      </c>
      <c r="E95" s="196" t="s">
        <v>584</v>
      </c>
      <c r="F95" s="196">
        <v>102.94</v>
      </c>
      <c r="G95" s="196"/>
      <c r="H95" s="526">
        <v>55.964912414550781</v>
      </c>
      <c r="I95" s="243">
        <v>-2.16</v>
      </c>
      <c r="J95" s="449">
        <v>-0.89</v>
      </c>
      <c r="K95" s="789">
        <f t="shared" si="2"/>
        <v>22.137961000000004</v>
      </c>
      <c r="L95" s="481" t="s">
        <v>33</v>
      </c>
      <c r="M95" s="317" t="s">
        <v>85</v>
      </c>
      <c r="N95" s="317" t="s">
        <v>95</v>
      </c>
      <c r="O95" s="307" t="s">
        <v>35</v>
      </c>
      <c r="P95" s="314" t="s">
        <v>91</v>
      </c>
      <c r="Q95" s="501" t="s">
        <v>435</v>
      </c>
      <c r="R95" s="315" t="s">
        <v>94</v>
      </c>
      <c r="S95" s="176"/>
      <c r="T95" s="145"/>
      <c r="U95" s="145"/>
    </row>
    <row r="96" spans="1:21">
      <c r="A96" s="167">
        <v>865</v>
      </c>
      <c r="B96" s="196" t="s">
        <v>98</v>
      </c>
      <c r="C96" s="196">
        <v>12</v>
      </c>
      <c r="D96" s="196">
        <v>4</v>
      </c>
      <c r="E96" s="196" t="s">
        <v>584</v>
      </c>
      <c r="F96" s="196">
        <v>102.94</v>
      </c>
      <c r="G96" s="196"/>
      <c r="H96" s="526">
        <v>55.964912414550781</v>
      </c>
      <c r="I96" s="243">
        <v>-2.12</v>
      </c>
      <c r="J96" s="449">
        <v>-0.89</v>
      </c>
      <c r="K96" s="789">
        <f t="shared" si="2"/>
        <v>21.943361000000003</v>
      </c>
      <c r="L96" s="481" t="s">
        <v>33</v>
      </c>
      <c r="M96" s="317" t="s">
        <v>85</v>
      </c>
      <c r="N96" s="317" t="s">
        <v>95</v>
      </c>
      <c r="O96" s="307" t="s">
        <v>35</v>
      </c>
      <c r="P96" s="314" t="s">
        <v>91</v>
      </c>
      <c r="Q96" s="501" t="s">
        <v>435</v>
      </c>
      <c r="R96" s="315" t="s">
        <v>94</v>
      </c>
      <c r="S96" s="176"/>
      <c r="T96" s="145"/>
      <c r="U96" s="145"/>
    </row>
    <row r="97" spans="1:21">
      <c r="A97" s="167">
        <v>865</v>
      </c>
      <c r="B97" s="196" t="s">
        <v>98</v>
      </c>
      <c r="C97" s="196">
        <v>12</v>
      </c>
      <c r="D97" s="196">
        <v>4</v>
      </c>
      <c r="E97" s="196" t="s">
        <v>584</v>
      </c>
      <c r="F97" s="196">
        <v>102.94</v>
      </c>
      <c r="G97" s="196"/>
      <c r="H97" s="526">
        <v>55.964912414550781</v>
      </c>
      <c r="I97" s="243">
        <v>-2.14</v>
      </c>
      <c r="J97" s="449">
        <v>-0.89</v>
      </c>
      <c r="K97" s="789">
        <f t="shared" si="2"/>
        <v>22.040625000000002</v>
      </c>
      <c r="L97" s="481" t="s">
        <v>33</v>
      </c>
      <c r="M97" s="317" t="s">
        <v>85</v>
      </c>
      <c r="N97" s="317" t="s">
        <v>95</v>
      </c>
      <c r="O97" s="307" t="s">
        <v>35</v>
      </c>
      <c r="P97" s="314" t="s">
        <v>91</v>
      </c>
      <c r="Q97" s="501" t="s">
        <v>435</v>
      </c>
      <c r="R97" s="315" t="s">
        <v>94</v>
      </c>
      <c r="S97" s="176"/>
      <c r="T97" s="145"/>
      <c r="U97" s="145"/>
    </row>
    <row r="98" spans="1:21">
      <c r="A98" s="167">
        <v>865</v>
      </c>
      <c r="B98" s="196" t="s">
        <v>98</v>
      </c>
      <c r="C98" s="196">
        <v>12</v>
      </c>
      <c r="D98" s="196">
        <v>4</v>
      </c>
      <c r="E98" s="196" t="s">
        <v>584</v>
      </c>
      <c r="F98" s="196">
        <v>102.94</v>
      </c>
      <c r="G98" s="196"/>
      <c r="H98" s="526">
        <v>55.964912414550781</v>
      </c>
      <c r="I98" s="243">
        <v>-1.95</v>
      </c>
      <c r="J98" s="449">
        <v>-0.89</v>
      </c>
      <c r="K98" s="789">
        <f t="shared" si="2"/>
        <v>21.119523999999998</v>
      </c>
      <c r="L98" s="481" t="s">
        <v>33</v>
      </c>
      <c r="M98" s="317" t="s">
        <v>85</v>
      </c>
      <c r="N98" s="317" t="s">
        <v>95</v>
      </c>
      <c r="O98" s="307" t="s">
        <v>35</v>
      </c>
      <c r="P98" s="314" t="s">
        <v>91</v>
      </c>
      <c r="Q98" s="501" t="s">
        <v>435</v>
      </c>
      <c r="R98" s="315" t="s">
        <v>94</v>
      </c>
      <c r="S98" s="176"/>
      <c r="T98" s="145"/>
      <c r="U98" s="145"/>
    </row>
    <row r="99" spans="1:21">
      <c r="A99" s="167">
        <v>865</v>
      </c>
      <c r="B99" s="196" t="s">
        <v>98</v>
      </c>
      <c r="C99" s="196">
        <v>12</v>
      </c>
      <c r="D99" s="196">
        <v>4</v>
      </c>
      <c r="E99" s="196" t="s">
        <v>584</v>
      </c>
      <c r="F99" s="196">
        <v>102.94</v>
      </c>
      <c r="G99" s="196"/>
      <c r="H99" s="526">
        <v>55.964912414550781</v>
      </c>
      <c r="I99" s="243">
        <v>-2.36</v>
      </c>
      <c r="J99" s="449">
        <v>-0.89</v>
      </c>
      <c r="K99" s="789">
        <f t="shared" si="2"/>
        <v>23.115281</v>
      </c>
      <c r="L99" s="481" t="s">
        <v>33</v>
      </c>
      <c r="M99" s="317" t="s">
        <v>85</v>
      </c>
      <c r="N99" s="317" t="s">
        <v>95</v>
      </c>
      <c r="O99" s="307" t="s">
        <v>35</v>
      </c>
      <c r="P99" s="314" t="s">
        <v>91</v>
      </c>
      <c r="Q99" s="501" t="s">
        <v>435</v>
      </c>
      <c r="R99" s="315" t="s">
        <v>94</v>
      </c>
      <c r="S99" s="176"/>
      <c r="T99" s="145"/>
      <c r="U99" s="145"/>
    </row>
    <row r="100" spans="1:21">
      <c r="A100" s="167">
        <v>865</v>
      </c>
      <c r="B100" s="196" t="s">
        <v>98</v>
      </c>
      <c r="C100" s="196">
        <v>12</v>
      </c>
      <c r="D100" s="196">
        <v>4</v>
      </c>
      <c r="E100" s="196" t="s">
        <v>102</v>
      </c>
      <c r="F100" s="196">
        <v>102.96</v>
      </c>
      <c r="G100" s="196"/>
      <c r="H100" s="526">
        <v>55.967369079589844</v>
      </c>
      <c r="I100" s="243">
        <v>-2.08</v>
      </c>
      <c r="J100" s="449">
        <v>-0.89</v>
      </c>
      <c r="K100" s="789">
        <f t="shared" si="2"/>
        <v>21.749048999999999</v>
      </c>
      <c r="L100" s="481" t="s">
        <v>33</v>
      </c>
      <c r="M100" s="317" t="s">
        <v>85</v>
      </c>
      <c r="N100" s="317" t="s">
        <v>95</v>
      </c>
      <c r="O100" s="307" t="s">
        <v>35</v>
      </c>
      <c r="P100" s="314" t="s">
        <v>91</v>
      </c>
      <c r="Q100" s="501" t="s">
        <v>435</v>
      </c>
      <c r="R100" s="315" t="s">
        <v>94</v>
      </c>
      <c r="S100" s="176"/>
      <c r="T100" s="145"/>
      <c r="U100" s="145"/>
    </row>
    <row r="101" spans="1:21">
      <c r="A101" s="167">
        <v>865</v>
      </c>
      <c r="B101" s="196" t="s">
        <v>98</v>
      </c>
      <c r="C101" s="196">
        <v>12</v>
      </c>
      <c r="D101" s="196">
        <v>4</v>
      </c>
      <c r="E101" s="196" t="s">
        <v>102</v>
      </c>
      <c r="F101" s="196">
        <v>102.96</v>
      </c>
      <c r="G101" s="196"/>
      <c r="H101" s="526">
        <v>55.967369079589844</v>
      </c>
      <c r="I101" s="243">
        <v>-2.0499999999999998</v>
      </c>
      <c r="J101" s="449">
        <v>-0.89</v>
      </c>
      <c r="K101" s="789">
        <f t="shared" si="2"/>
        <v>21.603503999999997</v>
      </c>
      <c r="L101" s="481" t="s">
        <v>33</v>
      </c>
      <c r="M101" s="317" t="s">
        <v>85</v>
      </c>
      <c r="N101" s="317" t="s">
        <v>95</v>
      </c>
      <c r="O101" s="307" t="s">
        <v>35</v>
      </c>
      <c r="P101" s="314" t="s">
        <v>91</v>
      </c>
      <c r="Q101" s="501" t="s">
        <v>435</v>
      </c>
      <c r="R101" s="315" t="s">
        <v>94</v>
      </c>
      <c r="S101" s="176"/>
      <c r="T101" s="145"/>
      <c r="U101" s="145"/>
    </row>
    <row r="102" spans="1:21">
      <c r="A102" s="167">
        <v>865</v>
      </c>
      <c r="B102" s="196" t="s">
        <v>98</v>
      </c>
      <c r="C102" s="196">
        <v>12</v>
      </c>
      <c r="D102" s="196">
        <v>4</v>
      </c>
      <c r="E102" s="196" t="s">
        <v>102</v>
      </c>
      <c r="F102" s="196">
        <v>102.96</v>
      </c>
      <c r="G102" s="196"/>
      <c r="H102" s="526">
        <v>55.967369079589844</v>
      </c>
      <c r="I102" s="243">
        <v>-2</v>
      </c>
      <c r="J102" s="449">
        <v>-0.89</v>
      </c>
      <c r="K102" s="789">
        <f t="shared" si="2"/>
        <v>21.361288999999999</v>
      </c>
      <c r="L102" s="481" t="s">
        <v>33</v>
      </c>
      <c r="M102" s="317" t="s">
        <v>85</v>
      </c>
      <c r="N102" s="317" t="s">
        <v>95</v>
      </c>
      <c r="O102" s="307" t="s">
        <v>35</v>
      </c>
      <c r="P102" s="314" t="s">
        <v>91</v>
      </c>
      <c r="Q102" s="501" t="s">
        <v>435</v>
      </c>
      <c r="R102" s="315" t="s">
        <v>94</v>
      </c>
      <c r="S102" s="176"/>
      <c r="T102" s="145"/>
      <c r="U102" s="145"/>
    </row>
    <row r="103" spans="1:21">
      <c r="A103" s="167">
        <v>865</v>
      </c>
      <c r="B103" s="196" t="s">
        <v>98</v>
      </c>
      <c r="C103" s="196">
        <v>12</v>
      </c>
      <c r="D103" s="196">
        <v>4</v>
      </c>
      <c r="E103" s="196" t="s">
        <v>102</v>
      </c>
      <c r="F103" s="196">
        <v>102.96</v>
      </c>
      <c r="G103" s="196"/>
      <c r="H103" s="526">
        <v>55.967369079589844</v>
      </c>
      <c r="I103" s="243">
        <v>-1.94</v>
      </c>
      <c r="J103" s="449">
        <v>-0.89</v>
      </c>
      <c r="K103" s="789">
        <f t="shared" si="2"/>
        <v>21.071225000000002</v>
      </c>
      <c r="L103" s="481" t="s">
        <v>33</v>
      </c>
      <c r="M103" s="317" t="s">
        <v>85</v>
      </c>
      <c r="N103" s="317" t="s">
        <v>95</v>
      </c>
      <c r="O103" s="307" t="s">
        <v>35</v>
      </c>
      <c r="P103" s="314" t="s">
        <v>91</v>
      </c>
      <c r="Q103" s="501" t="s">
        <v>435</v>
      </c>
      <c r="R103" s="315" t="s">
        <v>94</v>
      </c>
      <c r="S103" s="176"/>
      <c r="T103" s="145"/>
      <c r="U103" s="145"/>
    </row>
    <row r="104" spans="1:21">
      <c r="A104" s="167">
        <v>865</v>
      </c>
      <c r="B104" s="196" t="s">
        <v>98</v>
      </c>
      <c r="C104" s="196">
        <v>12</v>
      </c>
      <c r="D104" s="196">
        <v>4</v>
      </c>
      <c r="E104" s="196" t="s">
        <v>102</v>
      </c>
      <c r="F104" s="196">
        <v>102.96</v>
      </c>
      <c r="G104" s="196"/>
      <c r="H104" s="526">
        <v>55.967369079589844</v>
      </c>
      <c r="I104" s="243">
        <v>-1.96</v>
      </c>
      <c r="J104" s="449">
        <v>-0.89</v>
      </c>
      <c r="K104" s="789">
        <f t="shared" si="2"/>
        <v>21.167840999999999</v>
      </c>
      <c r="L104" s="481" t="s">
        <v>33</v>
      </c>
      <c r="M104" s="317" t="s">
        <v>85</v>
      </c>
      <c r="N104" s="317" t="s">
        <v>95</v>
      </c>
      <c r="O104" s="307" t="s">
        <v>35</v>
      </c>
      <c r="P104" s="314" t="s">
        <v>91</v>
      </c>
      <c r="Q104" s="501" t="s">
        <v>435</v>
      </c>
      <c r="R104" s="315" t="s">
        <v>94</v>
      </c>
      <c r="S104" s="176"/>
      <c r="T104" s="145"/>
      <c r="U104" s="145"/>
    </row>
    <row r="105" spans="1:21">
      <c r="A105" s="167">
        <v>865</v>
      </c>
      <c r="B105" s="196" t="s">
        <v>98</v>
      </c>
      <c r="C105" s="196">
        <v>12</v>
      </c>
      <c r="D105" s="196">
        <v>4</v>
      </c>
      <c r="E105" s="196" t="s">
        <v>102</v>
      </c>
      <c r="F105" s="196">
        <v>102.96</v>
      </c>
      <c r="G105" s="196"/>
      <c r="H105" s="526">
        <v>55.967369079589844</v>
      </c>
      <c r="I105" s="243">
        <v>-1.72</v>
      </c>
      <c r="J105" s="449">
        <v>-0.89</v>
      </c>
      <c r="K105" s="789">
        <f t="shared" si="2"/>
        <v>20.013200999999999</v>
      </c>
      <c r="L105" s="481" t="s">
        <v>33</v>
      </c>
      <c r="M105" s="317" t="s">
        <v>85</v>
      </c>
      <c r="N105" s="317" t="s">
        <v>95</v>
      </c>
      <c r="O105" s="307" t="s">
        <v>35</v>
      </c>
      <c r="P105" s="314" t="s">
        <v>91</v>
      </c>
      <c r="Q105" s="501" t="s">
        <v>435</v>
      </c>
      <c r="R105" s="315" t="s">
        <v>94</v>
      </c>
      <c r="S105" s="176"/>
      <c r="T105" s="145"/>
      <c r="U105" s="145"/>
    </row>
    <row r="106" spans="1:21">
      <c r="A106" s="167">
        <v>865</v>
      </c>
      <c r="B106" s="196" t="s">
        <v>98</v>
      </c>
      <c r="C106" s="196">
        <v>12</v>
      </c>
      <c r="D106" s="196">
        <v>4</v>
      </c>
      <c r="E106" s="196" t="s">
        <v>102</v>
      </c>
      <c r="F106" s="196">
        <v>102.96</v>
      </c>
      <c r="G106" s="196"/>
      <c r="H106" s="526">
        <v>55.967369079589844</v>
      </c>
      <c r="I106" s="243">
        <v>-2.16</v>
      </c>
      <c r="J106" s="449">
        <v>-0.89</v>
      </c>
      <c r="K106" s="789">
        <f t="shared" si="2"/>
        <v>22.137961000000004</v>
      </c>
      <c r="L106" s="481" t="s">
        <v>33</v>
      </c>
      <c r="M106" s="317" t="s">
        <v>85</v>
      </c>
      <c r="N106" s="317" t="s">
        <v>95</v>
      </c>
      <c r="O106" s="307" t="s">
        <v>35</v>
      </c>
      <c r="P106" s="314" t="s">
        <v>91</v>
      </c>
      <c r="Q106" s="501" t="s">
        <v>435</v>
      </c>
      <c r="R106" s="315" t="s">
        <v>94</v>
      </c>
      <c r="S106" s="176"/>
      <c r="T106" s="145"/>
      <c r="U106" s="145"/>
    </row>
    <row r="107" spans="1:21">
      <c r="A107" s="167">
        <v>865</v>
      </c>
      <c r="B107" s="196" t="s">
        <v>98</v>
      </c>
      <c r="C107" s="196">
        <v>12</v>
      </c>
      <c r="D107" s="196">
        <v>4</v>
      </c>
      <c r="E107" s="196" t="s">
        <v>102</v>
      </c>
      <c r="F107" s="196">
        <v>102.96</v>
      </c>
      <c r="G107" s="196"/>
      <c r="H107" s="526">
        <v>55.967369079589844</v>
      </c>
      <c r="I107" s="243">
        <v>-2.2200000000000002</v>
      </c>
      <c r="J107" s="449">
        <v>-0.89</v>
      </c>
      <c r="K107" s="789">
        <f t="shared" si="2"/>
        <v>22.430401</v>
      </c>
      <c r="L107" s="481" t="s">
        <v>33</v>
      </c>
      <c r="M107" s="317" t="s">
        <v>85</v>
      </c>
      <c r="N107" s="317" t="s">
        <v>95</v>
      </c>
      <c r="O107" s="307" t="s">
        <v>35</v>
      </c>
      <c r="P107" s="314" t="s">
        <v>91</v>
      </c>
      <c r="Q107" s="501" t="s">
        <v>435</v>
      </c>
      <c r="R107" s="315" t="s">
        <v>94</v>
      </c>
      <c r="S107" s="176"/>
      <c r="T107" s="145"/>
      <c r="U107" s="145"/>
    </row>
    <row r="108" spans="1:21">
      <c r="A108" s="167">
        <v>865</v>
      </c>
      <c r="B108" s="196" t="s">
        <v>98</v>
      </c>
      <c r="C108" s="196">
        <v>12</v>
      </c>
      <c r="D108" s="196">
        <v>4</v>
      </c>
      <c r="E108" s="196" t="s">
        <v>102</v>
      </c>
      <c r="F108" s="196">
        <v>102.96</v>
      </c>
      <c r="G108" s="196"/>
      <c r="H108" s="526">
        <v>55.967369079589844</v>
      </c>
      <c r="I108" s="243">
        <v>-1.42</v>
      </c>
      <c r="J108" s="449">
        <v>-0.89</v>
      </c>
      <c r="K108" s="789">
        <f t="shared" si="2"/>
        <v>18.584481</v>
      </c>
      <c r="L108" s="481" t="s">
        <v>33</v>
      </c>
      <c r="M108" s="317" t="s">
        <v>85</v>
      </c>
      <c r="N108" s="317" t="s">
        <v>95</v>
      </c>
      <c r="O108" s="307" t="s">
        <v>35</v>
      </c>
      <c r="P108" s="314" t="s">
        <v>91</v>
      </c>
      <c r="Q108" s="501" t="s">
        <v>435</v>
      </c>
      <c r="R108" s="315" t="s">
        <v>94</v>
      </c>
      <c r="S108" s="176"/>
      <c r="T108" s="145"/>
      <c r="U108" s="145"/>
    </row>
    <row r="109" spans="1:21">
      <c r="A109" s="167">
        <v>865</v>
      </c>
      <c r="B109" s="196" t="s">
        <v>98</v>
      </c>
      <c r="C109" s="196">
        <v>12</v>
      </c>
      <c r="D109" s="196">
        <v>4</v>
      </c>
      <c r="E109" s="196" t="s">
        <v>102</v>
      </c>
      <c r="F109" s="196">
        <v>102.96</v>
      </c>
      <c r="G109" s="196"/>
      <c r="H109" s="526">
        <v>55.967369079589844</v>
      </c>
      <c r="I109" s="243">
        <v>-1.61</v>
      </c>
      <c r="J109" s="449">
        <v>-0.89</v>
      </c>
      <c r="K109" s="789">
        <f t="shared" si="2"/>
        <v>19.487456000000002</v>
      </c>
      <c r="L109" s="481" t="s">
        <v>33</v>
      </c>
      <c r="M109" s="317" t="s">
        <v>85</v>
      </c>
      <c r="N109" s="317" t="s">
        <v>95</v>
      </c>
      <c r="O109" s="307" t="s">
        <v>35</v>
      </c>
      <c r="P109" s="314" t="s">
        <v>91</v>
      </c>
      <c r="Q109" s="501" t="s">
        <v>435</v>
      </c>
      <c r="R109" s="315" t="s">
        <v>94</v>
      </c>
      <c r="S109" s="176"/>
      <c r="T109" s="145"/>
      <c r="U109" s="145"/>
    </row>
    <row r="110" spans="1:21">
      <c r="A110" s="167">
        <v>865</v>
      </c>
      <c r="B110" s="196" t="s">
        <v>98</v>
      </c>
      <c r="C110" s="196">
        <v>12</v>
      </c>
      <c r="D110" s="196">
        <v>4</v>
      </c>
      <c r="E110" s="196" t="s">
        <v>102</v>
      </c>
      <c r="F110" s="196">
        <v>102.96</v>
      </c>
      <c r="G110" s="196"/>
      <c r="H110" s="526">
        <v>55.967369079589844</v>
      </c>
      <c r="I110" s="243">
        <v>-1.64</v>
      </c>
      <c r="J110" s="449">
        <v>-0.89</v>
      </c>
      <c r="K110" s="789">
        <f t="shared" si="2"/>
        <v>19.630625000000002</v>
      </c>
      <c r="L110" s="481" t="s">
        <v>33</v>
      </c>
      <c r="M110" s="317" t="s">
        <v>85</v>
      </c>
      <c r="N110" s="317" t="s">
        <v>95</v>
      </c>
      <c r="O110" s="307" t="s">
        <v>35</v>
      </c>
      <c r="P110" s="314" t="s">
        <v>91</v>
      </c>
      <c r="Q110" s="501" t="s">
        <v>435</v>
      </c>
      <c r="R110" s="315" t="s">
        <v>94</v>
      </c>
      <c r="S110" s="176"/>
      <c r="T110" s="145"/>
      <c r="U110" s="145"/>
    </row>
    <row r="111" spans="1:21">
      <c r="A111" s="167">
        <v>865</v>
      </c>
      <c r="B111" s="196" t="s">
        <v>98</v>
      </c>
      <c r="C111" s="196">
        <v>12</v>
      </c>
      <c r="D111" s="196">
        <v>4</v>
      </c>
      <c r="E111" s="196" t="s">
        <v>102</v>
      </c>
      <c r="F111" s="196">
        <v>102.96</v>
      </c>
      <c r="G111" s="196"/>
      <c r="H111" s="526">
        <v>55.967369079589844</v>
      </c>
      <c r="I111" s="243">
        <v>-2.1800000000000002</v>
      </c>
      <c r="J111" s="449">
        <v>-0.89</v>
      </c>
      <c r="K111" s="789">
        <f t="shared" si="2"/>
        <v>22.235368999999999</v>
      </c>
      <c r="L111" s="481" t="s">
        <v>33</v>
      </c>
      <c r="M111" s="317" t="s">
        <v>85</v>
      </c>
      <c r="N111" s="317" t="s">
        <v>95</v>
      </c>
      <c r="O111" s="307" t="s">
        <v>35</v>
      </c>
      <c r="P111" s="314" t="s">
        <v>91</v>
      </c>
      <c r="Q111" s="501" t="s">
        <v>435</v>
      </c>
      <c r="R111" s="315" t="s">
        <v>94</v>
      </c>
      <c r="S111" s="176"/>
      <c r="T111" s="145"/>
      <c r="U111" s="145"/>
    </row>
    <row r="112" spans="1:21">
      <c r="A112" s="167">
        <v>865</v>
      </c>
      <c r="B112" s="196" t="s">
        <v>98</v>
      </c>
      <c r="C112" s="196">
        <v>12</v>
      </c>
      <c r="D112" s="196">
        <v>4</v>
      </c>
      <c r="E112" s="196" t="s">
        <v>102</v>
      </c>
      <c r="F112" s="196">
        <v>102.96</v>
      </c>
      <c r="G112" s="196"/>
      <c r="H112" s="526">
        <v>55.967369079589844</v>
      </c>
      <c r="I112" s="243">
        <v>-1.98</v>
      </c>
      <c r="J112" s="449">
        <v>-0.89</v>
      </c>
      <c r="K112" s="789">
        <f t="shared" si="2"/>
        <v>21.264529000000003</v>
      </c>
      <c r="L112" s="481" t="s">
        <v>33</v>
      </c>
      <c r="M112" s="317" t="s">
        <v>85</v>
      </c>
      <c r="N112" s="317" t="s">
        <v>95</v>
      </c>
      <c r="O112" s="307" t="s">
        <v>35</v>
      </c>
      <c r="P112" s="314" t="s">
        <v>91</v>
      </c>
      <c r="Q112" s="501" t="s">
        <v>435</v>
      </c>
      <c r="R112" s="315" t="s">
        <v>94</v>
      </c>
      <c r="S112" s="176"/>
      <c r="T112" s="145"/>
      <c r="U112" s="145"/>
    </row>
    <row r="113" spans="1:21">
      <c r="A113" s="167">
        <v>865</v>
      </c>
      <c r="B113" s="196" t="s">
        <v>98</v>
      </c>
      <c r="C113" s="196">
        <v>12</v>
      </c>
      <c r="D113" s="196">
        <v>4</v>
      </c>
      <c r="E113" s="196" t="s">
        <v>102</v>
      </c>
      <c r="F113" s="196">
        <v>102.96</v>
      </c>
      <c r="G113" s="196"/>
      <c r="H113" s="526">
        <v>55.967369079589844</v>
      </c>
      <c r="I113" s="243">
        <v>-2.15</v>
      </c>
      <c r="J113" s="449">
        <v>-0.89</v>
      </c>
      <c r="K113" s="789">
        <f t="shared" si="2"/>
        <v>22.089283999999999</v>
      </c>
      <c r="L113" s="481" t="s">
        <v>33</v>
      </c>
      <c r="M113" s="317" t="s">
        <v>85</v>
      </c>
      <c r="N113" s="317" t="s">
        <v>95</v>
      </c>
      <c r="O113" s="307" t="s">
        <v>35</v>
      </c>
      <c r="P113" s="314" t="s">
        <v>91</v>
      </c>
      <c r="Q113" s="501" t="s">
        <v>435</v>
      </c>
      <c r="R113" s="315" t="s">
        <v>94</v>
      </c>
      <c r="S113" s="176"/>
      <c r="T113" s="145"/>
      <c r="U113" s="145"/>
    </row>
    <row r="114" spans="1:21">
      <c r="A114" s="167">
        <v>865</v>
      </c>
      <c r="B114" s="196" t="s">
        <v>98</v>
      </c>
      <c r="C114" s="196">
        <v>12</v>
      </c>
      <c r="D114" s="196">
        <v>4</v>
      </c>
      <c r="E114" s="196" t="s">
        <v>103</v>
      </c>
      <c r="F114" s="196">
        <v>102.98</v>
      </c>
      <c r="G114" s="196"/>
      <c r="H114" s="526">
        <v>55.969825744628906</v>
      </c>
      <c r="I114" s="243">
        <v>-1.99</v>
      </c>
      <c r="J114" s="449">
        <v>-0.89</v>
      </c>
      <c r="K114" s="789">
        <f t="shared" si="2"/>
        <v>21.312899999999999</v>
      </c>
      <c r="L114" s="481" t="s">
        <v>33</v>
      </c>
      <c r="M114" s="317" t="s">
        <v>85</v>
      </c>
      <c r="N114" s="317" t="s">
        <v>95</v>
      </c>
      <c r="O114" s="307" t="s">
        <v>35</v>
      </c>
      <c r="P114" s="314" t="s">
        <v>91</v>
      </c>
      <c r="Q114" s="501" t="s">
        <v>435</v>
      </c>
      <c r="R114" s="315" t="s">
        <v>94</v>
      </c>
      <c r="S114" s="176"/>
      <c r="T114" s="145"/>
      <c r="U114" s="145"/>
    </row>
    <row r="115" spans="1:21">
      <c r="A115" s="167">
        <v>865</v>
      </c>
      <c r="B115" s="196" t="s">
        <v>98</v>
      </c>
      <c r="C115" s="196">
        <v>12</v>
      </c>
      <c r="D115" s="196">
        <v>4</v>
      </c>
      <c r="E115" s="196" t="s">
        <v>103</v>
      </c>
      <c r="F115" s="196">
        <v>102.98</v>
      </c>
      <c r="G115" s="196"/>
      <c r="H115" s="526">
        <v>55.969825744628906</v>
      </c>
      <c r="I115" s="243">
        <v>-1.59</v>
      </c>
      <c r="J115" s="449">
        <v>-0.89</v>
      </c>
      <c r="K115" s="789">
        <f t="shared" si="2"/>
        <v>19.392100000000003</v>
      </c>
      <c r="L115" s="481" t="s">
        <v>33</v>
      </c>
      <c r="M115" s="317" t="s">
        <v>85</v>
      </c>
      <c r="N115" s="317" t="s">
        <v>95</v>
      </c>
      <c r="O115" s="307" t="s">
        <v>35</v>
      </c>
      <c r="P115" s="314" t="s">
        <v>91</v>
      </c>
      <c r="Q115" s="501" t="s">
        <v>435</v>
      </c>
      <c r="R115" s="315" t="s">
        <v>94</v>
      </c>
      <c r="S115" s="176"/>
      <c r="T115" s="145"/>
      <c r="U115" s="145"/>
    </row>
    <row r="116" spans="1:21">
      <c r="A116" s="167">
        <v>865</v>
      </c>
      <c r="B116" s="196" t="s">
        <v>98</v>
      </c>
      <c r="C116" s="196">
        <v>12</v>
      </c>
      <c r="D116" s="196">
        <v>4</v>
      </c>
      <c r="E116" s="196" t="s">
        <v>103</v>
      </c>
      <c r="F116" s="196">
        <v>102.98</v>
      </c>
      <c r="G116" s="196"/>
      <c r="H116" s="526">
        <v>55.969825744628906</v>
      </c>
      <c r="I116" s="243">
        <v>-1.96</v>
      </c>
      <c r="J116" s="449">
        <v>-0.89</v>
      </c>
      <c r="K116" s="789">
        <f t="shared" si="2"/>
        <v>21.167840999999999</v>
      </c>
      <c r="L116" s="481" t="s">
        <v>33</v>
      </c>
      <c r="M116" s="317" t="s">
        <v>85</v>
      </c>
      <c r="N116" s="317" t="s">
        <v>95</v>
      </c>
      <c r="O116" s="307" t="s">
        <v>35</v>
      </c>
      <c r="P116" s="314" t="s">
        <v>91</v>
      </c>
      <c r="Q116" s="501" t="s">
        <v>435</v>
      </c>
      <c r="R116" s="315" t="s">
        <v>94</v>
      </c>
      <c r="S116" s="176"/>
      <c r="T116" s="145"/>
      <c r="U116" s="145"/>
    </row>
    <row r="117" spans="1:21">
      <c r="A117" s="167">
        <v>865</v>
      </c>
      <c r="B117" s="196" t="s">
        <v>98</v>
      </c>
      <c r="C117" s="196">
        <v>12</v>
      </c>
      <c r="D117" s="196">
        <v>4</v>
      </c>
      <c r="E117" s="196" t="s">
        <v>103</v>
      </c>
      <c r="F117" s="196">
        <v>102.98</v>
      </c>
      <c r="G117" s="196"/>
      <c r="H117" s="526">
        <v>55.969825744628906</v>
      </c>
      <c r="I117" s="243">
        <v>-1.79</v>
      </c>
      <c r="J117" s="449">
        <v>-0.89</v>
      </c>
      <c r="K117" s="789">
        <f t="shared" si="2"/>
        <v>20.348900000000004</v>
      </c>
      <c r="L117" s="481" t="s">
        <v>33</v>
      </c>
      <c r="M117" s="317" t="s">
        <v>85</v>
      </c>
      <c r="N117" s="317" t="s">
        <v>95</v>
      </c>
      <c r="O117" s="307" t="s">
        <v>35</v>
      </c>
      <c r="P117" s="314" t="s">
        <v>91</v>
      </c>
      <c r="Q117" s="501" t="s">
        <v>435</v>
      </c>
      <c r="R117" s="315" t="s">
        <v>94</v>
      </c>
      <c r="S117" s="176"/>
      <c r="T117" s="145"/>
      <c r="U117" s="145"/>
    </row>
    <row r="118" spans="1:21">
      <c r="A118" s="167">
        <v>865</v>
      </c>
      <c r="B118" s="196" t="s">
        <v>98</v>
      </c>
      <c r="C118" s="196">
        <v>12</v>
      </c>
      <c r="D118" s="196">
        <v>4</v>
      </c>
      <c r="E118" s="196" t="s">
        <v>103</v>
      </c>
      <c r="F118" s="196">
        <v>102.98</v>
      </c>
      <c r="G118" s="196"/>
      <c r="H118" s="526">
        <v>55.969825744628906</v>
      </c>
      <c r="I118" s="243">
        <v>-2.34</v>
      </c>
      <c r="J118" s="449">
        <v>-0.89</v>
      </c>
      <c r="K118" s="789">
        <f t="shared" si="2"/>
        <v>23.017225</v>
      </c>
      <c r="L118" s="481" t="s">
        <v>33</v>
      </c>
      <c r="M118" s="317" t="s">
        <v>85</v>
      </c>
      <c r="N118" s="317" t="s">
        <v>95</v>
      </c>
      <c r="O118" s="307" t="s">
        <v>35</v>
      </c>
      <c r="P118" s="314" t="s">
        <v>91</v>
      </c>
      <c r="Q118" s="501" t="s">
        <v>435</v>
      </c>
      <c r="R118" s="315" t="s">
        <v>94</v>
      </c>
      <c r="S118" s="176"/>
      <c r="T118" s="145"/>
      <c r="U118" s="145"/>
    </row>
    <row r="119" spans="1:21">
      <c r="A119" s="167">
        <v>865</v>
      </c>
      <c r="B119" s="196" t="s">
        <v>98</v>
      </c>
      <c r="C119" s="196">
        <v>12</v>
      </c>
      <c r="D119" s="196">
        <v>4</v>
      </c>
      <c r="E119" s="196" t="s">
        <v>103</v>
      </c>
      <c r="F119" s="196">
        <v>102.98</v>
      </c>
      <c r="G119" s="196"/>
      <c r="H119" s="526">
        <v>55.969825744628906</v>
      </c>
      <c r="I119" s="243">
        <v>-1.65</v>
      </c>
      <c r="J119" s="449">
        <v>-0.89</v>
      </c>
      <c r="K119" s="789">
        <f t="shared" si="2"/>
        <v>19.678384000000001</v>
      </c>
      <c r="L119" s="481" t="s">
        <v>33</v>
      </c>
      <c r="M119" s="317" t="s">
        <v>85</v>
      </c>
      <c r="N119" s="317" t="s">
        <v>95</v>
      </c>
      <c r="O119" s="307" t="s">
        <v>35</v>
      </c>
      <c r="P119" s="314" t="s">
        <v>91</v>
      </c>
      <c r="Q119" s="501" t="s">
        <v>435</v>
      </c>
      <c r="R119" s="315" t="s">
        <v>94</v>
      </c>
      <c r="S119" s="176"/>
      <c r="T119" s="145"/>
      <c r="U119" s="145"/>
    </row>
    <row r="120" spans="1:21">
      <c r="A120" s="167">
        <v>865</v>
      </c>
      <c r="B120" s="196" t="s">
        <v>98</v>
      </c>
      <c r="C120" s="196">
        <v>12</v>
      </c>
      <c r="D120" s="196">
        <v>4</v>
      </c>
      <c r="E120" s="196" t="s">
        <v>103</v>
      </c>
      <c r="F120" s="196">
        <v>102.98</v>
      </c>
      <c r="G120" s="196"/>
      <c r="H120" s="526">
        <v>55.969825744628906</v>
      </c>
      <c r="I120" s="243">
        <v>-2.04</v>
      </c>
      <c r="J120" s="449">
        <v>-0.89</v>
      </c>
      <c r="K120" s="789">
        <f t="shared" si="2"/>
        <v>21.555025000000001</v>
      </c>
      <c r="L120" s="481" t="s">
        <v>33</v>
      </c>
      <c r="M120" s="317" t="s">
        <v>85</v>
      </c>
      <c r="N120" s="317" t="s">
        <v>95</v>
      </c>
      <c r="O120" s="307" t="s">
        <v>35</v>
      </c>
      <c r="P120" s="314" t="s">
        <v>91</v>
      </c>
      <c r="Q120" s="501" t="s">
        <v>435</v>
      </c>
      <c r="R120" s="315" t="s">
        <v>94</v>
      </c>
      <c r="S120" s="176"/>
      <c r="T120" s="145"/>
      <c r="U120" s="145"/>
    </row>
    <row r="121" spans="1:21">
      <c r="A121" s="167">
        <v>865</v>
      </c>
      <c r="B121" s="196" t="s">
        <v>98</v>
      </c>
      <c r="C121" s="196">
        <v>12</v>
      </c>
      <c r="D121" s="196">
        <v>4</v>
      </c>
      <c r="E121" s="196" t="s">
        <v>103</v>
      </c>
      <c r="F121" s="196">
        <v>102.98</v>
      </c>
      <c r="G121" s="196"/>
      <c r="H121" s="526">
        <v>55.969825744628906</v>
      </c>
      <c r="I121" s="243">
        <v>-2.2400000000000002</v>
      </c>
      <c r="J121" s="449">
        <v>-0.89</v>
      </c>
      <c r="K121" s="789">
        <f t="shared" si="2"/>
        <v>22.528025</v>
      </c>
      <c r="L121" s="481" t="s">
        <v>33</v>
      </c>
      <c r="M121" s="317" t="s">
        <v>85</v>
      </c>
      <c r="N121" s="317" t="s">
        <v>95</v>
      </c>
      <c r="O121" s="307" t="s">
        <v>35</v>
      </c>
      <c r="P121" s="314" t="s">
        <v>91</v>
      </c>
      <c r="Q121" s="501" t="s">
        <v>435</v>
      </c>
      <c r="R121" s="315" t="s">
        <v>94</v>
      </c>
      <c r="S121" s="176"/>
      <c r="T121" s="145"/>
      <c r="U121" s="145"/>
    </row>
    <row r="122" spans="1:21">
      <c r="A122" s="167">
        <v>865</v>
      </c>
      <c r="B122" s="196" t="s">
        <v>98</v>
      </c>
      <c r="C122" s="196">
        <v>12</v>
      </c>
      <c r="D122" s="196">
        <v>4</v>
      </c>
      <c r="E122" s="196" t="s">
        <v>103</v>
      </c>
      <c r="F122" s="196">
        <v>102.98</v>
      </c>
      <c r="G122" s="196"/>
      <c r="H122" s="526">
        <v>55.969825744628906</v>
      </c>
      <c r="I122" s="243">
        <v>-2.0099999999999998</v>
      </c>
      <c r="J122" s="449">
        <v>-0.89</v>
      </c>
      <c r="K122" s="789">
        <f t="shared" si="2"/>
        <v>21.409695999999997</v>
      </c>
      <c r="L122" s="481" t="s">
        <v>33</v>
      </c>
      <c r="M122" s="317" t="s">
        <v>85</v>
      </c>
      <c r="N122" s="317" t="s">
        <v>95</v>
      </c>
      <c r="O122" s="307" t="s">
        <v>35</v>
      </c>
      <c r="P122" s="314" t="s">
        <v>91</v>
      </c>
      <c r="Q122" s="501" t="s">
        <v>435</v>
      </c>
      <c r="R122" s="315" t="s">
        <v>94</v>
      </c>
      <c r="S122" s="176"/>
      <c r="T122" s="145"/>
      <c r="U122" s="145"/>
    </row>
    <row r="123" spans="1:21">
      <c r="A123" s="167">
        <v>865</v>
      </c>
      <c r="B123" s="196" t="s">
        <v>98</v>
      </c>
      <c r="C123" s="196">
        <v>12</v>
      </c>
      <c r="D123" s="196">
        <v>4</v>
      </c>
      <c r="E123" s="196" t="s">
        <v>103</v>
      </c>
      <c r="F123" s="196">
        <v>102.98</v>
      </c>
      <c r="G123" s="196"/>
      <c r="H123" s="526">
        <v>55.969825744628906</v>
      </c>
      <c r="I123" s="243">
        <v>-1.72</v>
      </c>
      <c r="J123" s="449">
        <v>-0.89</v>
      </c>
      <c r="K123" s="789">
        <f t="shared" si="2"/>
        <v>20.013200999999999</v>
      </c>
      <c r="L123" s="481" t="s">
        <v>33</v>
      </c>
      <c r="M123" s="317" t="s">
        <v>85</v>
      </c>
      <c r="N123" s="317" t="s">
        <v>95</v>
      </c>
      <c r="O123" s="307" t="s">
        <v>35</v>
      </c>
      <c r="P123" s="314" t="s">
        <v>91</v>
      </c>
      <c r="Q123" s="501" t="s">
        <v>435</v>
      </c>
      <c r="R123" s="315" t="s">
        <v>94</v>
      </c>
      <c r="S123" s="176"/>
      <c r="T123" s="145"/>
      <c r="U123" s="145"/>
    </row>
    <row r="124" spans="1:21">
      <c r="A124" s="167">
        <v>865</v>
      </c>
      <c r="B124" s="196" t="s">
        <v>98</v>
      </c>
      <c r="C124" s="196">
        <v>12</v>
      </c>
      <c r="D124" s="196">
        <v>4</v>
      </c>
      <c r="E124" s="196" t="s">
        <v>103</v>
      </c>
      <c r="F124" s="196">
        <v>102.98</v>
      </c>
      <c r="G124" s="196"/>
      <c r="H124" s="526">
        <v>55.969825744628906</v>
      </c>
      <c r="I124" s="243">
        <v>-2</v>
      </c>
      <c r="J124" s="449">
        <v>-0.89</v>
      </c>
      <c r="K124" s="789">
        <f t="shared" si="2"/>
        <v>21.361288999999999</v>
      </c>
      <c r="L124" s="481" t="s">
        <v>33</v>
      </c>
      <c r="M124" s="317" t="s">
        <v>85</v>
      </c>
      <c r="N124" s="317" t="s">
        <v>95</v>
      </c>
      <c r="O124" s="307" t="s">
        <v>35</v>
      </c>
      <c r="P124" s="314" t="s">
        <v>91</v>
      </c>
      <c r="Q124" s="501" t="s">
        <v>435</v>
      </c>
      <c r="R124" s="315" t="s">
        <v>94</v>
      </c>
      <c r="S124" s="176"/>
      <c r="T124" s="145"/>
      <c r="U124" s="145"/>
    </row>
    <row r="125" spans="1:21">
      <c r="A125" s="177">
        <v>865</v>
      </c>
      <c r="B125" s="226" t="s">
        <v>98</v>
      </c>
      <c r="C125" s="226">
        <v>12</v>
      </c>
      <c r="D125" s="226">
        <v>4</v>
      </c>
      <c r="E125" s="226" t="s">
        <v>103</v>
      </c>
      <c r="F125" s="226">
        <v>102.98</v>
      </c>
      <c r="G125" s="226"/>
      <c r="H125" s="556">
        <v>55.969825744628906</v>
      </c>
      <c r="I125" s="557">
        <v>-1.36</v>
      </c>
      <c r="J125" s="456">
        <v>-0.89</v>
      </c>
      <c r="K125" s="790">
        <f t="shared" si="2"/>
        <v>18.300681000000004</v>
      </c>
      <c r="L125" s="479" t="s">
        <v>33</v>
      </c>
      <c r="M125" s="386" t="s">
        <v>85</v>
      </c>
      <c r="N125" s="386" t="s">
        <v>95</v>
      </c>
      <c r="O125" s="387" t="s">
        <v>35</v>
      </c>
      <c r="P125" s="388" t="s">
        <v>91</v>
      </c>
      <c r="Q125" s="504" t="s">
        <v>435</v>
      </c>
      <c r="R125" s="315" t="s">
        <v>94</v>
      </c>
      <c r="S125" s="176"/>
      <c r="T125" s="145"/>
      <c r="U125" s="145"/>
    </row>
    <row r="126" spans="1:21">
      <c r="A126" s="167">
        <v>865</v>
      </c>
      <c r="B126" s="55" t="s">
        <v>98</v>
      </c>
      <c r="C126" s="196" t="s">
        <v>97</v>
      </c>
      <c r="D126" s="196">
        <v>4</v>
      </c>
      <c r="E126" s="555" t="s">
        <v>360</v>
      </c>
      <c r="F126" s="46">
        <v>102.9</v>
      </c>
      <c r="G126" s="196"/>
      <c r="H126" s="502">
        <v>55.959999084472656</v>
      </c>
      <c r="I126" s="548">
        <v>-1.46</v>
      </c>
      <c r="J126" s="449">
        <v>-0.89</v>
      </c>
      <c r="K126" s="789">
        <f t="shared" si="2"/>
        <v>18.774041</v>
      </c>
      <c r="L126" s="562" t="s">
        <v>665</v>
      </c>
      <c r="M126" s="317" t="s">
        <v>85</v>
      </c>
      <c r="N126" s="317" t="s">
        <v>95</v>
      </c>
      <c r="O126" s="307" t="s">
        <v>44</v>
      </c>
      <c r="P126" s="314" t="s">
        <v>91</v>
      </c>
      <c r="Q126" s="501" t="s">
        <v>435</v>
      </c>
      <c r="R126" s="315" t="s">
        <v>94</v>
      </c>
      <c r="S126" s="176"/>
      <c r="T126" s="145"/>
      <c r="U126" s="145"/>
    </row>
    <row r="127" spans="1:21">
      <c r="A127" s="167">
        <v>865</v>
      </c>
      <c r="B127" s="55" t="s">
        <v>98</v>
      </c>
      <c r="C127" s="196" t="s">
        <v>97</v>
      </c>
      <c r="D127" s="196">
        <v>4</v>
      </c>
      <c r="E127" s="555" t="s">
        <v>360</v>
      </c>
      <c r="F127" s="46">
        <v>102.9</v>
      </c>
      <c r="G127" s="196"/>
      <c r="H127" s="502">
        <v>55.959999084472656</v>
      </c>
      <c r="I127" s="548">
        <v>-1.1299999999999999</v>
      </c>
      <c r="J127" s="449">
        <v>-0.89</v>
      </c>
      <c r="K127" s="789">
        <f t="shared" si="2"/>
        <v>17.218783999999999</v>
      </c>
      <c r="L127" s="562" t="s">
        <v>665</v>
      </c>
      <c r="M127" s="317" t="s">
        <v>85</v>
      </c>
      <c r="N127" s="317" t="s">
        <v>95</v>
      </c>
      <c r="O127" s="307" t="s">
        <v>44</v>
      </c>
      <c r="P127" s="314" t="s">
        <v>91</v>
      </c>
      <c r="Q127" s="501" t="s">
        <v>435</v>
      </c>
      <c r="R127" s="315" t="s">
        <v>94</v>
      </c>
      <c r="S127" s="176"/>
      <c r="T127" s="145"/>
      <c r="U127" s="145"/>
    </row>
    <row r="128" spans="1:21">
      <c r="A128" s="167">
        <v>865</v>
      </c>
      <c r="B128" s="55" t="s">
        <v>98</v>
      </c>
      <c r="C128" s="196" t="s">
        <v>97</v>
      </c>
      <c r="D128" s="196">
        <v>4</v>
      </c>
      <c r="E128" s="555" t="s">
        <v>360</v>
      </c>
      <c r="F128" s="46">
        <v>102.9</v>
      </c>
      <c r="G128" s="196"/>
      <c r="H128" s="502">
        <v>55.959999084472656</v>
      </c>
      <c r="I128" s="548">
        <v>-1.57</v>
      </c>
      <c r="J128" s="449">
        <v>-0.89</v>
      </c>
      <c r="K128" s="789">
        <f t="shared" si="2"/>
        <v>19.296816000000003</v>
      </c>
      <c r="L128" s="562" t="s">
        <v>665</v>
      </c>
      <c r="M128" s="317" t="s">
        <v>85</v>
      </c>
      <c r="N128" s="317" t="s">
        <v>95</v>
      </c>
      <c r="O128" s="307" t="s">
        <v>44</v>
      </c>
      <c r="P128" s="314" t="s">
        <v>91</v>
      </c>
      <c r="Q128" s="501" t="s">
        <v>435</v>
      </c>
      <c r="R128" s="315" t="s">
        <v>94</v>
      </c>
      <c r="S128" s="176"/>
      <c r="T128" s="145"/>
      <c r="U128" s="145"/>
    </row>
    <row r="129" spans="1:21">
      <c r="A129" s="167">
        <v>865</v>
      </c>
      <c r="B129" s="55" t="s">
        <v>98</v>
      </c>
      <c r="C129" s="196" t="s">
        <v>97</v>
      </c>
      <c r="D129" s="196">
        <v>4</v>
      </c>
      <c r="E129" s="555" t="s">
        <v>360</v>
      </c>
      <c r="F129" s="46">
        <v>102.9</v>
      </c>
      <c r="G129" s="196"/>
      <c r="H129" s="502">
        <v>55.959999084472656</v>
      </c>
      <c r="I129" s="548">
        <v>-1.0900000000000001</v>
      </c>
      <c r="J129" s="449">
        <v>-0.89</v>
      </c>
      <c r="K129" s="789">
        <f t="shared" si="2"/>
        <v>17.031600000000001</v>
      </c>
      <c r="L129" s="562" t="s">
        <v>665</v>
      </c>
      <c r="M129" s="317" t="s">
        <v>85</v>
      </c>
      <c r="N129" s="317" t="s">
        <v>95</v>
      </c>
      <c r="O129" s="307" t="s">
        <v>44</v>
      </c>
      <c r="P129" s="314" t="s">
        <v>91</v>
      </c>
      <c r="Q129" s="501" t="s">
        <v>435</v>
      </c>
      <c r="R129" s="315" t="s">
        <v>94</v>
      </c>
      <c r="S129" s="176"/>
      <c r="T129" s="145"/>
      <c r="U129" s="145"/>
    </row>
    <row r="130" spans="1:21">
      <c r="A130" s="167">
        <v>865</v>
      </c>
      <c r="B130" s="55" t="s">
        <v>98</v>
      </c>
      <c r="C130" s="196" t="s">
        <v>97</v>
      </c>
      <c r="D130" s="196">
        <v>4</v>
      </c>
      <c r="E130" s="555" t="s">
        <v>360</v>
      </c>
      <c r="F130" s="46">
        <v>102.9</v>
      </c>
      <c r="G130" s="196"/>
      <c r="H130" s="502">
        <v>55.959999084472656</v>
      </c>
      <c r="I130" s="548">
        <v>-1.48</v>
      </c>
      <c r="J130" s="449">
        <v>-0.89</v>
      </c>
      <c r="K130" s="789">
        <f t="shared" si="2"/>
        <v>18.868929000000001</v>
      </c>
      <c r="L130" s="562" t="s">
        <v>665</v>
      </c>
      <c r="M130" s="317" t="s">
        <v>85</v>
      </c>
      <c r="N130" s="317" t="s">
        <v>95</v>
      </c>
      <c r="O130" s="307" t="s">
        <v>44</v>
      </c>
      <c r="P130" s="314" t="s">
        <v>91</v>
      </c>
      <c r="Q130" s="501" t="s">
        <v>435</v>
      </c>
      <c r="R130" s="315" t="s">
        <v>94</v>
      </c>
      <c r="S130" s="176"/>
      <c r="T130" s="145"/>
      <c r="U130" s="145"/>
    </row>
    <row r="131" spans="1:21">
      <c r="A131" s="167">
        <v>865</v>
      </c>
      <c r="B131" s="55" t="s">
        <v>98</v>
      </c>
      <c r="C131" s="196" t="s">
        <v>97</v>
      </c>
      <c r="D131" s="196">
        <v>4</v>
      </c>
      <c r="E131" s="555" t="s">
        <v>360</v>
      </c>
      <c r="F131" s="46">
        <v>102.9</v>
      </c>
      <c r="G131" s="196"/>
      <c r="H131" s="502">
        <v>55.959999084472656</v>
      </c>
      <c r="I131" s="548">
        <v>-1.35</v>
      </c>
      <c r="J131" s="449">
        <v>-0.89</v>
      </c>
      <c r="K131" s="789">
        <f t="shared" si="2"/>
        <v>18.253444000000002</v>
      </c>
      <c r="L131" s="562" t="s">
        <v>665</v>
      </c>
      <c r="M131" s="317" t="s">
        <v>85</v>
      </c>
      <c r="N131" s="317" t="s">
        <v>95</v>
      </c>
      <c r="O131" s="307" t="s">
        <v>44</v>
      </c>
      <c r="P131" s="314" t="s">
        <v>91</v>
      </c>
      <c r="Q131" s="501" t="s">
        <v>435</v>
      </c>
      <c r="R131" s="315" t="s">
        <v>94</v>
      </c>
      <c r="S131" s="176"/>
      <c r="T131" s="145"/>
      <c r="U131" s="145"/>
    </row>
    <row r="132" spans="1:21">
      <c r="A132" s="167">
        <v>865</v>
      </c>
      <c r="B132" s="55" t="s">
        <v>98</v>
      </c>
      <c r="C132" s="196" t="s">
        <v>97</v>
      </c>
      <c r="D132" s="196">
        <v>4</v>
      </c>
      <c r="E132" s="555" t="s">
        <v>360</v>
      </c>
      <c r="F132" s="46">
        <v>102.9</v>
      </c>
      <c r="G132" s="196"/>
      <c r="H132" s="502">
        <v>55.959999084472656</v>
      </c>
      <c r="I132" s="548">
        <v>-1.58</v>
      </c>
      <c r="J132" s="449">
        <v>-0.89</v>
      </c>
      <c r="K132" s="789">
        <f t="shared" si="2"/>
        <v>19.344449000000001</v>
      </c>
      <c r="L132" s="562" t="s">
        <v>665</v>
      </c>
      <c r="M132" s="317" t="s">
        <v>85</v>
      </c>
      <c r="N132" s="317" t="s">
        <v>95</v>
      </c>
      <c r="O132" s="307" t="s">
        <v>44</v>
      </c>
      <c r="P132" s="314" t="s">
        <v>91</v>
      </c>
      <c r="Q132" s="501" t="s">
        <v>435</v>
      </c>
      <c r="R132" s="315" t="s">
        <v>94</v>
      </c>
      <c r="S132" s="176"/>
      <c r="T132" s="145"/>
      <c r="U132" s="145"/>
    </row>
    <row r="133" spans="1:21">
      <c r="A133" s="167">
        <v>865</v>
      </c>
      <c r="B133" s="55" t="s">
        <v>98</v>
      </c>
      <c r="C133" s="196" t="s">
        <v>97</v>
      </c>
      <c r="D133" s="196">
        <v>4</v>
      </c>
      <c r="E133" s="555" t="s">
        <v>360</v>
      </c>
      <c r="F133" s="46">
        <v>102.9</v>
      </c>
      <c r="G133" s="196"/>
      <c r="H133" s="502">
        <v>55.959999084472656</v>
      </c>
      <c r="I133" s="548">
        <v>-1.38</v>
      </c>
      <c r="J133" s="449">
        <v>-0.89</v>
      </c>
      <c r="K133" s="789">
        <f t="shared" si="2"/>
        <v>18.395209000000001</v>
      </c>
      <c r="L133" s="562" t="s">
        <v>665</v>
      </c>
      <c r="M133" s="317" t="s">
        <v>85</v>
      </c>
      <c r="N133" s="317" t="s">
        <v>95</v>
      </c>
      <c r="O133" s="307" t="s">
        <v>44</v>
      </c>
      <c r="P133" s="314" t="s">
        <v>91</v>
      </c>
      <c r="Q133" s="501" t="s">
        <v>435</v>
      </c>
      <c r="R133" s="315" t="s">
        <v>94</v>
      </c>
      <c r="S133" s="176"/>
      <c r="T133" s="145"/>
      <c r="U133" s="145"/>
    </row>
    <row r="134" spans="1:21">
      <c r="A134" s="167">
        <v>865</v>
      </c>
      <c r="B134" s="55" t="s">
        <v>98</v>
      </c>
      <c r="C134" s="196" t="s">
        <v>97</v>
      </c>
      <c r="D134" s="196">
        <v>4</v>
      </c>
      <c r="E134" s="555" t="s">
        <v>360</v>
      </c>
      <c r="F134" s="46">
        <v>102.9</v>
      </c>
      <c r="G134" s="196"/>
      <c r="H134" s="502">
        <v>55.959999084472656</v>
      </c>
      <c r="I134" s="548">
        <v>-1.55</v>
      </c>
      <c r="J134" s="449">
        <v>-0.89</v>
      </c>
      <c r="K134" s="789">
        <f t="shared" si="2"/>
        <v>19.201604000000003</v>
      </c>
      <c r="L134" s="562" t="s">
        <v>665</v>
      </c>
      <c r="M134" s="317" t="s">
        <v>85</v>
      </c>
      <c r="N134" s="317" t="s">
        <v>95</v>
      </c>
      <c r="O134" s="307" t="s">
        <v>44</v>
      </c>
      <c r="P134" s="314" t="s">
        <v>91</v>
      </c>
      <c r="Q134" s="501" t="s">
        <v>435</v>
      </c>
      <c r="R134" s="315" t="s">
        <v>94</v>
      </c>
      <c r="S134" s="176"/>
      <c r="T134" s="145"/>
      <c r="U134" s="145"/>
    </row>
    <row r="135" spans="1:21">
      <c r="A135" s="167">
        <v>865</v>
      </c>
      <c r="B135" s="55" t="s">
        <v>98</v>
      </c>
      <c r="C135" s="196" t="s">
        <v>97</v>
      </c>
      <c r="D135" s="196">
        <v>4</v>
      </c>
      <c r="E135" s="555" t="s">
        <v>360</v>
      </c>
      <c r="F135" s="46">
        <v>102.9</v>
      </c>
      <c r="G135" s="196"/>
      <c r="H135" s="502">
        <v>55.959999084472656</v>
      </c>
      <c r="I135" s="548">
        <v>-1.66</v>
      </c>
      <c r="J135" s="449">
        <v>-0.89</v>
      </c>
      <c r="K135" s="789">
        <f t="shared" si="2"/>
        <v>19.726161000000001</v>
      </c>
      <c r="L135" s="562" t="s">
        <v>665</v>
      </c>
      <c r="M135" s="317" t="s">
        <v>85</v>
      </c>
      <c r="N135" s="317" t="s">
        <v>95</v>
      </c>
      <c r="O135" s="307" t="s">
        <v>44</v>
      </c>
      <c r="P135" s="314" t="s">
        <v>91</v>
      </c>
      <c r="Q135" s="501" t="s">
        <v>435</v>
      </c>
      <c r="R135" s="315" t="s">
        <v>94</v>
      </c>
      <c r="S135" s="176"/>
      <c r="T135" s="145"/>
      <c r="U135" s="145"/>
    </row>
    <row r="136" spans="1:21">
      <c r="A136" s="167">
        <v>865</v>
      </c>
      <c r="B136" s="55" t="s">
        <v>98</v>
      </c>
      <c r="C136" s="196" t="s">
        <v>97</v>
      </c>
      <c r="D136" s="196">
        <v>4</v>
      </c>
      <c r="E136" s="555" t="s">
        <v>360</v>
      </c>
      <c r="F136" s="46">
        <v>102.9</v>
      </c>
      <c r="G136" s="196"/>
      <c r="H136" s="502">
        <v>55.959999084472656</v>
      </c>
      <c r="I136" s="548">
        <v>-1.36</v>
      </c>
      <c r="J136" s="449">
        <v>-0.89</v>
      </c>
      <c r="K136" s="789">
        <f t="shared" si="2"/>
        <v>18.300681000000004</v>
      </c>
      <c r="L136" s="562" t="s">
        <v>665</v>
      </c>
      <c r="M136" s="317" t="s">
        <v>85</v>
      </c>
      <c r="N136" s="317" t="s">
        <v>95</v>
      </c>
      <c r="O136" s="307" t="s">
        <v>44</v>
      </c>
      <c r="P136" s="314" t="s">
        <v>91</v>
      </c>
      <c r="Q136" s="501" t="s">
        <v>435</v>
      </c>
      <c r="R136" s="315" t="s">
        <v>94</v>
      </c>
      <c r="S136" s="176"/>
      <c r="T136" s="145"/>
      <c r="U136" s="145"/>
    </row>
    <row r="137" spans="1:21">
      <c r="A137" s="167">
        <v>865</v>
      </c>
      <c r="B137" s="55" t="s">
        <v>98</v>
      </c>
      <c r="C137" s="196" t="s">
        <v>97</v>
      </c>
      <c r="D137" s="196">
        <v>4</v>
      </c>
      <c r="E137" s="555" t="s">
        <v>360</v>
      </c>
      <c r="F137" s="46">
        <v>102.9</v>
      </c>
      <c r="G137" s="196"/>
      <c r="H137" s="502">
        <v>55.959999084472656</v>
      </c>
      <c r="I137" s="548">
        <v>-1.42</v>
      </c>
      <c r="J137" s="449">
        <v>-0.89</v>
      </c>
      <c r="K137" s="789">
        <f t="shared" si="2"/>
        <v>18.584481</v>
      </c>
      <c r="L137" s="562" t="s">
        <v>665</v>
      </c>
      <c r="M137" s="317" t="s">
        <v>85</v>
      </c>
      <c r="N137" s="317" t="s">
        <v>95</v>
      </c>
      <c r="O137" s="307" t="s">
        <v>44</v>
      </c>
      <c r="P137" s="314" t="s">
        <v>91</v>
      </c>
      <c r="Q137" s="501" t="s">
        <v>435</v>
      </c>
      <c r="R137" s="315" t="s">
        <v>94</v>
      </c>
      <c r="S137" s="176"/>
      <c r="T137" s="145"/>
      <c r="U137" s="145"/>
    </row>
    <row r="138" spans="1:21">
      <c r="A138" s="167">
        <v>865</v>
      </c>
      <c r="B138" s="55" t="s">
        <v>98</v>
      </c>
      <c r="C138" s="196" t="s">
        <v>97</v>
      </c>
      <c r="D138" s="196">
        <v>4</v>
      </c>
      <c r="E138" s="555" t="s">
        <v>360</v>
      </c>
      <c r="F138" s="46">
        <v>102.9</v>
      </c>
      <c r="G138" s="196"/>
      <c r="H138" s="502">
        <v>55.959999084472656</v>
      </c>
      <c r="I138" s="548">
        <v>-1.49</v>
      </c>
      <c r="J138" s="449">
        <v>-0.89</v>
      </c>
      <c r="K138" s="789">
        <f t="shared" si="2"/>
        <v>18.916399999999999</v>
      </c>
      <c r="L138" s="562" t="s">
        <v>665</v>
      </c>
      <c r="M138" s="317" t="s">
        <v>85</v>
      </c>
      <c r="N138" s="317" t="s">
        <v>95</v>
      </c>
      <c r="O138" s="307" t="s">
        <v>44</v>
      </c>
      <c r="P138" s="314" t="s">
        <v>91</v>
      </c>
      <c r="Q138" s="501" t="s">
        <v>435</v>
      </c>
      <c r="R138" s="315" t="s">
        <v>94</v>
      </c>
      <c r="S138" s="176"/>
      <c r="T138" s="145"/>
      <c r="U138" s="145"/>
    </row>
    <row r="139" spans="1:21">
      <c r="A139" s="167">
        <v>865</v>
      </c>
      <c r="B139" s="55" t="s">
        <v>98</v>
      </c>
      <c r="C139" s="196" t="s">
        <v>97</v>
      </c>
      <c r="D139" s="196">
        <v>4</v>
      </c>
      <c r="E139" s="555" t="s">
        <v>360</v>
      </c>
      <c r="F139" s="46">
        <v>102.9</v>
      </c>
      <c r="G139" s="196"/>
      <c r="H139" s="502">
        <v>55.959999084472656</v>
      </c>
      <c r="I139" s="548">
        <v>-1.46</v>
      </c>
      <c r="J139" s="449">
        <v>-0.89</v>
      </c>
      <c r="K139" s="789">
        <f t="shared" si="2"/>
        <v>18.774041</v>
      </c>
      <c r="L139" s="562" t="s">
        <v>665</v>
      </c>
      <c r="M139" s="317" t="s">
        <v>85</v>
      </c>
      <c r="N139" s="317" t="s">
        <v>95</v>
      </c>
      <c r="O139" s="307" t="s">
        <v>44</v>
      </c>
      <c r="P139" s="314" t="s">
        <v>91</v>
      </c>
      <c r="Q139" s="501" t="s">
        <v>435</v>
      </c>
      <c r="R139" s="315" t="s">
        <v>94</v>
      </c>
      <c r="S139" s="176"/>
      <c r="T139" s="145"/>
      <c r="U139" s="145"/>
    </row>
    <row r="140" spans="1:21">
      <c r="A140" s="167">
        <v>865</v>
      </c>
      <c r="B140" s="55" t="s">
        <v>98</v>
      </c>
      <c r="C140" s="196" t="s">
        <v>97</v>
      </c>
      <c r="D140" s="196">
        <v>4</v>
      </c>
      <c r="E140" s="555" t="s">
        <v>360</v>
      </c>
      <c r="F140" s="46">
        <v>102.9</v>
      </c>
      <c r="G140" s="196"/>
      <c r="H140" s="502">
        <v>55.959999084472656</v>
      </c>
      <c r="I140" s="548">
        <v>-1.5</v>
      </c>
      <c r="J140" s="449">
        <v>-0.89</v>
      </c>
      <c r="K140" s="789">
        <f t="shared" ref="K140:K202" si="3">16.1-4.64*($I140-J140)+0.09*($I140-J140)^2</f>
        <v>18.963889000000002</v>
      </c>
      <c r="L140" s="562" t="s">
        <v>665</v>
      </c>
      <c r="M140" s="317" t="s">
        <v>85</v>
      </c>
      <c r="N140" s="317" t="s">
        <v>95</v>
      </c>
      <c r="O140" s="307" t="s">
        <v>44</v>
      </c>
      <c r="P140" s="314" t="s">
        <v>91</v>
      </c>
      <c r="Q140" s="501" t="s">
        <v>435</v>
      </c>
      <c r="R140" s="315" t="s">
        <v>94</v>
      </c>
      <c r="S140" s="176"/>
      <c r="T140" s="145"/>
      <c r="U140" s="145"/>
    </row>
    <row r="141" spans="1:21">
      <c r="A141" s="167">
        <v>865</v>
      </c>
      <c r="B141" s="55" t="s">
        <v>98</v>
      </c>
      <c r="C141" s="196" t="s">
        <v>97</v>
      </c>
      <c r="D141" s="196">
        <v>4</v>
      </c>
      <c r="E141" s="555" t="s">
        <v>360</v>
      </c>
      <c r="F141" s="46">
        <v>102.9</v>
      </c>
      <c r="G141" s="196"/>
      <c r="H141" s="502">
        <v>55.959999084472656</v>
      </c>
      <c r="I141" s="548">
        <v>-0.88</v>
      </c>
      <c r="J141" s="449">
        <v>-0.89</v>
      </c>
      <c r="K141" s="789">
        <f t="shared" si="3"/>
        <v>16.053609000000002</v>
      </c>
      <c r="L141" s="562" t="s">
        <v>665</v>
      </c>
      <c r="M141" s="317" t="s">
        <v>85</v>
      </c>
      <c r="N141" s="317" t="s">
        <v>95</v>
      </c>
      <c r="O141" s="307" t="s">
        <v>44</v>
      </c>
      <c r="P141" s="314" t="s">
        <v>91</v>
      </c>
      <c r="Q141" s="501" t="s">
        <v>435</v>
      </c>
      <c r="R141" s="315" t="s">
        <v>94</v>
      </c>
      <c r="S141" s="176"/>
      <c r="T141" s="145"/>
      <c r="U141" s="145"/>
    </row>
    <row r="142" spans="1:21">
      <c r="A142" s="167">
        <v>865</v>
      </c>
      <c r="B142" s="55" t="s">
        <v>98</v>
      </c>
      <c r="C142" s="196" t="s">
        <v>97</v>
      </c>
      <c r="D142" s="196">
        <v>4</v>
      </c>
      <c r="E142" s="555" t="s">
        <v>360</v>
      </c>
      <c r="F142" s="46">
        <v>102.9</v>
      </c>
      <c r="G142" s="196"/>
      <c r="H142" s="502">
        <v>55.959999084472656</v>
      </c>
      <c r="I142" s="548">
        <v>-1.69</v>
      </c>
      <c r="J142" s="449">
        <v>-0.89</v>
      </c>
      <c r="K142" s="789">
        <f t="shared" si="3"/>
        <v>19.869600000000002</v>
      </c>
      <c r="L142" s="562" t="s">
        <v>665</v>
      </c>
      <c r="M142" s="317" t="s">
        <v>85</v>
      </c>
      <c r="N142" s="317" t="s">
        <v>95</v>
      </c>
      <c r="O142" s="307" t="s">
        <v>44</v>
      </c>
      <c r="P142" s="314" t="s">
        <v>91</v>
      </c>
      <c r="Q142" s="501" t="s">
        <v>435</v>
      </c>
      <c r="R142" s="315" t="s">
        <v>94</v>
      </c>
      <c r="S142" s="176"/>
      <c r="T142" s="145"/>
      <c r="U142" s="145"/>
    </row>
    <row r="143" spans="1:21">
      <c r="A143" s="167">
        <v>865</v>
      </c>
      <c r="B143" s="55" t="s">
        <v>98</v>
      </c>
      <c r="C143" s="196" t="s">
        <v>97</v>
      </c>
      <c r="D143" s="196">
        <v>4</v>
      </c>
      <c r="E143" s="555" t="s">
        <v>360</v>
      </c>
      <c r="F143" s="46">
        <v>102.9</v>
      </c>
      <c r="G143" s="196"/>
      <c r="H143" s="502">
        <v>55.959999084472656</v>
      </c>
      <c r="I143" s="548">
        <v>-1.62</v>
      </c>
      <c r="J143" s="449">
        <v>-0.89</v>
      </c>
      <c r="K143" s="789">
        <f t="shared" si="3"/>
        <v>19.535161000000002</v>
      </c>
      <c r="L143" s="562" t="s">
        <v>665</v>
      </c>
      <c r="M143" s="317" t="s">
        <v>85</v>
      </c>
      <c r="N143" s="317" t="s">
        <v>95</v>
      </c>
      <c r="O143" s="307" t="s">
        <v>44</v>
      </c>
      <c r="P143" s="314" t="s">
        <v>91</v>
      </c>
      <c r="Q143" s="501" t="s">
        <v>435</v>
      </c>
      <c r="R143" s="315" t="s">
        <v>94</v>
      </c>
      <c r="S143" s="176"/>
      <c r="T143" s="145"/>
      <c r="U143" s="145"/>
    </row>
    <row r="144" spans="1:21">
      <c r="A144" s="167">
        <v>865</v>
      </c>
      <c r="B144" s="55" t="s">
        <v>98</v>
      </c>
      <c r="C144" s="196" t="s">
        <v>97</v>
      </c>
      <c r="D144" s="196">
        <v>4</v>
      </c>
      <c r="E144" s="555" t="s">
        <v>360</v>
      </c>
      <c r="F144" s="46">
        <v>102.9</v>
      </c>
      <c r="G144" s="196"/>
      <c r="H144" s="502">
        <v>55.959999084472656</v>
      </c>
      <c r="I144" s="548">
        <v>-1.66</v>
      </c>
      <c r="J144" s="449">
        <v>-0.89</v>
      </c>
      <c r="K144" s="789">
        <f t="shared" si="3"/>
        <v>19.726161000000001</v>
      </c>
      <c r="L144" s="562" t="s">
        <v>665</v>
      </c>
      <c r="M144" s="317" t="s">
        <v>85</v>
      </c>
      <c r="N144" s="317" t="s">
        <v>95</v>
      </c>
      <c r="O144" s="307" t="s">
        <v>44</v>
      </c>
      <c r="P144" s="314" t="s">
        <v>91</v>
      </c>
      <c r="Q144" s="501" t="s">
        <v>435</v>
      </c>
      <c r="R144" s="315" t="s">
        <v>94</v>
      </c>
      <c r="S144" s="176"/>
      <c r="T144" s="145"/>
      <c r="U144" s="145"/>
    </row>
    <row r="145" spans="1:21">
      <c r="A145" s="167">
        <v>865</v>
      </c>
      <c r="B145" s="55" t="s">
        <v>98</v>
      </c>
      <c r="C145" s="196" t="s">
        <v>97</v>
      </c>
      <c r="D145" s="196">
        <v>4</v>
      </c>
      <c r="E145" s="555" t="s">
        <v>360</v>
      </c>
      <c r="F145" s="46">
        <v>102.9</v>
      </c>
      <c r="G145" s="196"/>
      <c r="H145" s="502">
        <v>55.959999084472656</v>
      </c>
      <c r="I145" s="548">
        <v>-1.53</v>
      </c>
      <c r="J145" s="449">
        <v>-0.89</v>
      </c>
      <c r="K145" s="789">
        <f t="shared" si="3"/>
        <v>19.106464000000003</v>
      </c>
      <c r="L145" s="562" t="s">
        <v>665</v>
      </c>
      <c r="M145" s="317" t="s">
        <v>85</v>
      </c>
      <c r="N145" s="317" t="s">
        <v>95</v>
      </c>
      <c r="O145" s="307" t="s">
        <v>44</v>
      </c>
      <c r="P145" s="314" t="s">
        <v>91</v>
      </c>
      <c r="Q145" s="501" t="s">
        <v>435</v>
      </c>
      <c r="R145" s="315" t="s">
        <v>94</v>
      </c>
      <c r="S145" s="176"/>
      <c r="T145" s="145"/>
      <c r="U145" s="145"/>
    </row>
    <row r="146" spans="1:21">
      <c r="A146" s="167">
        <v>865</v>
      </c>
      <c r="B146" s="55" t="s">
        <v>98</v>
      </c>
      <c r="C146" s="196" t="s">
        <v>97</v>
      </c>
      <c r="D146" s="196">
        <v>4</v>
      </c>
      <c r="E146" s="196" t="s">
        <v>102</v>
      </c>
      <c r="F146" s="46">
        <v>102.96</v>
      </c>
      <c r="G146" s="196"/>
      <c r="H146" s="502">
        <v>55.967369079589844</v>
      </c>
      <c r="I146" s="548">
        <v>-1.73</v>
      </c>
      <c r="J146" s="449">
        <v>-0.89</v>
      </c>
      <c r="K146" s="789">
        <f t="shared" si="3"/>
        <v>20.061104</v>
      </c>
      <c r="L146" s="562" t="s">
        <v>665</v>
      </c>
      <c r="M146" s="317" t="s">
        <v>85</v>
      </c>
      <c r="N146" s="317" t="s">
        <v>95</v>
      </c>
      <c r="O146" s="307" t="s">
        <v>44</v>
      </c>
      <c r="P146" s="314" t="s">
        <v>91</v>
      </c>
      <c r="Q146" s="501" t="s">
        <v>435</v>
      </c>
      <c r="R146" s="315" t="s">
        <v>94</v>
      </c>
      <c r="S146" s="176"/>
      <c r="T146" s="145"/>
      <c r="U146" s="145"/>
    </row>
    <row r="147" spans="1:21">
      <c r="A147" s="167">
        <v>865</v>
      </c>
      <c r="B147" s="55" t="s">
        <v>98</v>
      </c>
      <c r="C147" s="196" t="s">
        <v>97</v>
      </c>
      <c r="D147" s="196">
        <v>4</v>
      </c>
      <c r="E147" s="196" t="s">
        <v>102</v>
      </c>
      <c r="F147" s="46">
        <v>102.96</v>
      </c>
      <c r="G147" s="196"/>
      <c r="H147" s="502">
        <v>55.967369079589844</v>
      </c>
      <c r="I147" s="548">
        <v>-1.86</v>
      </c>
      <c r="J147" s="449">
        <v>-0.89</v>
      </c>
      <c r="K147" s="789">
        <f t="shared" si="3"/>
        <v>20.685480999999999</v>
      </c>
      <c r="L147" s="562" t="s">
        <v>665</v>
      </c>
      <c r="M147" s="317" t="s">
        <v>85</v>
      </c>
      <c r="N147" s="317" t="s">
        <v>95</v>
      </c>
      <c r="O147" s="307" t="s">
        <v>44</v>
      </c>
      <c r="P147" s="314" t="s">
        <v>91</v>
      </c>
      <c r="Q147" s="501" t="s">
        <v>435</v>
      </c>
      <c r="R147" s="315" t="s">
        <v>94</v>
      </c>
      <c r="S147" s="176"/>
      <c r="T147" s="145"/>
      <c r="U147" s="145"/>
    </row>
    <row r="148" spans="1:21">
      <c r="A148" s="167">
        <v>865</v>
      </c>
      <c r="B148" s="55" t="s">
        <v>98</v>
      </c>
      <c r="C148" s="196" t="s">
        <v>97</v>
      </c>
      <c r="D148" s="196">
        <v>4</v>
      </c>
      <c r="E148" s="196" t="s">
        <v>102</v>
      </c>
      <c r="F148" s="46">
        <v>102.96</v>
      </c>
      <c r="G148" s="196"/>
      <c r="H148" s="502">
        <v>55.967369079589844</v>
      </c>
      <c r="I148" s="548">
        <v>-1.8</v>
      </c>
      <c r="J148" s="449">
        <v>-0.89</v>
      </c>
      <c r="K148" s="789">
        <f t="shared" si="3"/>
        <v>20.396929</v>
      </c>
      <c r="L148" s="562" t="s">
        <v>665</v>
      </c>
      <c r="M148" s="317" t="s">
        <v>85</v>
      </c>
      <c r="N148" s="317" t="s">
        <v>95</v>
      </c>
      <c r="O148" s="307" t="s">
        <v>44</v>
      </c>
      <c r="P148" s="314" t="s">
        <v>91</v>
      </c>
      <c r="Q148" s="501" t="s">
        <v>435</v>
      </c>
      <c r="R148" s="315" t="s">
        <v>94</v>
      </c>
      <c r="S148" s="176"/>
      <c r="T148" s="145"/>
      <c r="U148" s="145"/>
    </row>
    <row r="149" spans="1:21">
      <c r="A149" s="167">
        <v>865</v>
      </c>
      <c r="B149" s="55" t="s">
        <v>98</v>
      </c>
      <c r="C149" s="196" t="s">
        <v>97</v>
      </c>
      <c r="D149" s="196">
        <v>4</v>
      </c>
      <c r="E149" s="196" t="s">
        <v>102</v>
      </c>
      <c r="F149" s="46">
        <v>102.96</v>
      </c>
      <c r="G149" s="196"/>
      <c r="H149" s="502">
        <v>55.967369079589844</v>
      </c>
      <c r="I149" s="548">
        <v>-1.59</v>
      </c>
      <c r="J149" s="449">
        <v>-0.89</v>
      </c>
      <c r="K149" s="789">
        <f t="shared" si="3"/>
        <v>19.392100000000003</v>
      </c>
      <c r="L149" s="562" t="s">
        <v>665</v>
      </c>
      <c r="M149" s="317" t="s">
        <v>85</v>
      </c>
      <c r="N149" s="317" t="s">
        <v>95</v>
      </c>
      <c r="O149" s="307" t="s">
        <v>44</v>
      </c>
      <c r="P149" s="314" t="s">
        <v>91</v>
      </c>
      <c r="Q149" s="501" t="s">
        <v>435</v>
      </c>
      <c r="R149" s="315" t="s">
        <v>94</v>
      </c>
      <c r="S149" s="176"/>
      <c r="T149" s="145"/>
      <c r="U149" s="145"/>
    </row>
    <row r="150" spans="1:21">
      <c r="A150" s="167">
        <v>865</v>
      </c>
      <c r="B150" s="55" t="s">
        <v>98</v>
      </c>
      <c r="C150" s="196" t="s">
        <v>97</v>
      </c>
      <c r="D150" s="196">
        <v>4</v>
      </c>
      <c r="E150" s="196" t="s">
        <v>102</v>
      </c>
      <c r="F150" s="46">
        <v>102.96</v>
      </c>
      <c r="G150" s="196"/>
      <c r="H150" s="502">
        <v>55.967369079589844</v>
      </c>
      <c r="I150" s="548">
        <v>-1.81</v>
      </c>
      <c r="J150" s="449">
        <v>-0.89</v>
      </c>
      <c r="K150" s="789">
        <f t="shared" si="3"/>
        <v>20.444976</v>
      </c>
      <c r="L150" s="562" t="s">
        <v>665</v>
      </c>
      <c r="M150" s="317" t="s">
        <v>85</v>
      </c>
      <c r="N150" s="317" t="s">
        <v>95</v>
      </c>
      <c r="O150" s="307" t="s">
        <v>44</v>
      </c>
      <c r="P150" s="314" t="s">
        <v>91</v>
      </c>
      <c r="Q150" s="501" t="s">
        <v>435</v>
      </c>
      <c r="R150" s="315" t="s">
        <v>94</v>
      </c>
      <c r="S150" s="176"/>
      <c r="T150" s="145"/>
      <c r="U150" s="145"/>
    </row>
    <row r="151" spans="1:21">
      <c r="A151" s="167">
        <v>865</v>
      </c>
      <c r="B151" s="55" t="s">
        <v>98</v>
      </c>
      <c r="C151" s="196" t="s">
        <v>97</v>
      </c>
      <c r="D151" s="196">
        <v>4</v>
      </c>
      <c r="E151" s="196" t="s">
        <v>102</v>
      </c>
      <c r="F151" s="46">
        <v>102.96</v>
      </c>
      <c r="G151" s="196"/>
      <c r="H151" s="502">
        <v>55.967369079589844</v>
      </c>
      <c r="I151" s="548">
        <v>-1.8</v>
      </c>
      <c r="J151" s="449">
        <v>-0.89</v>
      </c>
      <c r="K151" s="789">
        <f t="shared" si="3"/>
        <v>20.396929</v>
      </c>
      <c r="L151" s="562" t="s">
        <v>665</v>
      </c>
      <c r="M151" s="317" t="s">
        <v>85</v>
      </c>
      <c r="N151" s="317" t="s">
        <v>95</v>
      </c>
      <c r="O151" s="307" t="s">
        <v>44</v>
      </c>
      <c r="P151" s="314" t="s">
        <v>91</v>
      </c>
      <c r="Q151" s="501" t="s">
        <v>435</v>
      </c>
      <c r="R151" s="315" t="s">
        <v>94</v>
      </c>
      <c r="S151" s="176"/>
      <c r="T151" s="145"/>
      <c r="U151" s="145"/>
    </row>
    <row r="152" spans="1:21">
      <c r="A152" s="167">
        <v>865</v>
      </c>
      <c r="B152" s="55" t="s">
        <v>98</v>
      </c>
      <c r="C152" s="196" t="s">
        <v>97</v>
      </c>
      <c r="D152" s="196">
        <v>4</v>
      </c>
      <c r="E152" s="196" t="s">
        <v>102</v>
      </c>
      <c r="F152" s="46">
        <v>102.96</v>
      </c>
      <c r="G152" s="196"/>
      <c r="H152" s="502">
        <v>55.967369079589844</v>
      </c>
      <c r="I152" s="548">
        <v>-1.94</v>
      </c>
      <c r="J152" s="449">
        <v>-0.89</v>
      </c>
      <c r="K152" s="789">
        <f t="shared" si="3"/>
        <v>21.071225000000002</v>
      </c>
      <c r="L152" s="562" t="s">
        <v>665</v>
      </c>
      <c r="M152" s="317" t="s">
        <v>85</v>
      </c>
      <c r="N152" s="317" t="s">
        <v>95</v>
      </c>
      <c r="O152" s="307" t="s">
        <v>44</v>
      </c>
      <c r="P152" s="314" t="s">
        <v>91</v>
      </c>
      <c r="Q152" s="501" t="s">
        <v>435</v>
      </c>
      <c r="R152" s="315" t="s">
        <v>94</v>
      </c>
      <c r="S152" s="176"/>
      <c r="T152" s="145"/>
      <c r="U152" s="145"/>
    </row>
    <row r="153" spans="1:21">
      <c r="A153" s="167">
        <v>865</v>
      </c>
      <c r="B153" s="55" t="s">
        <v>98</v>
      </c>
      <c r="C153" s="196" t="s">
        <v>97</v>
      </c>
      <c r="D153" s="196">
        <v>4</v>
      </c>
      <c r="E153" s="196" t="s">
        <v>102</v>
      </c>
      <c r="F153" s="46">
        <v>102.96</v>
      </c>
      <c r="G153" s="196"/>
      <c r="H153" s="502">
        <v>55.967369079589844</v>
      </c>
      <c r="I153" s="548">
        <v>-1.57</v>
      </c>
      <c r="J153" s="449">
        <v>-0.89</v>
      </c>
      <c r="K153" s="789">
        <f t="shared" si="3"/>
        <v>19.296816000000003</v>
      </c>
      <c r="L153" s="562" t="s">
        <v>665</v>
      </c>
      <c r="M153" s="317" t="s">
        <v>85</v>
      </c>
      <c r="N153" s="317" t="s">
        <v>95</v>
      </c>
      <c r="O153" s="307" t="s">
        <v>44</v>
      </c>
      <c r="P153" s="314" t="s">
        <v>91</v>
      </c>
      <c r="Q153" s="501" t="s">
        <v>435</v>
      </c>
      <c r="R153" s="315" t="s">
        <v>94</v>
      </c>
      <c r="S153" s="176"/>
      <c r="T153" s="145"/>
      <c r="U153" s="145"/>
    </row>
    <row r="154" spans="1:21">
      <c r="A154" s="167">
        <v>865</v>
      </c>
      <c r="B154" s="55" t="s">
        <v>98</v>
      </c>
      <c r="C154" s="196" t="s">
        <v>97</v>
      </c>
      <c r="D154" s="196">
        <v>4</v>
      </c>
      <c r="E154" s="196" t="s">
        <v>102</v>
      </c>
      <c r="F154" s="46">
        <v>102.96</v>
      </c>
      <c r="G154" s="196"/>
      <c r="H154" s="502">
        <v>55.967369079589844</v>
      </c>
      <c r="I154" s="548">
        <v>-1.66</v>
      </c>
      <c r="J154" s="449">
        <v>-0.89</v>
      </c>
      <c r="K154" s="789">
        <f t="shared" si="3"/>
        <v>19.726161000000001</v>
      </c>
      <c r="L154" s="562" t="s">
        <v>665</v>
      </c>
      <c r="M154" s="317" t="s">
        <v>85</v>
      </c>
      <c r="N154" s="317" t="s">
        <v>95</v>
      </c>
      <c r="O154" s="307" t="s">
        <v>44</v>
      </c>
      <c r="P154" s="314" t="s">
        <v>91</v>
      </c>
      <c r="Q154" s="501" t="s">
        <v>435</v>
      </c>
      <c r="R154" s="315" t="s">
        <v>94</v>
      </c>
      <c r="S154" s="176"/>
      <c r="T154" s="145"/>
      <c r="U154" s="145"/>
    </row>
    <row r="155" spans="1:21">
      <c r="A155" s="167">
        <v>865</v>
      </c>
      <c r="B155" s="55" t="s">
        <v>98</v>
      </c>
      <c r="C155" s="196" t="s">
        <v>97</v>
      </c>
      <c r="D155" s="196">
        <v>4</v>
      </c>
      <c r="E155" s="196" t="s">
        <v>102</v>
      </c>
      <c r="F155" s="46">
        <v>102.96</v>
      </c>
      <c r="G155" s="196"/>
      <c r="H155" s="502">
        <v>55.967369079589844</v>
      </c>
      <c r="I155" s="548">
        <v>-1.52</v>
      </c>
      <c r="J155" s="449">
        <v>-0.89</v>
      </c>
      <c r="K155" s="789">
        <f t="shared" si="3"/>
        <v>19.058921000000002</v>
      </c>
      <c r="L155" s="562" t="s">
        <v>665</v>
      </c>
      <c r="M155" s="317" t="s">
        <v>85</v>
      </c>
      <c r="N155" s="317" t="s">
        <v>95</v>
      </c>
      <c r="O155" s="307" t="s">
        <v>44</v>
      </c>
      <c r="P155" s="314" t="s">
        <v>91</v>
      </c>
      <c r="Q155" s="501" t="s">
        <v>435</v>
      </c>
      <c r="R155" s="315" t="s">
        <v>94</v>
      </c>
      <c r="S155" s="176"/>
      <c r="T155" s="145"/>
      <c r="U155" s="145"/>
    </row>
    <row r="156" spans="1:21">
      <c r="A156" s="167">
        <v>865</v>
      </c>
      <c r="B156" s="55" t="s">
        <v>98</v>
      </c>
      <c r="C156" s="196" t="s">
        <v>97</v>
      </c>
      <c r="D156" s="196">
        <v>4</v>
      </c>
      <c r="E156" s="196" t="s">
        <v>102</v>
      </c>
      <c r="F156" s="46">
        <v>102.96</v>
      </c>
      <c r="G156" s="196"/>
      <c r="H156" s="502">
        <v>55.967369079589844</v>
      </c>
      <c r="I156" s="548">
        <v>-1.66</v>
      </c>
      <c r="J156" s="449">
        <v>-0.89</v>
      </c>
      <c r="K156" s="789">
        <f t="shared" si="3"/>
        <v>19.726161000000001</v>
      </c>
      <c r="L156" s="562" t="s">
        <v>665</v>
      </c>
      <c r="M156" s="317" t="s">
        <v>85</v>
      </c>
      <c r="N156" s="317" t="s">
        <v>95</v>
      </c>
      <c r="O156" s="307" t="s">
        <v>44</v>
      </c>
      <c r="P156" s="314" t="s">
        <v>91</v>
      </c>
      <c r="Q156" s="501" t="s">
        <v>435</v>
      </c>
      <c r="R156" s="315" t="s">
        <v>94</v>
      </c>
      <c r="S156" s="176"/>
      <c r="T156" s="145"/>
      <c r="U156" s="145"/>
    </row>
    <row r="157" spans="1:21">
      <c r="A157" s="167">
        <v>865</v>
      </c>
      <c r="B157" s="55" t="s">
        <v>98</v>
      </c>
      <c r="C157" s="196" t="s">
        <v>97</v>
      </c>
      <c r="D157" s="196">
        <v>4</v>
      </c>
      <c r="E157" s="196" t="s">
        <v>102</v>
      </c>
      <c r="F157" s="46">
        <v>102.96</v>
      </c>
      <c r="G157" s="196"/>
      <c r="H157" s="502">
        <v>55.967369079589844</v>
      </c>
      <c r="I157" s="548">
        <v>-2</v>
      </c>
      <c r="J157" s="449">
        <v>-0.89</v>
      </c>
      <c r="K157" s="789">
        <f t="shared" si="3"/>
        <v>21.361288999999999</v>
      </c>
      <c r="L157" s="562" t="s">
        <v>665</v>
      </c>
      <c r="M157" s="317" t="s">
        <v>85</v>
      </c>
      <c r="N157" s="317" t="s">
        <v>95</v>
      </c>
      <c r="O157" s="307" t="s">
        <v>44</v>
      </c>
      <c r="P157" s="314" t="s">
        <v>91</v>
      </c>
      <c r="Q157" s="501" t="s">
        <v>435</v>
      </c>
      <c r="R157" s="315" t="s">
        <v>94</v>
      </c>
      <c r="S157" s="176"/>
      <c r="T157" s="145"/>
      <c r="U157" s="145"/>
    </row>
    <row r="158" spans="1:21">
      <c r="A158" s="167">
        <v>865</v>
      </c>
      <c r="B158" s="55" t="s">
        <v>98</v>
      </c>
      <c r="C158" s="196" t="s">
        <v>97</v>
      </c>
      <c r="D158" s="196">
        <v>4</v>
      </c>
      <c r="E158" s="196" t="s">
        <v>102</v>
      </c>
      <c r="F158" s="46">
        <v>102.96</v>
      </c>
      <c r="G158" s="196"/>
      <c r="H158" s="502">
        <v>55.967369079589844</v>
      </c>
      <c r="I158" s="548">
        <v>-1.75</v>
      </c>
      <c r="J158" s="449">
        <v>-0.89</v>
      </c>
      <c r="K158" s="789">
        <f t="shared" si="3"/>
        <v>20.156964000000002</v>
      </c>
      <c r="L158" s="562" t="s">
        <v>665</v>
      </c>
      <c r="M158" s="317" t="s">
        <v>85</v>
      </c>
      <c r="N158" s="317" t="s">
        <v>95</v>
      </c>
      <c r="O158" s="307" t="s">
        <v>44</v>
      </c>
      <c r="P158" s="314" t="s">
        <v>91</v>
      </c>
      <c r="Q158" s="501" t="s">
        <v>435</v>
      </c>
      <c r="R158" s="315" t="s">
        <v>94</v>
      </c>
      <c r="S158" s="176"/>
      <c r="T158" s="145"/>
      <c r="U158" s="145"/>
    </row>
    <row r="159" spans="1:21">
      <c r="A159" s="167">
        <v>865</v>
      </c>
      <c r="B159" s="55" t="s">
        <v>98</v>
      </c>
      <c r="C159" s="196" t="s">
        <v>97</v>
      </c>
      <c r="D159" s="196">
        <v>4</v>
      </c>
      <c r="E159" s="196" t="s">
        <v>102</v>
      </c>
      <c r="F159" s="46">
        <v>102.96</v>
      </c>
      <c r="G159" s="196"/>
      <c r="H159" s="502">
        <v>55.967369079589844</v>
      </c>
      <c r="I159" s="548">
        <v>-1.71</v>
      </c>
      <c r="J159" s="449">
        <v>-0.89</v>
      </c>
      <c r="K159" s="789">
        <f t="shared" si="3"/>
        <v>19.965316000000001</v>
      </c>
      <c r="L159" s="562" t="s">
        <v>665</v>
      </c>
      <c r="M159" s="317" t="s">
        <v>85</v>
      </c>
      <c r="N159" s="317" t="s">
        <v>95</v>
      </c>
      <c r="O159" s="307" t="s">
        <v>44</v>
      </c>
      <c r="P159" s="314" t="s">
        <v>91</v>
      </c>
      <c r="Q159" s="501" t="s">
        <v>435</v>
      </c>
      <c r="R159" s="315" t="s">
        <v>94</v>
      </c>
      <c r="S159" s="176"/>
      <c r="T159" s="145"/>
      <c r="U159" s="145"/>
    </row>
    <row r="160" spans="1:21">
      <c r="A160" s="177">
        <v>865</v>
      </c>
      <c r="B160" s="221" t="s">
        <v>98</v>
      </c>
      <c r="C160" s="226" t="s">
        <v>97</v>
      </c>
      <c r="D160" s="226">
        <v>4</v>
      </c>
      <c r="E160" s="226" t="s">
        <v>102</v>
      </c>
      <c r="F160" s="78">
        <v>102.96</v>
      </c>
      <c r="G160" s="226"/>
      <c r="H160" s="503">
        <v>55.967369079589844</v>
      </c>
      <c r="I160" s="549">
        <v>-1.55</v>
      </c>
      <c r="J160" s="456">
        <v>-0.89</v>
      </c>
      <c r="K160" s="790">
        <f t="shared" si="3"/>
        <v>19.201604000000003</v>
      </c>
      <c r="L160" s="568" t="s">
        <v>665</v>
      </c>
      <c r="M160" s="386" t="s">
        <v>85</v>
      </c>
      <c r="N160" s="386" t="s">
        <v>95</v>
      </c>
      <c r="O160" s="387" t="s">
        <v>44</v>
      </c>
      <c r="P160" s="388" t="s">
        <v>91</v>
      </c>
      <c r="Q160" s="504" t="s">
        <v>435</v>
      </c>
      <c r="R160" s="315" t="s">
        <v>94</v>
      </c>
      <c r="S160" s="176"/>
      <c r="T160" s="145"/>
      <c r="U160" s="145"/>
    </row>
    <row r="161" spans="1:21">
      <c r="A161" s="167">
        <v>865</v>
      </c>
      <c r="B161" s="55" t="s">
        <v>98</v>
      </c>
      <c r="C161" s="196">
        <v>12</v>
      </c>
      <c r="D161" s="196">
        <v>4</v>
      </c>
      <c r="E161" s="555" t="s">
        <v>358</v>
      </c>
      <c r="F161" s="53">
        <v>102.86</v>
      </c>
      <c r="G161" s="400" t="s">
        <v>587</v>
      </c>
      <c r="H161" s="526">
        <v>55.953598022460938</v>
      </c>
      <c r="I161" s="243">
        <v>-1.52</v>
      </c>
      <c r="J161" s="449">
        <v>-0.89</v>
      </c>
      <c r="K161" s="66">
        <f t="shared" si="3"/>
        <v>19.058921000000002</v>
      </c>
      <c r="L161" s="395" t="s">
        <v>79</v>
      </c>
      <c r="M161" s="317" t="s">
        <v>85</v>
      </c>
      <c r="N161" s="317" t="s">
        <v>95</v>
      </c>
      <c r="O161" s="307" t="s">
        <v>35</v>
      </c>
      <c r="P161" s="314" t="s">
        <v>91</v>
      </c>
      <c r="Q161" s="501" t="s">
        <v>435</v>
      </c>
      <c r="R161" s="315" t="s">
        <v>94</v>
      </c>
      <c r="S161" s="176"/>
      <c r="T161" s="145"/>
      <c r="U161" s="145"/>
    </row>
    <row r="162" spans="1:21">
      <c r="A162" s="167">
        <v>865</v>
      </c>
      <c r="B162" s="55" t="s">
        <v>98</v>
      </c>
      <c r="C162" s="196">
        <v>12</v>
      </c>
      <c r="D162" s="196">
        <v>4</v>
      </c>
      <c r="E162" s="555" t="s">
        <v>358</v>
      </c>
      <c r="F162" s="53">
        <v>102.86</v>
      </c>
      <c r="G162" s="400" t="s">
        <v>587</v>
      </c>
      <c r="H162" s="526">
        <v>55.953598022460938</v>
      </c>
      <c r="I162" s="243">
        <v>-1.76</v>
      </c>
      <c r="J162" s="449">
        <v>-0.89</v>
      </c>
      <c r="K162" s="66">
        <f t="shared" si="3"/>
        <v>20.204921000000002</v>
      </c>
      <c r="L162" s="395" t="s">
        <v>79</v>
      </c>
      <c r="M162" s="317" t="s">
        <v>85</v>
      </c>
      <c r="N162" s="317" t="s">
        <v>95</v>
      </c>
      <c r="O162" s="307" t="s">
        <v>35</v>
      </c>
      <c r="P162" s="314" t="s">
        <v>91</v>
      </c>
      <c r="Q162" s="501" t="s">
        <v>435</v>
      </c>
      <c r="R162" s="315" t="s">
        <v>94</v>
      </c>
      <c r="S162" s="176"/>
      <c r="T162" s="145"/>
      <c r="U162" s="145"/>
    </row>
    <row r="163" spans="1:21">
      <c r="A163" s="167">
        <v>865</v>
      </c>
      <c r="B163" s="55" t="s">
        <v>98</v>
      </c>
      <c r="C163" s="196">
        <v>12</v>
      </c>
      <c r="D163" s="196">
        <v>4</v>
      </c>
      <c r="E163" s="555" t="s">
        <v>358</v>
      </c>
      <c r="F163" s="53">
        <v>102.86</v>
      </c>
      <c r="G163" s="400" t="s">
        <v>587</v>
      </c>
      <c r="H163" s="526">
        <v>55.953598022460938</v>
      </c>
      <c r="I163" s="243">
        <v>-1.46</v>
      </c>
      <c r="J163" s="449">
        <v>-0.89</v>
      </c>
      <c r="K163" s="66">
        <f t="shared" si="3"/>
        <v>18.774041</v>
      </c>
      <c r="L163" s="395" t="s">
        <v>79</v>
      </c>
      <c r="M163" s="317" t="s">
        <v>85</v>
      </c>
      <c r="N163" s="317" t="s">
        <v>95</v>
      </c>
      <c r="O163" s="307" t="s">
        <v>35</v>
      </c>
      <c r="P163" s="314" t="s">
        <v>91</v>
      </c>
      <c r="Q163" s="501" t="s">
        <v>435</v>
      </c>
      <c r="R163" s="315" t="s">
        <v>94</v>
      </c>
      <c r="S163" s="176"/>
      <c r="T163" s="145"/>
      <c r="U163" s="145"/>
    </row>
    <row r="164" spans="1:21">
      <c r="A164" s="167">
        <v>865</v>
      </c>
      <c r="B164" s="55" t="s">
        <v>98</v>
      </c>
      <c r="C164" s="196">
        <v>12</v>
      </c>
      <c r="D164" s="196">
        <v>4</v>
      </c>
      <c r="E164" s="555" t="s">
        <v>358</v>
      </c>
      <c r="F164" s="53">
        <v>102.86</v>
      </c>
      <c r="G164" s="400" t="s">
        <v>587</v>
      </c>
      <c r="H164" s="526">
        <v>55.953598022460938</v>
      </c>
      <c r="I164" s="243">
        <v>-1.21</v>
      </c>
      <c r="J164" s="449">
        <v>-0.89</v>
      </c>
      <c r="K164" s="66">
        <f t="shared" si="3"/>
        <v>17.594016</v>
      </c>
      <c r="L164" s="395" t="s">
        <v>79</v>
      </c>
      <c r="M164" s="317" t="s">
        <v>85</v>
      </c>
      <c r="N164" s="317" t="s">
        <v>95</v>
      </c>
      <c r="O164" s="307" t="s">
        <v>35</v>
      </c>
      <c r="P164" s="314" t="s">
        <v>91</v>
      </c>
      <c r="Q164" s="501" t="s">
        <v>435</v>
      </c>
      <c r="R164" s="315" t="s">
        <v>94</v>
      </c>
      <c r="S164" s="176"/>
      <c r="T164" s="145"/>
      <c r="U164" s="145"/>
    </row>
    <row r="165" spans="1:21">
      <c r="A165" s="167">
        <v>865</v>
      </c>
      <c r="B165" s="55" t="s">
        <v>98</v>
      </c>
      <c r="C165" s="196">
        <v>12</v>
      </c>
      <c r="D165" s="196">
        <v>4</v>
      </c>
      <c r="E165" s="555" t="s">
        <v>358</v>
      </c>
      <c r="F165" s="53">
        <v>102.86</v>
      </c>
      <c r="G165" s="400" t="s">
        <v>587</v>
      </c>
      <c r="H165" s="526">
        <v>55.953598022460938</v>
      </c>
      <c r="I165" s="243">
        <v>-1.72</v>
      </c>
      <c r="J165" s="449">
        <v>-0.89</v>
      </c>
      <c r="K165" s="66">
        <f t="shared" si="3"/>
        <v>20.013200999999999</v>
      </c>
      <c r="L165" s="395" t="s">
        <v>79</v>
      </c>
      <c r="M165" s="317" t="s">
        <v>85</v>
      </c>
      <c r="N165" s="317" t="s">
        <v>95</v>
      </c>
      <c r="O165" s="307" t="s">
        <v>35</v>
      </c>
      <c r="P165" s="314" t="s">
        <v>91</v>
      </c>
      <c r="Q165" s="501" t="s">
        <v>435</v>
      </c>
      <c r="R165" s="315" t="s">
        <v>94</v>
      </c>
      <c r="S165" s="176"/>
      <c r="T165" s="145"/>
      <c r="U165" s="145"/>
    </row>
    <row r="166" spans="1:21">
      <c r="A166" s="167">
        <v>865</v>
      </c>
      <c r="B166" s="55" t="s">
        <v>98</v>
      </c>
      <c r="C166" s="196">
        <v>12</v>
      </c>
      <c r="D166" s="196">
        <v>4</v>
      </c>
      <c r="E166" s="555" t="s">
        <v>358</v>
      </c>
      <c r="F166" s="53">
        <v>102.86</v>
      </c>
      <c r="G166" s="400" t="s">
        <v>587</v>
      </c>
      <c r="H166" s="526">
        <v>55.953598022460938</v>
      </c>
      <c r="I166" s="243">
        <v>-1.99</v>
      </c>
      <c r="J166" s="449">
        <v>-0.89</v>
      </c>
      <c r="K166" s="66">
        <f t="shared" si="3"/>
        <v>21.312899999999999</v>
      </c>
      <c r="L166" s="395" t="s">
        <v>79</v>
      </c>
      <c r="M166" s="317" t="s">
        <v>85</v>
      </c>
      <c r="N166" s="317" t="s">
        <v>95</v>
      </c>
      <c r="O166" s="307" t="s">
        <v>35</v>
      </c>
      <c r="P166" s="314" t="s">
        <v>91</v>
      </c>
      <c r="Q166" s="501" t="s">
        <v>435</v>
      </c>
      <c r="R166" s="315" t="s">
        <v>94</v>
      </c>
      <c r="S166" s="176"/>
      <c r="T166" s="145"/>
      <c r="U166" s="145"/>
    </row>
    <row r="167" spans="1:21">
      <c r="A167" s="167">
        <v>865</v>
      </c>
      <c r="B167" s="55" t="s">
        <v>98</v>
      </c>
      <c r="C167" s="196">
        <v>12</v>
      </c>
      <c r="D167" s="196">
        <v>4</v>
      </c>
      <c r="E167" s="555" t="s">
        <v>358</v>
      </c>
      <c r="F167" s="53">
        <v>102.86</v>
      </c>
      <c r="G167" s="400" t="s">
        <v>587</v>
      </c>
      <c r="H167" s="526">
        <v>55.953598022460938</v>
      </c>
      <c r="I167" s="243">
        <v>-1.52</v>
      </c>
      <c r="J167" s="449">
        <v>-0.89</v>
      </c>
      <c r="K167" s="66">
        <f t="shared" si="3"/>
        <v>19.058921000000002</v>
      </c>
      <c r="L167" s="395" t="s">
        <v>79</v>
      </c>
      <c r="M167" s="317" t="s">
        <v>85</v>
      </c>
      <c r="N167" s="317" t="s">
        <v>95</v>
      </c>
      <c r="O167" s="307" t="s">
        <v>35</v>
      </c>
      <c r="P167" s="314" t="s">
        <v>91</v>
      </c>
      <c r="Q167" s="501" t="s">
        <v>435</v>
      </c>
      <c r="R167" s="315" t="s">
        <v>94</v>
      </c>
      <c r="S167" s="176"/>
      <c r="T167" s="145"/>
      <c r="U167" s="145"/>
    </row>
    <row r="168" spans="1:21">
      <c r="A168" s="167">
        <v>865</v>
      </c>
      <c r="B168" s="55" t="s">
        <v>98</v>
      </c>
      <c r="C168" s="196">
        <v>12</v>
      </c>
      <c r="D168" s="196">
        <v>4</v>
      </c>
      <c r="E168" s="555" t="s">
        <v>358</v>
      </c>
      <c r="F168" s="53">
        <v>102.86</v>
      </c>
      <c r="G168" s="400" t="s">
        <v>587</v>
      </c>
      <c r="H168" s="526">
        <v>55.953598022460938</v>
      </c>
      <c r="I168" s="243">
        <v>-2</v>
      </c>
      <c r="J168" s="449">
        <v>-0.89</v>
      </c>
      <c r="K168" s="66">
        <f t="shared" si="3"/>
        <v>21.361288999999999</v>
      </c>
      <c r="L168" s="395" t="s">
        <v>79</v>
      </c>
      <c r="M168" s="317" t="s">
        <v>85</v>
      </c>
      <c r="N168" s="317" t="s">
        <v>95</v>
      </c>
      <c r="O168" s="307" t="s">
        <v>35</v>
      </c>
      <c r="P168" s="314" t="s">
        <v>91</v>
      </c>
      <c r="Q168" s="501" t="s">
        <v>435</v>
      </c>
      <c r="R168" s="315" t="s">
        <v>94</v>
      </c>
      <c r="S168" s="176"/>
      <c r="T168" s="145"/>
      <c r="U168" s="145"/>
    </row>
    <row r="169" spans="1:21">
      <c r="A169" s="167">
        <v>865</v>
      </c>
      <c r="B169" s="55" t="s">
        <v>98</v>
      </c>
      <c r="C169" s="196">
        <v>12</v>
      </c>
      <c r="D169" s="196">
        <v>4</v>
      </c>
      <c r="E169" s="555" t="s">
        <v>358</v>
      </c>
      <c r="F169" s="53">
        <v>102.86</v>
      </c>
      <c r="G169" s="400" t="s">
        <v>587</v>
      </c>
      <c r="H169" s="526">
        <v>55.953598022460938</v>
      </c>
      <c r="I169" s="243">
        <v>-1.92</v>
      </c>
      <c r="J169" s="449">
        <v>-0.89</v>
      </c>
      <c r="K169" s="66">
        <f t="shared" si="3"/>
        <v>20.974681</v>
      </c>
      <c r="L169" s="395" t="s">
        <v>79</v>
      </c>
      <c r="M169" s="317" t="s">
        <v>85</v>
      </c>
      <c r="N169" s="317" t="s">
        <v>95</v>
      </c>
      <c r="O169" s="307" t="s">
        <v>35</v>
      </c>
      <c r="P169" s="314" t="s">
        <v>91</v>
      </c>
      <c r="Q169" s="501" t="s">
        <v>435</v>
      </c>
      <c r="R169" s="315" t="s">
        <v>94</v>
      </c>
      <c r="S169" s="176"/>
      <c r="T169" s="145"/>
      <c r="U169" s="145"/>
    </row>
    <row r="170" spans="1:21">
      <c r="A170" s="167">
        <v>865</v>
      </c>
      <c r="B170" s="55" t="s">
        <v>98</v>
      </c>
      <c r="C170" s="196">
        <v>12</v>
      </c>
      <c r="D170" s="196">
        <v>4</v>
      </c>
      <c r="E170" s="555" t="s">
        <v>358</v>
      </c>
      <c r="F170" s="53">
        <v>102.86</v>
      </c>
      <c r="G170" s="400" t="s">
        <v>587</v>
      </c>
      <c r="H170" s="526">
        <v>55.953598022460938</v>
      </c>
      <c r="I170" s="243">
        <v>-1.34</v>
      </c>
      <c r="J170" s="449">
        <v>-0.89</v>
      </c>
      <c r="K170" s="66">
        <f t="shared" si="3"/>
        <v>18.206225000000003</v>
      </c>
      <c r="L170" s="395" t="s">
        <v>79</v>
      </c>
      <c r="M170" s="317" t="s">
        <v>85</v>
      </c>
      <c r="N170" s="317" t="s">
        <v>95</v>
      </c>
      <c r="O170" s="307" t="s">
        <v>35</v>
      </c>
      <c r="P170" s="314" t="s">
        <v>91</v>
      </c>
      <c r="Q170" s="501" t="s">
        <v>435</v>
      </c>
      <c r="R170" s="315" t="s">
        <v>94</v>
      </c>
      <c r="S170" s="176"/>
      <c r="T170" s="145"/>
      <c r="U170" s="145"/>
    </row>
    <row r="171" spans="1:21">
      <c r="A171" s="167">
        <v>865</v>
      </c>
      <c r="B171" s="55" t="s">
        <v>98</v>
      </c>
      <c r="C171" s="196">
        <v>12</v>
      </c>
      <c r="D171" s="196">
        <v>4</v>
      </c>
      <c r="E171" s="555" t="s">
        <v>358</v>
      </c>
      <c r="F171" s="53">
        <v>102.86</v>
      </c>
      <c r="G171" s="400" t="s">
        <v>587</v>
      </c>
      <c r="H171" s="526">
        <v>55.953598022460938</v>
      </c>
      <c r="I171" s="243">
        <v>-1.9</v>
      </c>
      <c r="J171" s="449">
        <v>-0.89</v>
      </c>
      <c r="K171" s="66">
        <f t="shared" si="3"/>
        <v>20.878209000000002</v>
      </c>
      <c r="L171" s="395" t="s">
        <v>79</v>
      </c>
      <c r="M171" s="317" t="s">
        <v>85</v>
      </c>
      <c r="N171" s="317" t="s">
        <v>95</v>
      </c>
      <c r="O171" s="307" t="s">
        <v>35</v>
      </c>
      <c r="P171" s="314" t="s">
        <v>91</v>
      </c>
      <c r="Q171" s="501" t="s">
        <v>435</v>
      </c>
      <c r="R171" s="315" t="s">
        <v>94</v>
      </c>
      <c r="S171" s="176"/>
      <c r="T171" s="145"/>
      <c r="U171" s="145"/>
    </row>
    <row r="172" spans="1:21">
      <c r="A172" s="167">
        <v>865</v>
      </c>
      <c r="B172" s="55" t="s">
        <v>98</v>
      </c>
      <c r="C172" s="196">
        <v>12</v>
      </c>
      <c r="D172" s="196">
        <v>4</v>
      </c>
      <c r="E172" s="555" t="s">
        <v>358</v>
      </c>
      <c r="F172" s="53">
        <v>102.86</v>
      </c>
      <c r="G172" s="400" t="s">
        <v>587</v>
      </c>
      <c r="H172" s="526">
        <v>55.953598022460938</v>
      </c>
      <c r="I172" s="243">
        <v>-2.02</v>
      </c>
      <c r="J172" s="449">
        <v>-0.89</v>
      </c>
      <c r="K172" s="66">
        <f t="shared" si="3"/>
        <v>21.458120999999998</v>
      </c>
      <c r="L172" s="395" t="s">
        <v>79</v>
      </c>
      <c r="M172" s="317" t="s">
        <v>85</v>
      </c>
      <c r="N172" s="317" t="s">
        <v>95</v>
      </c>
      <c r="O172" s="307" t="s">
        <v>35</v>
      </c>
      <c r="P172" s="314" t="s">
        <v>91</v>
      </c>
      <c r="Q172" s="501" t="s">
        <v>435</v>
      </c>
      <c r="R172" s="315" t="s">
        <v>94</v>
      </c>
      <c r="S172" s="176"/>
      <c r="T172" s="145"/>
      <c r="U172" s="145"/>
    </row>
    <row r="173" spans="1:21">
      <c r="A173" s="167">
        <v>865</v>
      </c>
      <c r="B173" s="55" t="s">
        <v>98</v>
      </c>
      <c r="C173" s="196">
        <v>12</v>
      </c>
      <c r="D173" s="196">
        <v>4</v>
      </c>
      <c r="E173" s="555" t="s">
        <v>358</v>
      </c>
      <c r="F173" s="53">
        <v>102.86</v>
      </c>
      <c r="G173" s="400" t="s">
        <v>587</v>
      </c>
      <c r="H173" s="526">
        <v>55.953598022460938</v>
      </c>
      <c r="I173" s="243">
        <v>-2.0499999999999998</v>
      </c>
      <c r="J173" s="449">
        <v>-0.89</v>
      </c>
      <c r="K173" s="66">
        <f t="shared" si="3"/>
        <v>21.603503999999997</v>
      </c>
      <c r="L173" s="395" t="s">
        <v>79</v>
      </c>
      <c r="M173" s="317" t="s">
        <v>85</v>
      </c>
      <c r="N173" s="317" t="s">
        <v>95</v>
      </c>
      <c r="O173" s="307" t="s">
        <v>35</v>
      </c>
      <c r="P173" s="314" t="s">
        <v>91</v>
      </c>
      <c r="Q173" s="501" t="s">
        <v>435</v>
      </c>
      <c r="R173" s="315" t="s">
        <v>94</v>
      </c>
      <c r="S173" s="176"/>
      <c r="T173" s="145"/>
      <c r="U173" s="145"/>
    </row>
    <row r="174" spans="1:21">
      <c r="A174" s="167">
        <v>865</v>
      </c>
      <c r="B174" s="55" t="s">
        <v>98</v>
      </c>
      <c r="C174" s="196">
        <v>12</v>
      </c>
      <c r="D174" s="196">
        <v>4</v>
      </c>
      <c r="E174" s="555" t="s">
        <v>358</v>
      </c>
      <c r="F174" s="53">
        <v>102.86</v>
      </c>
      <c r="G174" s="400" t="s">
        <v>587</v>
      </c>
      <c r="H174" s="526">
        <v>55.953598022460938</v>
      </c>
      <c r="I174" s="243">
        <v>-1.86</v>
      </c>
      <c r="J174" s="449">
        <v>-0.89</v>
      </c>
      <c r="K174" s="66">
        <f t="shared" si="3"/>
        <v>20.685480999999999</v>
      </c>
      <c r="L174" s="395" t="s">
        <v>79</v>
      </c>
      <c r="M174" s="317" t="s">
        <v>85</v>
      </c>
      <c r="N174" s="317" t="s">
        <v>95</v>
      </c>
      <c r="O174" s="307" t="s">
        <v>35</v>
      </c>
      <c r="P174" s="314" t="s">
        <v>91</v>
      </c>
      <c r="Q174" s="501" t="s">
        <v>435</v>
      </c>
      <c r="R174" s="315" t="s">
        <v>94</v>
      </c>
      <c r="S174" s="176"/>
      <c r="T174" s="145"/>
      <c r="U174" s="145"/>
    </row>
    <row r="175" spans="1:21">
      <c r="A175" s="167">
        <v>865</v>
      </c>
      <c r="B175" s="55" t="s">
        <v>98</v>
      </c>
      <c r="C175" s="196">
        <v>12</v>
      </c>
      <c r="D175" s="196">
        <v>4</v>
      </c>
      <c r="E175" s="555" t="s">
        <v>358</v>
      </c>
      <c r="F175" s="53">
        <v>102.86</v>
      </c>
      <c r="G175" s="400" t="s">
        <v>587</v>
      </c>
      <c r="H175" s="526">
        <v>55.953598022460938</v>
      </c>
      <c r="I175" s="243">
        <v>-1.52</v>
      </c>
      <c r="J175" s="449">
        <v>-0.89</v>
      </c>
      <c r="K175" s="66">
        <f t="shared" si="3"/>
        <v>19.058921000000002</v>
      </c>
      <c r="L175" s="395" t="s">
        <v>79</v>
      </c>
      <c r="M175" s="317" t="s">
        <v>85</v>
      </c>
      <c r="N175" s="317" t="s">
        <v>95</v>
      </c>
      <c r="O175" s="307" t="s">
        <v>35</v>
      </c>
      <c r="P175" s="314" t="s">
        <v>91</v>
      </c>
      <c r="Q175" s="501" t="s">
        <v>435</v>
      </c>
      <c r="R175" s="315" t="s">
        <v>94</v>
      </c>
      <c r="S175" s="176"/>
      <c r="T175" s="145"/>
      <c r="U175" s="145"/>
    </row>
    <row r="176" spans="1:21">
      <c r="A176" s="167">
        <v>865</v>
      </c>
      <c r="B176" s="55" t="s">
        <v>98</v>
      </c>
      <c r="C176" s="196">
        <v>12</v>
      </c>
      <c r="D176" s="196">
        <v>4</v>
      </c>
      <c r="E176" s="555" t="s">
        <v>360</v>
      </c>
      <c r="F176" s="53">
        <v>102.9</v>
      </c>
      <c r="G176" s="400" t="s">
        <v>587</v>
      </c>
      <c r="H176" s="526">
        <v>55.959999084472656</v>
      </c>
      <c r="I176" s="243">
        <v>-1.65</v>
      </c>
      <c r="J176" s="449">
        <v>-0.89</v>
      </c>
      <c r="K176" s="66">
        <f t="shared" si="3"/>
        <v>19.678384000000001</v>
      </c>
      <c r="L176" s="395" t="s">
        <v>79</v>
      </c>
      <c r="M176" s="317" t="s">
        <v>85</v>
      </c>
      <c r="N176" s="317" t="s">
        <v>95</v>
      </c>
      <c r="O176" s="307" t="s">
        <v>35</v>
      </c>
      <c r="P176" s="314" t="s">
        <v>91</v>
      </c>
      <c r="Q176" s="501" t="s">
        <v>435</v>
      </c>
      <c r="R176" s="315" t="s">
        <v>94</v>
      </c>
      <c r="S176" s="176"/>
      <c r="T176" s="145"/>
      <c r="U176" s="145"/>
    </row>
    <row r="177" spans="1:21">
      <c r="A177" s="167">
        <v>865</v>
      </c>
      <c r="B177" s="55" t="s">
        <v>98</v>
      </c>
      <c r="C177" s="196">
        <v>12</v>
      </c>
      <c r="D177" s="196">
        <v>4</v>
      </c>
      <c r="E177" s="555" t="s">
        <v>360</v>
      </c>
      <c r="F177" s="53">
        <v>102.9</v>
      </c>
      <c r="G177" s="400" t="s">
        <v>587</v>
      </c>
      <c r="H177" s="526">
        <v>55.959999084472656</v>
      </c>
      <c r="I177" s="243">
        <v>-1.71</v>
      </c>
      <c r="J177" s="449">
        <v>-0.89</v>
      </c>
      <c r="K177" s="66">
        <f t="shared" si="3"/>
        <v>19.965316000000001</v>
      </c>
      <c r="L177" s="395" t="s">
        <v>79</v>
      </c>
      <c r="M177" s="317" t="s">
        <v>85</v>
      </c>
      <c r="N177" s="317" t="s">
        <v>95</v>
      </c>
      <c r="O177" s="307" t="s">
        <v>35</v>
      </c>
      <c r="P177" s="314" t="s">
        <v>91</v>
      </c>
      <c r="Q177" s="501" t="s">
        <v>435</v>
      </c>
      <c r="R177" s="315" t="s">
        <v>94</v>
      </c>
      <c r="S177" s="176"/>
      <c r="T177" s="145"/>
      <c r="U177" s="145"/>
    </row>
    <row r="178" spans="1:21">
      <c r="A178" s="167">
        <v>865</v>
      </c>
      <c r="B178" s="55" t="s">
        <v>98</v>
      </c>
      <c r="C178" s="196">
        <v>12</v>
      </c>
      <c r="D178" s="196">
        <v>4</v>
      </c>
      <c r="E178" s="555" t="s">
        <v>360</v>
      </c>
      <c r="F178" s="53">
        <v>102.9</v>
      </c>
      <c r="G178" s="400" t="s">
        <v>587</v>
      </c>
      <c r="H178" s="526">
        <v>55.959999084472656</v>
      </c>
      <c r="I178" s="243">
        <v>-1.73</v>
      </c>
      <c r="J178" s="449">
        <v>-0.89</v>
      </c>
      <c r="K178" s="66">
        <f t="shared" si="3"/>
        <v>20.061104</v>
      </c>
      <c r="L178" s="395" t="s">
        <v>79</v>
      </c>
      <c r="M178" s="317" t="s">
        <v>85</v>
      </c>
      <c r="N178" s="317" t="s">
        <v>95</v>
      </c>
      <c r="O178" s="307" t="s">
        <v>35</v>
      </c>
      <c r="P178" s="314" t="s">
        <v>91</v>
      </c>
      <c r="Q178" s="501" t="s">
        <v>435</v>
      </c>
      <c r="R178" s="315" t="s">
        <v>94</v>
      </c>
      <c r="S178" s="176"/>
      <c r="T178" s="145"/>
      <c r="U178" s="145"/>
    </row>
    <row r="179" spans="1:21">
      <c r="A179" s="167">
        <v>865</v>
      </c>
      <c r="B179" s="55" t="s">
        <v>98</v>
      </c>
      <c r="C179" s="196">
        <v>12</v>
      </c>
      <c r="D179" s="196">
        <v>4</v>
      </c>
      <c r="E179" s="555" t="s">
        <v>360</v>
      </c>
      <c r="F179" s="53">
        <v>102.9</v>
      </c>
      <c r="G179" s="400" t="s">
        <v>587</v>
      </c>
      <c r="H179" s="526">
        <v>55.959999084472656</v>
      </c>
      <c r="I179" s="243">
        <v>-1.81</v>
      </c>
      <c r="J179" s="449">
        <v>-0.89</v>
      </c>
      <c r="K179" s="66">
        <f t="shared" si="3"/>
        <v>20.444976</v>
      </c>
      <c r="L179" s="395" t="s">
        <v>79</v>
      </c>
      <c r="M179" s="317" t="s">
        <v>85</v>
      </c>
      <c r="N179" s="317" t="s">
        <v>95</v>
      </c>
      <c r="O179" s="307" t="s">
        <v>35</v>
      </c>
      <c r="P179" s="314" t="s">
        <v>91</v>
      </c>
      <c r="Q179" s="501" t="s">
        <v>435</v>
      </c>
      <c r="R179" s="315" t="s">
        <v>94</v>
      </c>
      <c r="S179" s="176"/>
      <c r="T179" s="145"/>
      <c r="U179" s="145"/>
    </row>
    <row r="180" spans="1:21">
      <c r="A180" s="167">
        <v>865</v>
      </c>
      <c r="B180" s="55" t="s">
        <v>98</v>
      </c>
      <c r="C180" s="196">
        <v>12</v>
      </c>
      <c r="D180" s="196">
        <v>4</v>
      </c>
      <c r="E180" s="555" t="s">
        <v>360</v>
      </c>
      <c r="F180" s="53">
        <v>102.9</v>
      </c>
      <c r="G180" s="400" t="s">
        <v>587</v>
      </c>
      <c r="H180" s="526">
        <v>55.959999084472656</v>
      </c>
      <c r="I180" s="243">
        <v>-2</v>
      </c>
      <c r="J180" s="449">
        <v>-0.89</v>
      </c>
      <c r="K180" s="66">
        <f t="shared" si="3"/>
        <v>21.361288999999999</v>
      </c>
      <c r="L180" s="395" t="s">
        <v>79</v>
      </c>
      <c r="M180" s="317" t="s">
        <v>85</v>
      </c>
      <c r="N180" s="317" t="s">
        <v>95</v>
      </c>
      <c r="O180" s="307" t="s">
        <v>35</v>
      </c>
      <c r="P180" s="314" t="s">
        <v>91</v>
      </c>
      <c r="Q180" s="501" t="s">
        <v>435</v>
      </c>
      <c r="R180" s="315" t="s">
        <v>94</v>
      </c>
      <c r="S180" s="176"/>
      <c r="T180" s="145"/>
      <c r="U180" s="145"/>
    </row>
    <row r="181" spans="1:21">
      <c r="A181" s="167">
        <v>865</v>
      </c>
      <c r="B181" s="55" t="s">
        <v>98</v>
      </c>
      <c r="C181" s="196">
        <v>12</v>
      </c>
      <c r="D181" s="196">
        <v>4</v>
      </c>
      <c r="E181" s="555" t="s">
        <v>360</v>
      </c>
      <c r="F181" s="53">
        <v>102.9</v>
      </c>
      <c r="G181" s="400" t="s">
        <v>587</v>
      </c>
      <c r="H181" s="526">
        <v>55.959999084472656</v>
      </c>
      <c r="I181" s="243">
        <v>-2</v>
      </c>
      <c r="J181" s="449">
        <v>-0.89</v>
      </c>
      <c r="K181" s="66">
        <f t="shared" si="3"/>
        <v>21.361288999999999</v>
      </c>
      <c r="L181" s="395" t="s">
        <v>79</v>
      </c>
      <c r="M181" s="317" t="s">
        <v>85</v>
      </c>
      <c r="N181" s="317" t="s">
        <v>95</v>
      </c>
      <c r="O181" s="307" t="s">
        <v>35</v>
      </c>
      <c r="P181" s="314" t="s">
        <v>91</v>
      </c>
      <c r="Q181" s="501" t="s">
        <v>435</v>
      </c>
      <c r="R181" s="315" t="s">
        <v>94</v>
      </c>
      <c r="S181" s="176"/>
      <c r="T181" s="145"/>
      <c r="U181" s="145"/>
    </row>
    <row r="182" spans="1:21">
      <c r="A182" s="167">
        <v>865</v>
      </c>
      <c r="B182" s="55" t="s">
        <v>98</v>
      </c>
      <c r="C182" s="196">
        <v>12</v>
      </c>
      <c r="D182" s="196">
        <v>4</v>
      </c>
      <c r="E182" s="555" t="s">
        <v>360</v>
      </c>
      <c r="F182" s="53">
        <v>102.9</v>
      </c>
      <c r="G182" s="400" t="s">
        <v>587</v>
      </c>
      <c r="H182" s="526">
        <v>55.959999084472656</v>
      </c>
      <c r="I182" s="243">
        <v>-1.67</v>
      </c>
      <c r="J182" s="449">
        <v>-0.89</v>
      </c>
      <c r="K182" s="66">
        <f t="shared" si="3"/>
        <v>19.773956000000002</v>
      </c>
      <c r="L182" s="395" t="s">
        <v>79</v>
      </c>
      <c r="M182" s="317" t="s">
        <v>85</v>
      </c>
      <c r="N182" s="317" t="s">
        <v>95</v>
      </c>
      <c r="O182" s="307" t="s">
        <v>35</v>
      </c>
      <c r="P182" s="314" t="s">
        <v>91</v>
      </c>
      <c r="Q182" s="501" t="s">
        <v>435</v>
      </c>
      <c r="R182" s="315" t="s">
        <v>94</v>
      </c>
      <c r="S182" s="176"/>
      <c r="T182" s="145"/>
      <c r="U182" s="145"/>
    </row>
    <row r="183" spans="1:21">
      <c r="A183" s="167">
        <v>865</v>
      </c>
      <c r="B183" s="55" t="s">
        <v>98</v>
      </c>
      <c r="C183" s="196">
        <v>12</v>
      </c>
      <c r="D183" s="196">
        <v>4</v>
      </c>
      <c r="E183" s="555" t="s">
        <v>360</v>
      </c>
      <c r="F183" s="53">
        <v>102.9</v>
      </c>
      <c r="G183" s="400" t="s">
        <v>587</v>
      </c>
      <c r="H183" s="526">
        <v>55.959999084472656</v>
      </c>
      <c r="I183" s="243">
        <v>-2.13</v>
      </c>
      <c r="J183" s="449">
        <v>-0.89</v>
      </c>
      <c r="K183" s="66">
        <f t="shared" si="3"/>
        <v>21.991983999999999</v>
      </c>
      <c r="L183" s="395" t="s">
        <v>79</v>
      </c>
      <c r="M183" s="317" t="s">
        <v>85</v>
      </c>
      <c r="N183" s="317" t="s">
        <v>95</v>
      </c>
      <c r="O183" s="307" t="s">
        <v>35</v>
      </c>
      <c r="P183" s="314" t="s">
        <v>91</v>
      </c>
      <c r="Q183" s="501" t="s">
        <v>435</v>
      </c>
      <c r="R183" s="315" t="s">
        <v>94</v>
      </c>
      <c r="S183" s="176"/>
      <c r="T183" s="145"/>
      <c r="U183" s="145"/>
    </row>
    <row r="184" spans="1:21">
      <c r="A184" s="167">
        <v>865</v>
      </c>
      <c r="B184" s="55" t="s">
        <v>98</v>
      </c>
      <c r="C184" s="196">
        <v>12</v>
      </c>
      <c r="D184" s="196">
        <v>4</v>
      </c>
      <c r="E184" s="555" t="s">
        <v>360</v>
      </c>
      <c r="F184" s="53">
        <v>102.9</v>
      </c>
      <c r="G184" s="400" t="s">
        <v>587</v>
      </c>
      <c r="H184" s="526">
        <v>55.959999084472656</v>
      </c>
      <c r="I184" s="243">
        <v>-2.0299999999999998</v>
      </c>
      <c r="J184" s="449">
        <v>-0.89</v>
      </c>
      <c r="K184" s="66">
        <f t="shared" si="3"/>
        <v>21.506564000000001</v>
      </c>
      <c r="L184" s="395" t="s">
        <v>79</v>
      </c>
      <c r="M184" s="317" t="s">
        <v>85</v>
      </c>
      <c r="N184" s="317" t="s">
        <v>95</v>
      </c>
      <c r="O184" s="307" t="s">
        <v>35</v>
      </c>
      <c r="P184" s="314" t="s">
        <v>91</v>
      </c>
      <c r="Q184" s="501" t="s">
        <v>435</v>
      </c>
      <c r="R184" s="315" t="s">
        <v>94</v>
      </c>
      <c r="S184" s="176"/>
      <c r="T184" s="145"/>
      <c r="U184" s="145"/>
    </row>
    <row r="185" spans="1:21">
      <c r="A185" s="167">
        <v>865</v>
      </c>
      <c r="B185" s="55" t="s">
        <v>98</v>
      </c>
      <c r="C185" s="196">
        <v>12</v>
      </c>
      <c r="D185" s="196">
        <v>4</v>
      </c>
      <c r="E185" s="555" t="s">
        <v>360</v>
      </c>
      <c r="F185" s="53">
        <v>102.9</v>
      </c>
      <c r="G185" s="400" t="s">
        <v>587</v>
      </c>
      <c r="H185" s="526">
        <v>55.959999084472656</v>
      </c>
      <c r="I185" s="243">
        <v>-1.88</v>
      </c>
      <c r="J185" s="449">
        <v>-0.89</v>
      </c>
      <c r="K185" s="66">
        <f t="shared" si="3"/>
        <v>20.781808999999999</v>
      </c>
      <c r="L185" s="395" t="s">
        <v>79</v>
      </c>
      <c r="M185" s="317" t="s">
        <v>85</v>
      </c>
      <c r="N185" s="317" t="s">
        <v>95</v>
      </c>
      <c r="O185" s="307" t="s">
        <v>35</v>
      </c>
      <c r="P185" s="314" t="s">
        <v>91</v>
      </c>
      <c r="Q185" s="501" t="s">
        <v>435</v>
      </c>
      <c r="R185" s="315" t="s">
        <v>94</v>
      </c>
      <c r="S185" s="176"/>
      <c r="T185" s="145"/>
      <c r="U185" s="145"/>
    </row>
    <row r="186" spans="1:21">
      <c r="A186" s="167">
        <v>865</v>
      </c>
      <c r="B186" s="55" t="s">
        <v>98</v>
      </c>
      <c r="C186" s="196">
        <v>12</v>
      </c>
      <c r="D186" s="196">
        <v>4</v>
      </c>
      <c r="E186" s="555" t="s">
        <v>360</v>
      </c>
      <c r="F186" s="53">
        <v>102.9</v>
      </c>
      <c r="G186" s="400" t="s">
        <v>587</v>
      </c>
      <c r="H186" s="526">
        <v>55.959999084472656</v>
      </c>
      <c r="I186" s="243">
        <v>-1.74</v>
      </c>
      <c r="J186" s="449">
        <v>-0.89</v>
      </c>
      <c r="K186" s="66">
        <f t="shared" si="3"/>
        <v>20.109024999999999</v>
      </c>
      <c r="L186" s="395" t="s">
        <v>79</v>
      </c>
      <c r="M186" s="317" t="s">
        <v>85</v>
      </c>
      <c r="N186" s="317" t="s">
        <v>95</v>
      </c>
      <c r="O186" s="307" t="s">
        <v>35</v>
      </c>
      <c r="P186" s="314" t="s">
        <v>91</v>
      </c>
      <c r="Q186" s="501" t="s">
        <v>435</v>
      </c>
      <c r="R186" s="315" t="s">
        <v>94</v>
      </c>
      <c r="S186" s="176"/>
      <c r="T186" s="145"/>
      <c r="U186" s="145"/>
    </row>
    <row r="187" spans="1:21">
      <c r="A187" s="167">
        <v>865</v>
      </c>
      <c r="B187" s="55" t="s">
        <v>98</v>
      </c>
      <c r="C187" s="196">
        <v>12</v>
      </c>
      <c r="D187" s="196">
        <v>4</v>
      </c>
      <c r="E187" s="555" t="s">
        <v>360</v>
      </c>
      <c r="F187" s="53">
        <v>102.9</v>
      </c>
      <c r="G187" s="400" t="s">
        <v>587</v>
      </c>
      <c r="H187" s="526">
        <v>55.959999084472656</v>
      </c>
      <c r="I187" s="243">
        <v>-1.99</v>
      </c>
      <c r="J187" s="449">
        <v>-0.89</v>
      </c>
      <c r="K187" s="66">
        <f t="shared" si="3"/>
        <v>21.312899999999999</v>
      </c>
      <c r="L187" s="395" t="s">
        <v>79</v>
      </c>
      <c r="M187" s="317" t="s">
        <v>85</v>
      </c>
      <c r="N187" s="317" t="s">
        <v>95</v>
      </c>
      <c r="O187" s="307" t="s">
        <v>35</v>
      </c>
      <c r="P187" s="314" t="s">
        <v>91</v>
      </c>
      <c r="Q187" s="501" t="s">
        <v>435</v>
      </c>
      <c r="R187" s="315" t="s">
        <v>94</v>
      </c>
      <c r="S187" s="176"/>
      <c r="T187" s="145"/>
      <c r="U187" s="145"/>
    </row>
    <row r="188" spans="1:21">
      <c r="A188" s="167">
        <v>865</v>
      </c>
      <c r="B188" s="55" t="s">
        <v>98</v>
      </c>
      <c r="C188" s="196">
        <v>12</v>
      </c>
      <c r="D188" s="196">
        <v>4</v>
      </c>
      <c r="E188" s="555" t="s">
        <v>360</v>
      </c>
      <c r="F188" s="53">
        <v>102.9</v>
      </c>
      <c r="G188" s="400" t="s">
        <v>587</v>
      </c>
      <c r="H188" s="526">
        <v>55.959999084472656</v>
      </c>
      <c r="I188" s="243">
        <v>-1.73</v>
      </c>
      <c r="J188" s="449">
        <v>-0.89</v>
      </c>
      <c r="K188" s="66">
        <f t="shared" si="3"/>
        <v>20.061104</v>
      </c>
      <c r="L188" s="395" t="s">
        <v>79</v>
      </c>
      <c r="M188" s="317" t="s">
        <v>85</v>
      </c>
      <c r="N188" s="317" t="s">
        <v>95</v>
      </c>
      <c r="O188" s="307" t="s">
        <v>35</v>
      </c>
      <c r="P188" s="314" t="s">
        <v>91</v>
      </c>
      <c r="Q188" s="501" t="s">
        <v>435</v>
      </c>
      <c r="R188" s="315" t="s">
        <v>94</v>
      </c>
      <c r="S188" s="176"/>
      <c r="T188" s="145"/>
      <c r="U188" s="145"/>
    </row>
    <row r="189" spans="1:21">
      <c r="A189" s="167">
        <v>865</v>
      </c>
      <c r="B189" s="55" t="s">
        <v>98</v>
      </c>
      <c r="C189" s="196">
        <v>12</v>
      </c>
      <c r="D189" s="196">
        <v>4</v>
      </c>
      <c r="E189" s="555" t="s">
        <v>360</v>
      </c>
      <c r="F189" s="53">
        <v>102.9</v>
      </c>
      <c r="G189" s="400" t="s">
        <v>587</v>
      </c>
      <c r="H189" s="526">
        <v>55.959999084472656</v>
      </c>
      <c r="I189" s="243">
        <v>-2.12</v>
      </c>
      <c r="J189" s="449">
        <v>-0.89</v>
      </c>
      <c r="K189" s="66">
        <f t="shared" si="3"/>
        <v>21.943361000000003</v>
      </c>
      <c r="L189" s="395" t="s">
        <v>79</v>
      </c>
      <c r="M189" s="317" t="s">
        <v>85</v>
      </c>
      <c r="N189" s="317" t="s">
        <v>95</v>
      </c>
      <c r="O189" s="307" t="s">
        <v>35</v>
      </c>
      <c r="P189" s="314" t="s">
        <v>91</v>
      </c>
      <c r="Q189" s="501" t="s">
        <v>435</v>
      </c>
      <c r="R189" s="315" t="s">
        <v>94</v>
      </c>
      <c r="S189" s="176"/>
      <c r="T189" s="145"/>
      <c r="U189" s="145"/>
    </row>
    <row r="190" spans="1:21">
      <c r="A190" s="167">
        <v>865</v>
      </c>
      <c r="B190" s="55" t="s">
        <v>98</v>
      </c>
      <c r="C190" s="196">
        <v>12</v>
      </c>
      <c r="D190" s="196">
        <v>4</v>
      </c>
      <c r="E190" s="555" t="s">
        <v>360</v>
      </c>
      <c r="F190" s="53">
        <v>102.9</v>
      </c>
      <c r="G190" s="400" t="s">
        <v>587</v>
      </c>
      <c r="H190" s="526">
        <v>55.959999084472656</v>
      </c>
      <c r="I190" s="243">
        <v>-1.82</v>
      </c>
      <c r="J190" s="449">
        <v>-0.89</v>
      </c>
      <c r="K190" s="66">
        <f t="shared" si="3"/>
        <v>20.493041000000002</v>
      </c>
      <c r="L190" s="395" t="s">
        <v>79</v>
      </c>
      <c r="M190" s="317" t="s">
        <v>85</v>
      </c>
      <c r="N190" s="317" t="s">
        <v>95</v>
      </c>
      <c r="O190" s="307" t="s">
        <v>35</v>
      </c>
      <c r="P190" s="314" t="s">
        <v>91</v>
      </c>
      <c r="Q190" s="501" t="s">
        <v>435</v>
      </c>
      <c r="R190" s="315" t="s">
        <v>94</v>
      </c>
      <c r="S190" s="176"/>
      <c r="T190" s="145"/>
      <c r="U190" s="145"/>
    </row>
    <row r="191" spans="1:21">
      <c r="A191" s="167">
        <v>865</v>
      </c>
      <c r="B191" s="55" t="s">
        <v>98</v>
      </c>
      <c r="C191" s="196">
        <v>12</v>
      </c>
      <c r="D191" s="196">
        <v>4</v>
      </c>
      <c r="E191" s="555" t="s">
        <v>360</v>
      </c>
      <c r="F191" s="53">
        <v>102.9</v>
      </c>
      <c r="G191" s="400" t="s">
        <v>587</v>
      </c>
      <c r="H191" s="526">
        <v>55.959999084472656</v>
      </c>
      <c r="I191" s="243">
        <v>-1.91</v>
      </c>
      <c r="J191" s="449">
        <v>-0.89</v>
      </c>
      <c r="K191" s="66">
        <f t="shared" si="3"/>
        <v>20.926436000000002</v>
      </c>
      <c r="L191" s="395" t="s">
        <v>79</v>
      </c>
      <c r="M191" s="317" t="s">
        <v>85</v>
      </c>
      <c r="N191" s="317" t="s">
        <v>95</v>
      </c>
      <c r="O191" s="307" t="s">
        <v>35</v>
      </c>
      <c r="P191" s="314" t="s">
        <v>91</v>
      </c>
      <c r="Q191" s="501" t="s">
        <v>435</v>
      </c>
      <c r="R191" s="315" t="s">
        <v>94</v>
      </c>
      <c r="S191" s="176"/>
      <c r="T191" s="145"/>
      <c r="U191" s="145"/>
    </row>
    <row r="192" spans="1:21">
      <c r="A192" s="167">
        <v>865</v>
      </c>
      <c r="B192" s="55" t="s">
        <v>98</v>
      </c>
      <c r="C192" s="196">
        <v>12</v>
      </c>
      <c r="D192" s="196">
        <v>4</v>
      </c>
      <c r="E192" s="555" t="s">
        <v>360</v>
      </c>
      <c r="F192" s="53">
        <v>102.9</v>
      </c>
      <c r="G192" s="400" t="s">
        <v>587</v>
      </c>
      <c r="H192" s="526">
        <v>55.959999084472656</v>
      </c>
      <c r="I192" s="243">
        <v>-2.06</v>
      </c>
      <c r="J192" s="449">
        <v>-0.89</v>
      </c>
      <c r="K192" s="66">
        <f t="shared" si="3"/>
        <v>21.652001000000002</v>
      </c>
      <c r="L192" s="395" t="s">
        <v>79</v>
      </c>
      <c r="M192" s="317" t="s">
        <v>85</v>
      </c>
      <c r="N192" s="317" t="s">
        <v>95</v>
      </c>
      <c r="O192" s="307" t="s">
        <v>35</v>
      </c>
      <c r="P192" s="314" t="s">
        <v>91</v>
      </c>
      <c r="Q192" s="501" t="s">
        <v>435</v>
      </c>
      <c r="R192" s="315" t="s">
        <v>94</v>
      </c>
      <c r="S192" s="176"/>
      <c r="T192" s="145"/>
      <c r="U192" s="145"/>
    </row>
    <row r="193" spans="1:21">
      <c r="A193" s="167">
        <v>865</v>
      </c>
      <c r="B193" s="55" t="s">
        <v>98</v>
      </c>
      <c r="C193" s="196">
        <v>12</v>
      </c>
      <c r="D193" s="196">
        <v>4</v>
      </c>
      <c r="E193" s="555" t="s">
        <v>360</v>
      </c>
      <c r="F193" s="53">
        <v>102.9</v>
      </c>
      <c r="G193" s="400" t="s">
        <v>587</v>
      </c>
      <c r="H193" s="526">
        <v>55.959999084472656</v>
      </c>
      <c r="I193" s="243">
        <v>-1.88</v>
      </c>
      <c r="J193" s="449">
        <v>-0.89</v>
      </c>
      <c r="K193" s="66">
        <f t="shared" si="3"/>
        <v>20.781808999999999</v>
      </c>
      <c r="L193" s="395" t="s">
        <v>79</v>
      </c>
      <c r="M193" s="317" t="s">
        <v>85</v>
      </c>
      <c r="N193" s="317" t="s">
        <v>95</v>
      </c>
      <c r="O193" s="307" t="s">
        <v>35</v>
      </c>
      <c r="P193" s="314" t="s">
        <v>91</v>
      </c>
      <c r="Q193" s="501" t="s">
        <v>435</v>
      </c>
      <c r="R193" s="315" t="s">
        <v>94</v>
      </c>
      <c r="S193" s="176"/>
      <c r="T193" s="145"/>
      <c r="U193" s="145"/>
    </row>
    <row r="194" spans="1:21">
      <c r="A194" s="167">
        <v>865</v>
      </c>
      <c r="B194" s="55" t="s">
        <v>98</v>
      </c>
      <c r="C194" s="196">
        <v>12</v>
      </c>
      <c r="D194" s="196">
        <v>4</v>
      </c>
      <c r="E194" s="555" t="s">
        <v>360</v>
      </c>
      <c r="F194" s="53">
        <v>102.9</v>
      </c>
      <c r="G194" s="400" t="s">
        <v>587</v>
      </c>
      <c r="H194" s="526">
        <v>55.959999084472656</v>
      </c>
      <c r="I194" s="243">
        <v>-2.14</v>
      </c>
      <c r="J194" s="449">
        <v>-0.89</v>
      </c>
      <c r="K194" s="66">
        <f t="shared" si="3"/>
        <v>22.040625000000002</v>
      </c>
      <c r="L194" s="395" t="s">
        <v>79</v>
      </c>
      <c r="M194" s="317" t="s">
        <v>85</v>
      </c>
      <c r="N194" s="317" t="s">
        <v>95</v>
      </c>
      <c r="O194" s="307" t="s">
        <v>35</v>
      </c>
      <c r="P194" s="314" t="s">
        <v>91</v>
      </c>
      <c r="Q194" s="501" t="s">
        <v>435</v>
      </c>
      <c r="R194" s="315" t="s">
        <v>94</v>
      </c>
      <c r="S194" s="176"/>
      <c r="T194" s="145"/>
      <c r="U194" s="145"/>
    </row>
    <row r="195" spans="1:21">
      <c r="A195" s="167">
        <v>865</v>
      </c>
      <c r="B195" s="55" t="s">
        <v>98</v>
      </c>
      <c r="C195" s="196">
        <v>12</v>
      </c>
      <c r="D195" s="196">
        <v>4</v>
      </c>
      <c r="E195" s="555" t="s">
        <v>360</v>
      </c>
      <c r="F195" s="53">
        <v>102.9</v>
      </c>
      <c r="G195" s="400" t="s">
        <v>587</v>
      </c>
      <c r="H195" s="526">
        <v>55.959999084472656</v>
      </c>
      <c r="I195" s="243">
        <v>-1.74</v>
      </c>
      <c r="J195" s="449">
        <v>-0.89</v>
      </c>
      <c r="K195" s="66">
        <f t="shared" si="3"/>
        <v>20.109024999999999</v>
      </c>
      <c r="L195" s="395" t="s">
        <v>79</v>
      </c>
      <c r="M195" s="317" t="s">
        <v>85</v>
      </c>
      <c r="N195" s="317" t="s">
        <v>95</v>
      </c>
      <c r="O195" s="307" t="s">
        <v>35</v>
      </c>
      <c r="P195" s="314" t="s">
        <v>91</v>
      </c>
      <c r="Q195" s="501" t="s">
        <v>435</v>
      </c>
      <c r="R195" s="315" t="s">
        <v>94</v>
      </c>
      <c r="S195" s="176"/>
      <c r="T195" s="145"/>
      <c r="U195" s="145"/>
    </row>
    <row r="196" spans="1:21">
      <c r="A196" s="167">
        <v>865</v>
      </c>
      <c r="B196" s="55" t="s">
        <v>98</v>
      </c>
      <c r="C196" s="196">
        <v>12</v>
      </c>
      <c r="D196" s="196">
        <v>4</v>
      </c>
      <c r="E196" s="555" t="s">
        <v>360</v>
      </c>
      <c r="F196" s="53">
        <v>102.9</v>
      </c>
      <c r="G196" s="400" t="s">
        <v>587</v>
      </c>
      <c r="H196" s="526">
        <v>55.959999084472656</v>
      </c>
      <c r="I196" s="243">
        <v>-2.0699999999999998</v>
      </c>
      <c r="J196" s="449">
        <v>-0.89</v>
      </c>
      <c r="K196" s="66">
        <f t="shared" si="3"/>
        <v>21.700516</v>
      </c>
      <c r="L196" s="395" t="s">
        <v>79</v>
      </c>
      <c r="M196" s="317" t="s">
        <v>85</v>
      </c>
      <c r="N196" s="317" t="s">
        <v>95</v>
      </c>
      <c r="O196" s="307" t="s">
        <v>35</v>
      </c>
      <c r="P196" s="314" t="s">
        <v>91</v>
      </c>
      <c r="Q196" s="501" t="s">
        <v>435</v>
      </c>
      <c r="R196" s="315" t="s">
        <v>94</v>
      </c>
      <c r="S196" s="176"/>
      <c r="T196" s="145"/>
      <c r="U196" s="145"/>
    </row>
    <row r="197" spans="1:21">
      <c r="A197" s="167">
        <v>865</v>
      </c>
      <c r="B197" s="55" t="s">
        <v>98</v>
      </c>
      <c r="C197" s="196">
        <v>12</v>
      </c>
      <c r="D197" s="196">
        <v>4</v>
      </c>
      <c r="E197" s="555" t="s">
        <v>360</v>
      </c>
      <c r="F197" s="53">
        <v>102.9</v>
      </c>
      <c r="G197" s="400" t="s">
        <v>587</v>
      </c>
      <c r="H197" s="526">
        <v>55.959999084472656</v>
      </c>
      <c r="I197" s="243">
        <v>-1.93</v>
      </c>
      <c r="J197" s="449">
        <v>-0.89</v>
      </c>
      <c r="K197" s="66">
        <f t="shared" si="3"/>
        <v>21.022944000000003</v>
      </c>
      <c r="L197" s="395" t="s">
        <v>79</v>
      </c>
      <c r="M197" s="317" t="s">
        <v>85</v>
      </c>
      <c r="N197" s="317" t="s">
        <v>95</v>
      </c>
      <c r="O197" s="307" t="s">
        <v>35</v>
      </c>
      <c r="P197" s="314" t="s">
        <v>91</v>
      </c>
      <c r="Q197" s="501" t="s">
        <v>435</v>
      </c>
      <c r="R197" s="315" t="s">
        <v>94</v>
      </c>
      <c r="S197" s="176"/>
      <c r="T197" s="145"/>
      <c r="U197" s="145"/>
    </row>
    <row r="198" spans="1:21">
      <c r="A198" s="167">
        <v>865</v>
      </c>
      <c r="B198" s="55" t="s">
        <v>98</v>
      </c>
      <c r="C198" s="196">
        <v>12</v>
      </c>
      <c r="D198" s="196">
        <v>4</v>
      </c>
      <c r="E198" s="555" t="s">
        <v>360</v>
      </c>
      <c r="F198" s="53">
        <v>102.9</v>
      </c>
      <c r="G198" s="400" t="s">
        <v>587</v>
      </c>
      <c r="H198" s="526">
        <v>55.959999084472656</v>
      </c>
      <c r="I198" s="243">
        <v>-2.08</v>
      </c>
      <c r="J198" s="449">
        <v>-0.89</v>
      </c>
      <c r="K198" s="66">
        <f t="shared" si="3"/>
        <v>21.749048999999999</v>
      </c>
      <c r="L198" s="395" t="s">
        <v>79</v>
      </c>
      <c r="M198" s="317" t="s">
        <v>85</v>
      </c>
      <c r="N198" s="317" t="s">
        <v>95</v>
      </c>
      <c r="O198" s="307" t="s">
        <v>35</v>
      </c>
      <c r="P198" s="314" t="s">
        <v>91</v>
      </c>
      <c r="Q198" s="501" t="s">
        <v>435</v>
      </c>
      <c r="R198" s="315" t="s">
        <v>94</v>
      </c>
      <c r="S198" s="176"/>
      <c r="T198" s="145"/>
      <c r="U198" s="145"/>
    </row>
    <row r="199" spans="1:21">
      <c r="A199" s="167">
        <v>865</v>
      </c>
      <c r="B199" s="55" t="s">
        <v>98</v>
      </c>
      <c r="C199" s="196">
        <v>12</v>
      </c>
      <c r="D199" s="196">
        <v>4</v>
      </c>
      <c r="E199" s="555" t="s">
        <v>360</v>
      </c>
      <c r="F199" s="53">
        <v>102.9</v>
      </c>
      <c r="G199" s="400" t="s">
        <v>587</v>
      </c>
      <c r="H199" s="526">
        <v>55.959999084472656</v>
      </c>
      <c r="I199" s="243">
        <v>-2.0499999999999998</v>
      </c>
      <c r="J199" s="449">
        <v>-0.89</v>
      </c>
      <c r="K199" s="66">
        <f t="shared" si="3"/>
        <v>21.603503999999997</v>
      </c>
      <c r="L199" s="395" t="s">
        <v>79</v>
      </c>
      <c r="M199" s="317" t="s">
        <v>85</v>
      </c>
      <c r="N199" s="317" t="s">
        <v>95</v>
      </c>
      <c r="O199" s="307" t="s">
        <v>35</v>
      </c>
      <c r="P199" s="314" t="s">
        <v>91</v>
      </c>
      <c r="Q199" s="501" t="s">
        <v>435</v>
      </c>
      <c r="R199" s="315" t="s">
        <v>94</v>
      </c>
      <c r="S199" s="176"/>
      <c r="T199" s="145"/>
      <c r="U199" s="145"/>
    </row>
    <row r="200" spans="1:21">
      <c r="A200" s="167">
        <v>865</v>
      </c>
      <c r="B200" s="55" t="s">
        <v>98</v>
      </c>
      <c r="C200" s="196">
        <v>12</v>
      </c>
      <c r="D200" s="196">
        <v>4</v>
      </c>
      <c r="E200" s="555" t="s">
        <v>360</v>
      </c>
      <c r="F200" s="53">
        <v>102.9</v>
      </c>
      <c r="G200" s="400" t="s">
        <v>587</v>
      </c>
      <c r="H200" s="526">
        <v>55.959999084472656</v>
      </c>
      <c r="I200" s="243">
        <v>-1.7</v>
      </c>
      <c r="J200" s="449">
        <v>-0.89</v>
      </c>
      <c r="K200" s="66">
        <f t="shared" si="3"/>
        <v>19.917449000000001</v>
      </c>
      <c r="L200" s="395" t="s">
        <v>79</v>
      </c>
      <c r="M200" s="317" t="s">
        <v>85</v>
      </c>
      <c r="N200" s="317" t="s">
        <v>95</v>
      </c>
      <c r="O200" s="307" t="s">
        <v>35</v>
      </c>
      <c r="P200" s="314" t="s">
        <v>91</v>
      </c>
      <c r="Q200" s="501" t="s">
        <v>435</v>
      </c>
      <c r="R200" s="315" t="s">
        <v>94</v>
      </c>
      <c r="S200" s="176"/>
      <c r="T200" s="145"/>
      <c r="U200" s="145"/>
    </row>
    <row r="201" spans="1:21">
      <c r="A201" s="167">
        <v>865</v>
      </c>
      <c r="B201" s="55" t="s">
        <v>98</v>
      </c>
      <c r="C201" s="196">
        <v>12</v>
      </c>
      <c r="D201" s="196">
        <v>4</v>
      </c>
      <c r="E201" s="555" t="s">
        <v>360</v>
      </c>
      <c r="F201" s="53">
        <v>102.9</v>
      </c>
      <c r="G201" s="400" t="s">
        <v>587</v>
      </c>
      <c r="H201" s="526">
        <v>55.959999084472656</v>
      </c>
      <c r="I201" s="243">
        <v>-1.92</v>
      </c>
      <c r="J201" s="449">
        <v>-0.89</v>
      </c>
      <c r="K201" s="66">
        <f t="shared" si="3"/>
        <v>20.974681</v>
      </c>
      <c r="L201" s="395" t="s">
        <v>79</v>
      </c>
      <c r="M201" s="317" t="s">
        <v>85</v>
      </c>
      <c r="N201" s="317" t="s">
        <v>95</v>
      </c>
      <c r="O201" s="307" t="s">
        <v>35</v>
      </c>
      <c r="P201" s="314" t="s">
        <v>91</v>
      </c>
      <c r="Q201" s="501" t="s">
        <v>435</v>
      </c>
      <c r="R201" s="315" t="s">
        <v>94</v>
      </c>
      <c r="S201" s="176"/>
      <c r="T201" s="145"/>
      <c r="U201" s="145"/>
    </row>
    <row r="202" spans="1:21">
      <c r="A202" s="167">
        <v>865</v>
      </c>
      <c r="B202" s="55" t="s">
        <v>98</v>
      </c>
      <c r="C202" s="196">
        <v>12</v>
      </c>
      <c r="D202" s="196">
        <v>4</v>
      </c>
      <c r="E202" s="555" t="s">
        <v>360</v>
      </c>
      <c r="F202" s="53">
        <v>102.9</v>
      </c>
      <c r="G202" s="400" t="s">
        <v>587</v>
      </c>
      <c r="H202" s="526">
        <v>55.959999084472656</v>
      </c>
      <c r="I202" s="243">
        <v>-1.69</v>
      </c>
      <c r="J202" s="449">
        <v>-0.89</v>
      </c>
      <c r="K202" s="66">
        <f t="shared" si="3"/>
        <v>19.869600000000002</v>
      </c>
      <c r="L202" s="395" t="s">
        <v>79</v>
      </c>
      <c r="M202" s="317" t="s">
        <v>85</v>
      </c>
      <c r="N202" s="317" t="s">
        <v>95</v>
      </c>
      <c r="O202" s="307" t="s">
        <v>35</v>
      </c>
      <c r="P202" s="314" t="s">
        <v>91</v>
      </c>
      <c r="Q202" s="501" t="s">
        <v>435</v>
      </c>
      <c r="R202" s="315" t="s">
        <v>94</v>
      </c>
      <c r="S202" s="176"/>
      <c r="T202" s="145"/>
      <c r="U202" s="145"/>
    </row>
    <row r="203" spans="1:21">
      <c r="A203" s="167">
        <v>865</v>
      </c>
      <c r="B203" s="55" t="s">
        <v>98</v>
      </c>
      <c r="C203" s="196">
        <v>12</v>
      </c>
      <c r="D203" s="196">
        <v>4</v>
      </c>
      <c r="E203" s="555" t="s">
        <v>360</v>
      </c>
      <c r="F203" s="53">
        <v>102.9</v>
      </c>
      <c r="G203" s="400" t="s">
        <v>587</v>
      </c>
      <c r="H203" s="526">
        <v>55.959999084472656</v>
      </c>
      <c r="I203" s="243">
        <v>-1.57</v>
      </c>
      <c r="J203" s="449">
        <v>-0.89</v>
      </c>
      <c r="K203" s="66">
        <f t="shared" ref="K203:K264" si="4">16.1-4.64*($I203-J203)+0.09*($I203-J203)^2</f>
        <v>19.296816000000003</v>
      </c>
      <c r="L203" s="395" t="s">
        <v>79</v>
      </c>
      <c r="M203" s="317" t="s">
        <v>85</v>
      </c>
      <c r="N203" s="317" t="s">
        <v>95</v>
      </c>
      <c r="O203" s="307" t="s">
        <v>35</v>
      </c>
      <c r="P203" s="314" t="s">
        <v>91</v>
      </c>
      <c r="Q203" s="501" t="s">
        <v>435</v>
      </c>
      <c r="R203" s="315" t="s">
        <v>94</v>
      </c>
      <c r="S203" s="176"/>
      <c r="T203" s="145"/>
      <c r="U203" s="145"/>
    </row>
    <row r="204" spans="1:21">
      <c r="A204" s="167">
        <v>865</v>
      </c>
      <c r="B204" s="55" t="s">
        <v>98</v>
      </c>
      <c r="C204" s="196">
        <v>12</v>
      </c>
      <c r="D204" s="196">
        <v>4</v>
      </c>
      <c r="E204" s="555" t="s">
        <v>360</v>
      </c>
      <c r="F204" s="53">
        <v>102.9</v>
      </c>
      <c r="G204" s="400" t="s">
        <v>587</v>
      </c>
      <c r="H204" s="526">
        <v>55.959999084472656</v>
      </c>
      <c r="I204" s="243">
        <v>-2.12</v>
      </c>
      <c r="J204" s="449">
        <v>-0.89</v>
      </c>
      <c r="K204" s="66">
        <f t="shared" si="4"/>
        <v>21.943361000000003</v>
      </c>
      <c r="L204" s="395" t="s">
        <v>79</v>
      </c>
      <c r="M204" s="317" t="s">
        <v>85</v>
      </c>
      <c r="N204" s="317" t="s">
        <v>95</v>
      </c>
      <c r="O204" s="307" t="s">
        <v>35</v>
      </c>
      <c r="P204" s="314" t="s">
        <v>91</v>
      </c>
      <c r="Q204" s="501" t="s">
        <v>435</v>
      </c>
      <c r="R204" s="315" t="s">
        <v>94</v>
      </c>
      <c r="S204" s="176"/>
      <c r="T204" s="145"/>
      <c r="U204" s="145"/>
    </row>
    <row r="205" spans="1:21">
      <c r="A205" s="167">
        <v>865</v>
      </c>
      <c r="B205" s="55" t="s">
        <v>98</v>
      </c>
      <c r="C205" s="196">
        <v>12</v>
      </c>
      <c r="D205" s="196">
        <v>4</v>
      </c>
      <c r="E205" s="196" t="s">
        <v>584</v>
      </c>
      <c r="F205" s="196">
        <v>102.94</v>
      </c>
      <c r="G205" s="196"/>
      <c r="H205" s="526">
        <v>55.964912414550781</v>
      </c>
      <c r="I205" s="243">
        <v>-1.9</v>
      </c>
      <c r="J205" s="449">
        <v>-0.89</v>
      </c>
      <c r="K205" s="789">
        <f t="shared" si="4"/>
        <v>20.878209000000002</v>
      </c>
      <c r="L205" s="395" t="s">
        <v>79</v>
      </c>
      <c r="M205" s="317" t="s">
        <v>85</v>
      </c>
      <c r="N205" s="317" t="s">
        <v>95</v>
      </c>
      <c r="O205" s="307" t="s">
        <v>35</v>
      </c>
      <c r="P205" s="314" t="s">
        <v>91</v>
      </c>
      <c r="Q205" s="501" t="s">
        <v>435</v>
      </c>
      <c r="R205" s="315" t="s">
        <v>94</v>
      </c>
      <c r="S205" s="176"/>
      <c r="T205" s="145"/>
      <c r="U205" s="145"/>
    </row>
    <row r="206" spans="1:21">
      <c r="A206" s="167">
        <v>865</v>
      </c>
      <c r="B206" s="55" t="s">
        <v>98</v>
      </c>
      <c r="C206" s="196">
        <v>12</v>
      </c>
      <c r="D206" s="196">
        <v>4</v>
      </c>
      <c r="E206" s="196" t="s">
        <v>584</v>
      </c>
      <c r="F206" s="196">
        <v>102.94</v>
      </c>
      <c r="G206" s="196"/>
      <c r="H206" s="526">
        <v>55.964912414550781</v>
      </c>
      <c r="I206" s="243">
        <v>-1.91</v>
      </c>
      <c r="J206" s="449">
        <v>-0.89</v>
      </c>
      <c r="K206" s="789">
        <f t="shared" si="4"/>
        <v>20.926436000000002</v>
      </c>
      <c r="L206" s="395" t="s">
        <v>79</v>
      </c>
      <c r="M206" s="317" t="s">
        <v>85</v>
      </c>
      <c r="N206" s="317" t="s">
        <v>95</v>
      </c>
      <c r="O206" s="307" t="s">
        <v>35</v>
      </c>
      <c r="P206" s="314" t="s">
        <v>91</v>
      </c>
      <c r="Q206" s="501" t="s">
        <v>435</v>
      </c>
      <c r="R206" s="315" t="s">
        <v>94</v>
      </c>
      <c r="S206" s="176"/>
      <c r="T206" s="145"/>
      <c r="U206" s="145"/>
    </row>
    <row r="207" spans="1:21">
      <c r="A207" s="167">
        <v>865</v>
      </c>
      <c r="B207" s="55" t="s">
        <v>98</v>
      </c>
      <c r="C207" s="196">
        <v>12</v>
      </c>
      <c r="D207" s="196">
        <v>4</v>
      </c>
      <c r="E207" s="196" t="s">
        <v>584</v>
      </c>
      <c r="F207" s="196">
        <v>102.94</v>
      </c>
      <c r="G207" s="196"/>
      <c r="H207" s="526">
        <v>55.964912414550781</v>
      </c>
      <c r="I207" s="243">
        <v>-1.56</v>
      </c>
      <c r="J207" s="449">
        <v>-0.89</v>
      </c>
      <c r="K207" s="789">
        <f t="shared" si="4"/>
        <v>19.249200999999999</v>
      </c>
      <c r="L207" s="395" t="s">
        <v>79</v>
      </c>
      <c r="M207" s="317" t="s">
        <v>85</v>
      </c>
      <c r="N207" s="317" t="s">
        <v>95</v>
      </c>
      <c r="O207" s="307" t="s">
        <v>35</v>
      </c>
      <c r="P207" s="314" t="s">
        <v>91</v>
      </c>
      <c r="Q207" s="501" t="s">
        <v>435</v>
      </c>
      <c r="R207" s="315" t="s">
        <v>94</v>
      </c>
      <c r="S207" s="176"/>
      <c r="T207" s="145"/>
      <c r="U207" s="145"/>
    </row>
    <row r="208" spans="1:21">
      <c r="A208" s="167">
        <v>865</v>
      </c>
      <c r="B208" s="55" t="s">
        <v>98</v>
      </c>
      <c r="C208" s="196">
        <v>12</v>
      </c>
      <c r="D208" s="196">
        <v>4</v>
      </c>
      <c r="E208" s="196" t="s">
        <v>584</v>
      </c>
      <c r="F208" s="196">
        <v>102.94</v>
      </c>
      <c r="G208" s="196"/>
      <c r="H208" s="526">
        <v>55.964912414550781</v>
      </c>
      <c r="I208" s="243">
        <v>-1.88</v>
      </c>
      <c r="J208" s="449">
        <v>-0.89</v>
      </c>
      <c r="K208" s="789">
        <f t="shared" si="4"/>
        <v>20.781808999999999</v>
      </c>
      <c r="L208" s="395" t="s">
        <v>79</v>
      </c>
      <c r="M208" s="317" t="s">
        <v>85</v>
      </c>
      <c r="N208" s="317" t="s">
        <v>95</v>
      </c>
      <c r="O208" s="307" t="s">
        <v>35</v>
      </c>
      <c r="P208" s="314" t="s">
        <v>91</v>
      </c>
      <c r="Q208" s="501" t="s">
        <v>435</v>
      </c>
      <c r="R208" s="315" t="s">
        <v>94</v>
      </c>
      <c r="S208" s="176"/>
      <c r="T208" s="145"/>
      <c r="U208" s="145"/>
    </row>
    <row r="209" spans="1:21">
      <c r="A209" s="167">
        <v>865</v>
      </c>
      <c r="B209" s="55" t="s">
        <v>98</v>
      </c>
      <c r="C209" s="196">
        <v>12</v>
      </c>
      <c r="D209" s="196">
        <v>4</v>
      </c>
      <c r="E209" s="196" t="s">
        <v>584</v>
      </c>
      <c r="F209" s="196">
        <v>102.94</v>
      </c>
      <c r="G209" s="196"/>
      <c r="H209" s="526">
        <v>55.964912414550781</v>
      </c>
      <c r="I209" s="243">
        <v>-1.69</v>
      </c>
      <c r="J209" s="449">
        <v>-0.89</v>
      </c>
      <c r="K209" s="789">
        <f t="shared" si="4"/>
        <v>19.869600000000002</v>
      </c>
      <c r="L209" s="395" t="s">
        <v>79</v>
      </c>
      <c r="M209" s="317" t="s">
        <v>85</v>
      </c>
      <c r="N209" s="317" t="s">
        <v>95</v>
      </c>
      <c r="O209" s="307" t="s">
        <v>35</v>
      </c>
      <c r="P209" s="314" t="s">
        <v>91</v>
      </c>
      <c r="Q209" s="501" t="s">
        <v>435</v>
      </c>
      <c r="R209" s="315" t="s">
        <v>94</v>
      </c>
      <c r="S209" s="176"/>
      <c r="T209" s="145"/>
      <c r="U209" s="145"/>
    </row>
    <row r="210" spans="1:21">
      <c r="A210" s="167">
        <v>865</v>
      </c>
      <c r="B210" s="55" t="s">
        <v>98</v>
      </c>
      <c r="C210" s="196">
        <v>12</v>
      </c>
      <c r="D210" s="196">
        <v>4</v>
      </c>
      <c r="E210" s="196" t="s">
        <v>584</v>
      </c>
      <c r="F210" s="196">
        <v>102.94</v>
      </c>
      <c r="G210" s="196"/>
      <c r="H210" s="526">
        <v>55.964912414550781</v>
      </c>
      <c r="I210" s="243">
        <v>-1.82</v>
      </c>
      <c r="J210" s="449">
        <v>-0.89</v>
      </c>
      <c r="K210" s="789">
        <f t="shared" si="4"/>
        <v>20.493041000000002</v>
      </c>
      <c r="L210" s="395" t="s">
        <v>79</v>
      </c>
      <c r="M210" s="317" t="s">
        <v>85</v>
      </c>
      <c r="N210" s="317" t="s">
        <v>95</v>
      </c>
      <c r="O210" s="307" t="s">
        <v>35</v>
      </c>
      <c r="P210" s="314" t="s">
        <v>91</v>
      </c>
      <c r="Q210" s="501" t="s">
        <v>435</v>
      </c>
      <c r="R210" s="315" t="s">
        <v>94</v>
      </c>
      <c r="S210" s="176"/>
      <c r="T210" s="145"/>
      <c r="U210" s="145"/>
    </row>
    <row r="211" spans="1:21">
      <c r="A211" s="167">
        <v>865</v>
      </c>
      <c r="B211" s="55" t="s">
        <v>98</v>
      </c>
      <c r="C211" s="196">
        <v>12</v>
      </c>
      <c r="D211" s="196">
        <v>4</v>
      </c>
      <c r="E211" s="196" t="s">
        <v>584</v>
      </c>
      <c r="F211" s="196">
        <v>102.94</v>
      </c>
      <c r="G211" s="196"/>
      <c r="H211" s="526">
        <v>55.964912414550781</v>
      </c>
      <c r="I211" s="243">
        <v>-1.86</v>
      </c>
      <c r="J211" s="449">
        <v>-0.89</v>
      </c>
      <c r="K211" s="789">
        <f t="shared" si="4"/>
        <v>20.685480999999999</v>
      </c>
      <c r="L211" s="395" t="s">
        <v>79</v>
      </c>
      <c r="M211" s="317" t="s">
        <v>85</v>
      </c>
      <c r="N211" s="317" t="s">
        <v>95</v>
      </c>
      <c r="O211" s="307" t="s">
        <v>35</v>
      </c>
      <c r="P211" s="314" t="s">
        <v>91</v>
      </c>
      <c r="Q211" s="501" t="s">
        <v>435</v>
      </c>
      <c r="R211" s="315" t="s">
        <v>94</v>
      </c>
      <c r="S211" s="176"/>
      <c r="T211" s="145"/>
      <c r="U211" s="145"/>
    </row>
    <row r="212" spans="1:21">
      <c r="A212" s="167">
        <v>865</v>
      </c>
      <c r="B212" s="55" t="s">
        <v>98</v>
      </c>
      <c r="C212" s="196">
        <v>12</v>
      </c>
      <c r="D212" s="196">
        <v>4</v>
      </c>
      <c r="E212" s="196" t="s">
        <v>584</v>
      </c>
      <c r="F212" s="196">
        <v>102.94</v>
      </c>
      <c r="G212" s="196"/>
      <c r="H212" s="526">
        <v>55.964912414550781</v>
      </c>
      <c r="I212" s="243">
        <v>-1.72</v>
      </c>
      <c r="J212" s="449">
        <v>-0.89</v>
      </c>
      <c r="K212" s="789">
        <f t="shared" si="4"/>
        <v>20.013200999999999</v>
      </c>
      <c r="L212" s="395" t="s">
        <v>79</v>
      </c>
      <c r="M212" s="317" t="s">
        <v>85</v>
      </c>
      <c r="N212" s="317" t="s">
        <v>95</v>
      </c>
      <c r="O212" s="307" t="s">
        <v>35</v>
      </c>
      <c r="P212" s="314" t="s">
        <v>91</v>
      </c>
      <c r="Q212" s="501" t="s">
        <v>435</v>
      </c>
      <c r="R212" s="315" t="s">
        <v>94</v>
      </c>
      <c r="S212" s="176"/>
      <c r="T212" s="145"/>
      <c r="U212" s="145"/>
    </row>
    <row r="213" spans="1:21">
      <c r="A213" s="167">
        <v>865</v>
      </c>
      <c r="B213" s="55" t="s">
        <v>98</v>
      </c>
      <c r="C213" s="196">
        <v>12</v>
      </c>
      <c r="D213" s="196">
        <v>4</v>
      </c>
      <c r="E213" s="196" t="s">
        <v>584</v>
      </c>
      <c r="F213" s="196">
        <v>102.94</v>
      </c>
      <c r="G213" s="196"/>
      <c r="H213" s="526">
        <v>55.964912414550781</v>
      </c>
      <c r="I213" s="243">
        <v>-1.78</v>
      </c>
      <c r="J213" s="449">
        <v>-0.89</v>
      </c>
      <c r="K213" s="789">
        <f t="shared" si="4"/>
        <v>20.300889000000002</v>
      </c>
      <c r="L213" s="395" t="s">
        <v>79</v>
      </c>
      <c r="M213" s="317" t="s">
        <v>85</v>
      </c>
      <c r="N213" s="317" t="s">
        <v>95</v>
      </c>
      <c r="O213" s="307" t="s">
        <v>35</v>
      </c>
      <c r="P213" s="314" t="s">
        <v>91</v>
      </c>
      <c r="Q213" s="501" t="s">
        <v>435</v>
      </c>
      <c r="R213" s="315" t="s">
        <v>94</v>
      </c>
      <c r="S213" s="176"/>
      <c r="T213" s="145"/>
      <c r="U213" s="145"/>
    </row>
    <row r="214" spans="1:21">
      <c r="A214" s="167">
        <v>865</v>
      </c>
      <c r="B214" s="55" t="s">
        <v>98</v>
      </c>
      <c r="C214" s="196">
        <v>12</v>
      </c>
      <c r="D214" s="196">
        <v>4</v>
      </c>
      <c r="E214" s="196" t="s">
        <v>584</v>
      </c>
      <c r="F214" s="196">
        <v>102.94</v>
      </c>
      <c r="G214" s="196"/>
      <c r="H214" s="526">
        <v>55.964912414550781</v>
      </c>
      <c r="I214" s="243">
        <v>-1.73</v>
      </c>
      <c r="J214" s="449">
        <v>-0.89</v>
      </c>
      <c r="K214" s="789">
        <f t="shared" si="4"/>
        <v>20.061104</v>
      </c>
      <c r="L214" s="395" t="s">
        <v>79</v>
      </c>
      <c r="M214" s="317" t="s">
        <v>85</v>
      </c>
      <c r="N214" s="317" t="s">
        <v>95</v>
      </c>
      <c r="O214" s="307" t="s">
        <v>35</v>
      </c>
      <c r="P214" s="314" t="s">
        <v>91</v>
      </c>
      <c r="Q214" s="501" t="s">
        <v>435</v>
      </c>
      <c r="R214" s="315" t="s">
        <v>94</v>
      </c>
      <c r="S214" s="176"/>
      <c r="T214" s="145"/>
      <c r="U214" s="145"/>
    </row>
    <row r="215" spans="1:21">
      <c r="A215" s="167">
        <v>865</v>
      </c>
      <c r="B215" s="55" t="s">
        <v>98</v>
      </c>
      <c r="C215" s="196">
        <v>12</v>
      </c>
      <c r="D215" s="196">
        <v>4</v>
      </c>
      <c r="E215" s="196" t="s">
        <v>584</v>
      </c>
      <c r="F215" s="196">
        <v>102.94</v>
      </c>
      <c r="G215" s="196"/>
      <c r="H215" s="526">
        <v>55.964912414550781</v>
      </c>
      <c r="I215" s="243">
        <v>-1.52</v>
      </c>
      <c r="J215" s="449">
        <v>-0.89</v>
      </c>
      <c r="K215" s="789">
        <f t="shared" si="4"/>
        <v>19.058921000000002</v>
      </c>
      <c r="L215" s="395" t="s">
        <v>79</v>
      </c>
      <c r="M215" s="317" t="s">
        <v>85</v>
      </c>
      <c r="N215" s="317" t="s">
        <v>95</v>
      </c>
      <c r="O215" s="307" t="s">
        <v>35</v>
      </c>
      <c r="P215" s="314" t="s">
        <v>91</v>
      </c>
      <c r="Q215" s="501" t="s">
        <v>435</v>
      </c>
      <c r="R215" s="315" t="s">
        <v>94</v>
      </c>
      <c r="S215" s="176"/>
      <c r="T215" s="145"/>
      <c r="U215" s="145"/>
    </row>
    <row r="216" spans="1:21">
      <c r="A216" s="167">
        <v>865</v>
      </c>
      <c r="B216" s="55" t="s">
        <v>98</v>
      </c>
      <c r="C216" s="196">
        <v>12</v>
      </c>
      <c r="D216" s="196">
        <v>4</v>
      </c>
      <c r="E216" s="196" t="s">
        <v>584</v>
      </c>
      <c r="F216" s="196">
        <v>102.94</v>
      </c>
      <c r="G216" s="196"/>
      <c r="H216" s="526">
        <v>55.964912414550781</v>
      </c>
      <c r="I216" s="243">
        <v>-2.12</v>
      </c>
      <c r="J216" s="449">
        <v>-0.89</v>
      </c>
      <c r="K216" s="789">
        <f t="shared" si="4"/>
        <v>21.943361000000003</v>
      </c>
      <c r="L216" s="395" t="s">
        <v>79</v>
      </c>
      <c r="M216" s="317" t="s">
        <v>85</v>
      </c>
      <c r="N216" s="317" t="s">
        <v>95</v>
      </c>
      <c r="O216" s="307" t="s">
        <v>35</v>
      </c>
      <c r="P216" s="314" t="s">
        <v>91</v>
      </c>
      <c r="Q216" s="501" t="s">
        <v>435</v>
      </c>
      <c r="R216" s="315" t="s">
        <v>94</v>
      </c>
      <c r="S216" s="176"/>
      <c r="T216" s="145"/>
      <c r="U216" s="145"/>
    </row>
    <row r="217" spans="1:21">
      <c r="A217" s="167">
        <v>865</v>
      </c>
      <c r="B217" s="55" t="s">
        <v>98</v>
      </c>
      <c r="C217" s="196">
        <v>12</v>
      </c>
      <c r="D217" s="196">
        <v>4</v>
      </c>
      <c r="E217" s="196" t="s">
        <v>584</v>
      </c>
      <c r="F217" s="196">
        <v>102.94</v>
      </c>
      <c r="G217" s="196"/>
      <c r="H217" s="526">
        <v>55.964912414550781</v>
      </c>
      <c r="I217" s="243">
        <v>-1.86</v>
      </c>
      <c r="J217" s="449">
        <v>-0.89</v>
      </c>
      <c r="K217" s="789">
        <f t="shared" si="4"/>
        <v>20.685480999999999</v>
      </c>
      <c r="L217" s="395" t="s">
        <v>79</v>
      </c>
      <c r="M217" s="317" t="s">
        <v>85</v>
      </c>
      <c r="N217" s="317" t="s">
        <v>95</v>
      </c>
      <c r="O217" s="307" t="s">
        <v>35</v>
      </c>
      <c r="P217" s="314" t="s">
        <v>91</v>
      </c>
      <c r="Q217" s="501" t="s">
        <v>435</v>
      </c>
      <c r="R217" s="315" t="s">
        <v>94</v>
      </c>
      <c r="S217" s="176"/>
      <c r="T217" s="145"/>
      <c r="U217" s="145"/>
    </row>
    <row r="218" spans="1:21">
      <c r="A218" s="167">
        <v>865</v>
      </c>
      <c r="B218" s="55" t="s">
        <v>98</v>
      </c>
      <c r="C218" s="196">
        <v>12</v>
      </c>
      <c r="D218" s="196">
        <v>4</v>
      </c>
      <c r="E218" s="196" t="s">
        <v>584</v>
      </c>
      <c r="F218" s="196">
        <v>102.94</v>
      </c>
      <c r="G218" s="196"/>
      <c r="H218" s="526">
        <v>55.964912414550781</v>
      </c>
      <c r="I218" s="243">
        <v>-1.69</v>
      </c>
      <c r="J218" s="449">
        <v>-0.89</v>
      </c>
      <c r="K218" s="789">
        <f t="shared" si="4"/>
        <v>19.869600000000002</v>
      </c>
      <c r="L218" s="395" t="s">
        <v>79</v>
      </c>
      <c r="M218" s="317" t="s">
        <v>85</v>
      </c>
      <c r="N218" s="317" t="s">
        <v>95</v>
      </c>
      <c r="O218" s="307" t="s">
        <v>35</v>
      </c>
      <c r="P218" s="314" t="s">
        <v>91</v>
      </c>
      <c r="Q218" s="501" t="s">
        <v>435</v>
      </c>
      <c r="R218" s="315" t="s">
        <v>94</v>
      </c>
      <c r="S218" s="176"/>
      <c r="T218" s="145"/>
      <c r="U218" s="145"/>
    </row>
    <row r="219" spans="1:21">
      <c r="A219" s="167">
        <v>865</v>
      </c>
      <c r="B219" s="55" t="s">
        <v>98</v>
      </c>
      <c r="C219" s="196">
        <v>12</v>
      </c>
      <c r="D219" s="196">
        <v>4</v>
      </c>
      <c r="E219" s="196" t="s">
        <v>584</v>
      </c>
      <c r="F219" s="196">
        <v>102.94</v>
      </c>
      <c r="G219" s="196"/>
      <c r="H219" s="526">
        <v>55.964912414550781</v>
      </c>
      <c r="I219" s="243">
        <v>-1.89</v>
      </c>
      <c r="J219" s="449">
        <v>-0.89</v>
      </c>
      <c r="K219" s="789">
        <f t="shared" si="4"/>
        <v>20.830000000000002</v>
      </c>
      <c r="L219" s="395" t="s">
        <v>79</v>
      </c>
      <c r="M219" s="317" t="s">
        <v>85</v>
      </c>
      <c r="N219" s="317" t="s">
        <v>95</v>
      </c>
      <c r="O219" s="307" t="s">
        <v>35</v>
      </c>
      <c r="P219" s="314" t="s">
        <v>91</v>
      </c>
      <c r="Q219" s="501" t="s">
        <v>435</v>
      </c>
      <c r="R219" s="315" t="s">
        <v>94</v>
      </c>
      <c r="S219" s="176"/>
      <c r="T219" s="145"/>
      <c r="U219" s="145"/>
    </row>
    <row r="220" spans="1:21">
      <c r="A220" s="167">
        <v>865</v>
      </c>
      <c r="B220" s="55" t="s">
        <v>98</v>
      </c>
      <c r="C220" s="196">
        <v>12</v>
      </c>
      <c r="D220" s="196">
        <v>4</v>
      </c>
      <c r="E220" s="196" t="s">
        <v>584</v>
      </c>
      <c r="F220" s="196">
        <v>102.94</v>
      </c>
      <c r="G220" s="196"/>
      <c r="H220" s="526">
        <v>55.964912414550781</v>
      </c>
      <c r="I220" s="243">
        <v>-2.04</v>
      </c>
      <c r="J220" s="449">
        <v>-0.89</v>
      </c>
      <c r="K220" s="789">
        <f t="shared" si="4"/>
        <v>21.555025000000001</v>
      </c>
      <c r="L220" s="395" t="s">
        <v>79</v>
      </c>
      <c r="M220" s="317" t="s">
        <v>85</v>
      </c>
      <c r="N220" s="317" t="s">
        <v>95</v>
      </c>
      <c r="O220" s="307" t="s">
        <v>35</v>
      </c>
      <c r="P220" s="314" t="s">
        <v>91</v>
      </c>
      <c r="Q220" s="501" t="s">
        <v>435</v>
      </c>
      <c r="R220" s="315" t="s">
        <v>94</v>
      </c>
      <c r="S220" s="176"/>
      <c r="T220" s="145"/>
      <c r="U220" s="145"/>
    </row>
    <row r="221" spans="1:21">
      <c r="A221" s="167">
        <v>865</v>
      </c>
      <c r="B221" s="55" t="s">
        <v>98</v>
      </c>
      <c r="C221" s="196">
        <v>12</v>
      </c>
      <c r="D221" s="196">
        <v>4</v>
      </c>
      <c r="E221" s="196" t="s">
        <v>584</v>
      </c>
      <c r="F221" s="196">
        <v>102.94</v>
      </c>
      <c r="G221" s="196"/>
      <c r="H221" s="526">
        <v>55.964912414550781</v>
      </c>
      <c r="I221" s="243">
        <v>-1.77</v>
      </c>
      <c r="J221" s="449">
        <v>-0.89</v>
      </c>
      <c r="K221" s="789">
        <f t="shared" si="4"/>
        <v>20.252896</v>
      </c>
      <c r="L221" s="395" t="s">
        <v>79</v>
      </c>
      <c r="M221" s="317" t="s">
        <v>85</v>
      </c>
      <c r="N221" s="317" t="s">
        <v>95</v>
      </c>
      <c r="O221" s="307" t="s">
        <v>35</v>
      </c>
      <c r="P221" s="314" t="s">
        <v>91</v>
      </c>
      <c r="Q221" s="501" t="s">
        <v>435</v>
      </c>
      <c r="R221" s="315" t="s">
        <v>94</v>
      </c>
      <c r="S221" s="176"/>
      <c r="T221" s="145"/>
      <c r="U221" s="145"/>
    </row>
    <row r="222" spans="1:21">
      <c r="A222" s="167">
        <v>865</v>
      </c>
      <c r="B222" s="55" t="s">
        <v>98</v>
      </c>
      <c r="C222" s="196">
        <v>12</v>
      </c>
      <c r="D222" s="196">
        <v>4</v>
      </c>
      <c r="E222" s="196" t="s">
        <v>102</v>
      </c>
      <c r="F222" s="196">
        <v>102.96</v>
      </c>
      <c r="G222" s="196"/>
      <c r="H222" s="526">
        <v>55.967369079589844</v>
      </c>
      <c r="I222" s="243">
        <v>-1.91</v>
      </c>
      <c r="J222" s="449">
        <v>-0.89</v>
      </c>
      <c r="K222" s="789">
        <f t="shared" si="4"/>
        <v>20.926436000000002</v>
      </c>
      <c r="L222" s="395" t="s">
        <v>79</v>
      </c>
      <c r="M222" s="317" t="s">
        <v>85</v>
      </c>
      <c r="N222" s="317" t="s">
        <v>95</v>
      </c>
      <c r="O222" s="307" t="s">
        <v>35</v>
      </c>
      <c r="P222" s="314" t="s">
        <v>91</v>
      </c>
      <c r="Q222" s="501" t="s">
        <v>435</v>
      </c>
      <c r="R222" s="315" t="s">
        <v>94</v>
      </c>
      <c r="S222" s="176"/>
      <c r="T222" s="145"/>
      <c r="U222" s="145"/>
    </row>
    <row r="223" spans="1:21">
      <c r="A223" s="167">
        <v>865</v>
      </c>
      <c r="B223" s="55" t="s">
        <v>98</v>
      </c>
      <c r="C223" s="196">
        <v>12</v>
      </c>
      <c r="D223" s="196">
        <v>4</v>
      </c>
      <c r="E223" s="196" t="s">
        <v>102</v>
      </c>
      <c r="F223" s="196">
        <v>102.96</v>
      </c>
      <c r="G223" s="196"/>
      <c r="H223" s="526">
        <v>55.967369079589844</v>
      </c>
      <c r="I223" s="243">
        <v>-1.89</v>
      </c>
      <c r="J223" s="449">
        <v>-0.89</v>
      </c>
      <c r="K223" s="789">
        <f t="shared" si="4"/>
        <v>20.830000000000002</v>
      </c>
      <c r="L223" s="395" t="s">
        <v>79</v>
      </c>
      <c r="M223" s="317" t="s">
        <v>85</v>
      </c>
      <c r="N223" s="317" t="s">
        <v>95</v>
      </c>
      <c r="O223" s="307" t="s">
        <v>35</v>
      </c>
      <c r="P223" s="314" t="s">
        <v>91</v>
      </c>
      <c r="Q223" s="501" t="s">
        <v>435</v>
      </c>
      <c r="R223" s="315" t="s">
        <v>94</v>
      </c>
      <c r="S223" s="176"/>
      <c r="T223" s="145"/>
      <c r="U223" s="145"/>
    </row>
    <row r="224" spans="1:21">
      <c r="A224" s="167">
        <v>865</v>
      </c>
      <c r="B224" s="55" t="s">
        <v>98</v>
      </c>
      <c r="C224" s="196">
        <v>12</v>
      </c>
      <c r="D224" s="196">
        <v>4</v>
      </c>
      <c r="E224" s="196" t="s">
        <v>102</v>
      </c>
      <c r="F224" s="196">
        <v>102.96</v>
      </c>
      <c r="G224" s="196"/>
      <c r="H224" s="526">
        <v>55.967369079589844</v>
      </c>
      <c r="I224" s="243">
        <v>-2.1800000000000002</v>
      </c>
      <c r="J224" s="449">
        <v>-0.89</v>
      </c>
      <c r="K224" s="789">
        <f t="shared" si="4"/>
        <v>22.235368999999999</v>
      </c>
      <c r="L224" s="395" t="s">
        <v>79</v>
      </c>
      <c r="M224" s="317" t="s">
        <v>85</v>
      </c>
      <c r="N224" s="317" t="s">
        <v>95</v>
      </c>
      <c r="O224" s="307" t="s">
        <v>35</v>
      </c>
      <c r="P224" s="314" t="s">
        <v>91</v>
      </c>
      <c r="Q224" s="501" t="s">
        <v>435</v>
      </c>
      <c r="R224" s="315" t="s">
        <v>94</v>
      </c>
      <c r="S224" s="176"/>
      <c r="T224" s="145"/>
      <c r="U224" s="145"/>
    </row>
    <row r="225" spans="1:21">
      <c r="A225" s="167">
        <v>865</v>
      </c>
      <c r="B225" s="55" t="s">
        <v>98</v>
      </c>
      <c r="C225" s="196">
        <v>12</v>
      </c>
      <c r="D225" s="196">
        <v>4</v>
      </c>
      <c r="E225" s="196" t="s">
        <v>102</v>
      </c>
      <c r="F225" s="196">
        <v>102.96</v>
      </c>
      <c r="G225" s="196"/>
      <c r="H225" s="526">
        <v>55.967369079589844</v>
      </c>
      <c r="I225" s="243">
        <v>-1.82</v>
      </c>
      <c r="J225" s="449">
        <v>-0.89</v>
      </c>
      <c r="K225" s="789">
        <f t="shared" si="4"/>
        <v>20.493041000000002</v>
      </c>
      <c r="L225" s="395" t="s">
        <v>79</v>
      </c>
      <c r="M225" s="317" t="s">
        <v>85</v>
      </c>
      <c r="N225" s="317" t="s">
        <v>95</v>
      </c>
      <c r="O225" s="307" t="s">
        <v>35</v>
      </c>
      <c r="P225" s="314" t="s">
        <v>91</v>
      </c>
      <c r="Q225" s="501" t="s">
        <v>435</v>
      </c>
      <c r="R225" s="315" t="s">
        <v>94</v>
      </c>
      <c r="S225" s="176"/>
      <c r="T225" s="145"/>
      <c r="U225" s="145"/>
    </row>
    <row r="226" spans="1:21">
      <c r="A226" s="167">
        <v>865</v>
      </c>
      <c r="B226" s="55" t="s">
        <v>98</v>
      </c>
      <c r="C226" s="196">
        <v>12</v>
      </c>
      <c r="D226" s="196">
        <v>4</v>
      </c>
      <c r="E226" s="196" t="s">
        <v>102</v>
      </c>
      <c r="F226" s="196">
        <v>102.96</v>
      </c>
      <c r="G226" s="196"/>
      <c r="H226" s="526">
        <v>55.967369079589844</v>
      </c>
      <c r="I226" s="243">
        <v>-1.66</v>
      </c>
      <c r="J226" s="449">
        <v>-0.89</v>
      </c>
      <c r="K226" s="789">
        <f t="shared" si="4"/>
        <v>19.726161000000001</v>
      </c>
      <c r="L226" s="395" t="s">
        <v>79</v>
      </c>
      <c r="M226" s="317" t="s">
        <v>85</v>
      </c>
      <c r="N226" s="317" t="s">
        <v>95</v>
      </c>
      <c r="O226" s="307" t="s">
        <v>35</v>
      </c>
      <c r="P226" s="314" t="s">
        <v>91</v>
      </c>
      <c r="Q226" s="501" t="s">
        <v>435</v>
      </c>
      <c r="R226" s="315" t="s">
        <v>94</v>
      </c>
      <c r="S226" s="176"/>
      <c r="T226" s="145"/>
      <c r="U226" s="145"/>
    </row>
    <row r="227" spans="1:21">
      <c r="A227" s="167">
        <v>865</v>
      </c>
      <c r="B227" s="55" t="s">
        <v>98</v>
      </c>
      <c r="C227" s="196">
        <v>12</v>
      </c>
      <c r="D227" s="196">
        <v>4</v>
      </c>
      <c r="E227" s="196" t="s">
        <v>102</v>
      </c>
      <c r="F227" s="196">
        <v>102.96</v>
      </c>
      <c r="G227" s="196"/>
      <c r="H227" s="526">
        <v>55.967369079589844</v>
      </c>
      <c r="I227" s="243">
        <v>-1.8</v>
      </c>
      <c r="J227" s="449">
        <v>-0.89</v>
      </c>
      <c r="K227" s="789">
        <f t="shared" si="4"/>
        <v>20.396929</v>
      </c>
      <c r="L227" s="395" t="s">
        <v>79</v>
      </c>
      <c r="M227" s="317" t="s">
        <v>85</v>
      </c>
      <c r="N227" s="317" t="s">
        <v>95</v>
      </c>
      <c r="O227" s="307" t="s">
        <v>35</v>
      </c>
      <c r="P227" s="314" t="s">
        <v>91</v>
      </c>
      <c r="Q227" s="501" t="s">
        <v>435</v>
      </c>
      <c r="R227" s="315" t="s">
        <v>94</v>
      </c>
      <c r="S227" s="176"/>
      <c r="T227" s="145"/>
      <c r="U227" s="145"/>
    </row>
    <row r="228" spans="1:21">
      <c r="A228" s="167">
        <v>865</v>
      </c>
      <c r="B228" s="55" t="s">
        <v>98</v>
      </c>
      <c r="C228" s="196">
        <v>12</v>
      </c>
      <c r="D228" s="196">
        <v>4</v>
      </c>
      <c r="E228" s="196" t="s">
        <v>102</v>
      </c>
      <c r="F228" s="196">
        <v>102.96</v>
      </c>
      <c r="G228" s="196"/>
      <c r="H228" s="526">
        <v>55.967369079589844</v>
      </c>
      <c r="I228" s="243">
        <v>-1.84</v>
      </c>
      <c r="J228" s="449">
        <v>-0.89</v>
      </c>
      <c r="K228" s="789">
        <f t="shared" si="4"/>
        <v>20.589225000000003</v>
      </c>
      <c r="L228" s="395" t="s">
        <v>79</v>
      </c>
      <c r="M228" s="317" t="s">
        <v>85</v>
      </c>
      <c r="N228" s="317" t="s">
        <v>95</v>
      </c>
      <c r="O228" s="307" t="s">
        <v>35</v>
      </c>
      <c r="P228" s="314" t="s">
        <v>91</v>
      </c>
      <c r="Q228" s="501" t="s">
        <v>435</v>
      </c>
      <c r="R228" s="315" t="s">
        <v>94</v>
      </c>
      <c r="S228" s="176"/>
      <c r="T228" s="145"/>
      <c r="U228" s="145"/>
    </row>
    <row r="229" spans="1:21">
      <c r="A229" s="167">
        <v>865</v>
      </c>
      <c r="B229" s="55" t="s">
        <v>98</v>
      </c>
      <c r="C229" s="196">
        <v>12</v>
      </c>
      <c r="D229" s="196">
        <v>4</v>
      </c>
      <c r="E229" s="196" t="s">
        <v>102</v>
      </c>
      <c r="F229" s="196">
        <v>102.96</v>
      </c>
      <c r="G229" s="196"/>
      <c r="H229" s="526">
        <v>55.967369079589844</v>
      </c>
      <c r="I229" s="243">
        <v>-1.86</v>
      </c>
      <c r="J229" s="449">
        <v>-0.89</v>
      </c>
      <c r="K229" s="789">
        <f t="shared" si="4"/>
        <v>20.685480999999999</v>
      </c>
      <c r="L229" s="395" t="s">
        <v>79</v>
      </c>
      <c r="M229" s="317" t="s">
        <v>85</v>
      </c>
      <c r="N229" s="317" t="s">
        <v>95</v>
      </c>
      <c r="O229" s="307" t="s">
        <v>35</v>
      </c>
      <c r="P229" s="314" t="s">
        <v>91</v>
      </c>
      <c r="Q229" s="501" t="s">
        <v>435</v>
      </c>
      <c r="R229" s="315" t="s">
        <v>94</v>
      </c>
      <c r="S229" s="176"/>
      <c r="T229" s="145"/>
      <c r="U229" s="145"/>
    </row>
    <row r="230" spans="1:21">
      <c r="A230" s="167">
        <v>865</v>
      </c>
      <c r="B230" s="55" t="s">
        <v>98</v>
      </c>
      <c r="C230" s="196">
        <v>12</v>
      </c>
      <c r="D230" s="196">
        <v>4</v>
      </c>
      <c r="E230" s="196" t="s">
        <v>102</v>
      </c>
      <c r="F230" s="196">
        <v>102.96</v>
      </c>
      <c r="G230" s="196"/>
      <c r="H230" s="526">
        <v>55.967369079589844</v>
      </c>
      <c r="I230" s="243">
        <v>-1.87</v>
      </c>
      <c r="J230" s="449">
        <v>-0.89</v>
      </c>
      <c r="K230" s="789">
        <f t="shared" si="4"/>
        <v>20.733636000000001</v>
      </c>
      <c r="L230" s="395" t="s">
        <v>79</v>
      </c>
      <c r="M230" s="317" t="s">
        <v>85</v>
      </c>
      <c r="N230" s="317" t="s">
        <v>95</v>
      </c>
      <c r="O230" s="307" t="s">
        <v>35</v>
      </c>
      <c r="P230" s="314" t="s">
        <v>91</v>
      </c>
      <c r="Q230" s="501" t="s">
        <v>435</v>
      </c>
      <c r="R230" s="315" t="s">
        <v>94</v>
      </c>
      <c r="S230" s="176"/>
      <c r="T230" s="145"/>
      <c r="U230" s="145"/>
    </row>
    <row r="231" spans="1:21">
      <c r="A231" s="167">
        <v>865</v>
      </c>
      <c r="B231" s="55" t="s">
        <v>98</v>
      </c>
      <c r="C231" s="196">
        <v>12</v>
      </c>
      <c r="D231" s="196">
        <v>4</v>
      </c>
      <c r="E231" s="196" t="s">
        <v>102</v>
      </c>
      <c r="F231" s="196">
        <v>102.96</v>
      </c>
      <c r="G231" s="196"/>
      <c r="H231" s="526">
        <v>55.967369079589844</v>
      </c>
      <c r="I231" s="243">
        <v>-1.97</v>
      </c>
      <c r="J231" s="449">
        <v>-0.89</v>
      </c>
      <c r="K231" s="789">
        <f t="shared" si="4"/>
        <v>21.216176000000001</v>
      </c>
      <c r="L231" s="395" t="s">
        <v>79</v>
      </c>
      <c r="M231" s="317" t="s">
        <v>85</v>
      </c>
      <c r="N231" s="317" t="s">
        <v>95</v>
      </c>
      <c r="O231" s="307" t="s">
        <v>35</v>
      </c>
      <c r="P231" s="314" t="s">
        <v>91</v>
      </c>
      <c r="Q231" s="501" t="s">
        <v>435</v>
      </c>
      <c r="R231" s="315" t="s">
        <v>94</v>
      </c>
      <c r="S231" s="176"/>
      <c r="T231" s="145"/>
      <c r="U231" s="145"/>
    </row>
    <row r="232" spans="1:21">
      <c r="A232" s="167">
        <v>865</v>
      </c>
      <c r="B232" s="55" t="s">
        <v>98</v>
      </c>
      <c r="C232" s="196">
        <v>12</v>
      </c>
      <c r="D232" s="196">
        <v>4</v>
      </c>
      <c r="E232" s="196" t="s">
        <v>102</v>
      </c>
      <c r="F232" s="196">
        <v>102.96</v>
      </c>
      <c r="G232" s="196"/>
      <c r="H232" s="526">
        <v>55.967369079589844</v>
      </c>
      <c r="I232" s="243">
        <v>-2.15</v>
      </c>
      <c r="J232" s="449">
        <v>-0.89</v>
      </c>
      <c r="K232" s="789">
        <f t="shared" si="4"/>
        <v>22.089283999999999</v>
      </c>
      <c r="L232" s="395" t="s">
        <v>79</v>
      </c>
      <c r="M232" s="317" t="s">
        <v>85</v>
      </c>
      <c r="N232" s="317" t="s">
        <v>95</v>
      </c>
      <c r="O232" s="307" t="s">
        <v>35</v>
      </c>
      <c r="P232" s="314" t="s">
        <v>91</v>
      </c>
      <c r="Q232" s="501" t="s">
        <v>435</v>
      </c>
      <c r="R232" s="315" t="s">
        <v>94</v>
      </c>
      <c r="S232" s="176"/>
      <c r="T232" s="145"/>
      <c r="U232" s="145"/>
    </row>
    <row r="233" spans="1:21">
      <c r="A233" s="167">
        <v>865</v>
      </c>
      <c r="B233" s="55" t="s">
        <v>98</v>
      </c>
      <c r="C233" s="196">
        <v>12</v>
      </c>
      <c r="D233" s="196">
        <v>4</v>
      </c>
      <c r="E233" s="196" t="s">
        <v>102</v>
      </c>
      <c r="F233" s="196">
        <v>102.96</v>
      </c>
      <c r="G233" s="196"/>
      <c r="H233" s="526">
        <v>55.967369079589844</v>
      </c>
      <c r="I233" s="243">
        <v>-2.11</v>
      </c>
      <c r="J233" s="449">
        <v>-0.89</v>
      </c>
      <c r="K233" s="789">
        <f t="shared" si="4"/>
        <v>21.894756000000001</v>
      </c>
      <c r="L233" s="395" t="s">
        <v>79</v>
      </c>
      <c r="M233" s="317" t="s">
        <v>85</v>
      </c>
      <c r="N233" s="317" t="s">
        <v>95</v>
      </c>
      <c r="O233" s="307" t="s">
        <v>35</v>
      </c>
      <c r="P233" s="314" t="s">
        <v>91</v>
      </c>
      <c r="Q233" s="501" t="s">
        <v>435</v>
      </c>
      <c r="R233" s="315" t="s">
        <v>94</v>
      </c>
      <c r="S233" s="176"/>
      <c r="T233" s="145"/>
      <c r="U233" s="145"/>
    </row>
    <row r="234" spans="1:21">
      <c r="A234" s="167">
        <v>865</v>
      </c>
      <c r="B234" s="55" t="s">
        <v>98</v>
      </c>
      <c r="C234" s="196">
        <v>12</v>
      </c>
      <c r="D234" s="196">
        <v>4</v>
      </c>
      <c r="E234" s="196" t="s">
        <v>102</v>
      </c>
      <c r="F234" s="196">
        <v>102.96</v>
      </c>
      <c r="G234" s="196"/>
      <c r="H234" s="526">
        <v>55.967369079589844</v>
      </c>
      <c r="I234" s="243">
        <v>-1.94</v>
      </c>
      <c r="J234" s="449">
        <v>-0.89</v>
      </c>
      <c r="K234" s="789">
        <f t="shared" si="4"/>
        <v>21.071225000000002</v>
      </c>
      <c r="L234" s="395" t="s">
        <v>79</v>
      </c>
      <c r="M234" s="317" t="s">
        <v>85</v>
      </c>
      <c r="N234" s="317" t="s">
        <v>95</v>
      </c>
      <c r="O234" s="307" t="s">
        <v>35</v>
      </c>
      <c r="P234" s="314" t="s">
        <v>91</v>
      </c>
      <c r="Q234" s="501" t="s">
        <v>435</v>
      </c>
      <c r="R234" s="315" t="s">
        <v>94</v>
      </c>
      <c r="S234" s="176"/>
      <c r="T234" s="145"/>
      <c r="U234" s="145"/>
    </row>
    <row r="235" spans="1:21">
      <c r="A235" s="167">
        <v>865</v>
      </c>
      <c r="B235" s="55" t="s">
        <v>98</v>
      </c>
      <c r="C235" s="196">
        <v>12</v>
      </c>
      <c r="D235" s="196">
        <v>4</v>
      </c>
      <c r="E235" s="196" t="s">
        <v>102</v>
      </c>
      <c r="F235" s="196">
        <v>102.96</v>
      </c>
      <c r="G235" s="196"/>
      <c r="H235" s="526">
        <v>55.967369079589844</v>
      </c>
      <c r="I235" s="243">
        <v>-2.0299999999999998</v>
      </c>
      <c r="J235" s="449">
        <v>-0.89</v>
      </c>
      <c r="K235" s="789">
        <f t="shared" si="4"/>
        <v>21.506564000000001</v>
      </c>
      <c r="L235" s="395" t="s">
        <v>79</v>
      </c>
      <c r="M235" s="317" t="s">
        <v>85</v>
      </c>
      <c r="N235" s="317" t="s">
        <v>95</v>
      </c>
      <c r="O235" s="307" t="s">
        <v>35</v>
      </c>
      <c r="P235" s="314" t="s">
        <v>91</v>
      </c>
      <c r="Q235" s="501" t="s">
        <v>435</v>
      </c>
      <c r="R235" s="315" t="s">
        <v>94</v>
      </c>
      <c r="S235" s="176"/>
      <c r="T235" s="145"/>
      <c r="U235" s="145"/>
    </row>
    <row r="236" spans="1:21">
      <c r="A236" s="167">
        <v>865</v>
      </c>
      <c r="B236" s="55" t="s">
        <v>98</v>
      </c>
      <c r="C236" s="196">
        <v>12</v>
      </c>
      <c r="D236" s="196">
        <v>4</v>
      </c>
      <c r="E236" s="196" t="s">
        <v>102</v>
      </c>
      <c r="F236" s="196">
        <v>102.96</v>
      </c>
      <c r="G236" s="196"/>
      <c r="H236" s="526">
        <v>55.967369079589844</v>
      </c>
      <c r="I236" s="243">
        <v>-1.99</v>
      </c>
      <c r="J236" s="449">
        <v>-0.89</v>
      </c>
      <c r="K236" s="789">
        <f t="shared" si="4"/>
        <v>21.312899999999999</v>
      </c>
      <c r="L236" s="395" t="s">
        <v>79</v>
      </c>
      <c r="M236" s="317" t="s">
        <v>85</v>
      </c>
      <c r="N236" s="317" t="s">
        <v>95</v>
      </c>
      <c r="O236" s="307" t="s">
        <v>35</v>
      </c>
      <c r="P236" s="314" t="s">
        <v>91</v>
      </c>
      <c r="Q236" s="501" t="s">
        <v>435</v>
      </c>
      <c r="R236" s="315" t="s">
        <v>94</v>
      </c>
      <c r="S236" s="176"/>
      <c r="T236" s="145"/>
      <c r="U236" s="145"/>
    </row>
    <row r="237" spans="1:21">
      <c r="A237" s="167">
        <v>865</v>
      </c>
      <c r="B237" s="55" t="s">
        <v>98</v>
      </c>
      <c r="C237" s="196">
        <v>12</v>
      </c>
      <c r="D237" s="196">
        <v>4</v>
      </c>
      <c r="E237" s="196" t="s">
        <v>102</v>
      </c>
      <c r="F237" s="196">
        <v>102.96</v>
      </c>
      <c r="G237" s="196"/>
      <c r="H237" s="526">
        <v>55.967369079589844</v>
      </c>
      <c r="I237" s="243">
        <v>-1.79</v>
      </c>
      <c r="J237" s="449">
        <v>-0.89</v>
      </c>
      <c r="K237" s="789">
        <f t="shared" si="4"/>
        <v>20.348900000000004</v>
      </c>
      <c r="L237" s="395" t="s">
        <v>79</v>
      </c>
      <c r="M237" s="317" t="s">
        <v>85</v>
      </c>
      <c r="N237" s="317" t="s">
        <v>95</v>
      </c>
      <c r="O237" s="307" t="s">
        <v>35</v>
      </c>
      <c r="P237" s="314" t="s">
        <v>91</v>
      </c>
      <c r="Q237" s="501" t="s">
        <v>435</v>
      </c>
      <c r="R237" s="315" t="s">
        <v>94</v>
      </c>
      <c r="S237" s="176"/>
      <c r="T237" s="145"/>
      <c r="U237" s="145"/>
    </row>
    <row r="238" spans="1:21">
      <c r="A238" s="167">
        <v>865</v>
      </c>
      <c r="B238" s="55" t="s">
        <v>98</v>
      </c>
      <c r="C238" s="196">
        <v>12</v>
      </c>
      <c r="D238" s="196">
        <v>4</v>
      </c>
      <c r="E238" s="196" t="s">
        <v>103</v>
      </c>
      <c r="F238" s="196">
        <v>102.98</v>
      </c>
      <c r="G238" s="196"/>
      <c r="H238" s="526">
        <v>55.969825744628906</v>
      </c>
      <c r="I238" s="243">
        <v>-1.67</v>
      </c>
      <c r="J238" s="449">
        <v>-0.89</v>
      </c>
      <c r="K238" s="789">
        <f t="shared" si="4"/>
        <v>19.773956000000002</v>
      </c>
      <c r="L238" s="395" t="s">
        <v>79</v>
      </c>
      <c r="M238" s="317" t="s">
        <v>85</v>
      </c>
      <c r="N238" s="317" t="s">
        <v>95</v>
      </c>
      <c r="O238" s="307" t="s">
        <v>35</v>
      </c>
      <c r="P238" s="314" t="s">
        <v>91</v>
      </c>
      <c r="Q238" s="501" t="s">
        <v>435</v>
      </c>
      <c r="R238" s="315" t="s">
        <v>94</v>
      </c>
      <c r="S238" s="176"/>
      <c r="T238" s="145"/>
      <c r="U238" s="145"/>
    </row>
    <row r="239" spans="1:21">
      <c r="A239" s="167">
        <v>865</v>
      </c>
      <c r="B239" s="55" t="s">
        <v>98</v>
      </c>
      <c r="C239" s="196">
        <v>12</v>
      </c>
      <c r="D239" s="196">
        <v>4</v>
      </c>
      <c r="E239" s="196" t="s">
        <v>103</v>
      </c>
      <c r="F239" s="196">
        <v>102.98</v>
      </c>
      <c r="G239" s="196"/>
      <c r="H239" s="526">
        <v>55.969825744628906</v>
      </c>
      <c r="I239" s="243">
        <v>-1.76</v>
      </c>
      <c r="J239" s="449">
        <v>-0.89</v>
      </c>
      <c r="K239" s="789">
        <f t="shared" si="4"/>
        <v>20.204921000000002</v>
      </c>
      <c r="L239" s="395" t="s">
        <v>79</v>
      </c>
      <c r="M239" s="317" t="s">
        <v>85</v>
      </c>
      <c r="N239" s="317" t="s">
        <v>95</v>
      </c>
      <c r="O239" s="307" t="s">
        <v>35</v>
      </c>
      <c r="P239" s="314" t="s">
        <v>91</v>
      </c>
      <c r="Q239" s="501" t="s">
        <v>435</v>
      </c>
      <c r="R239" s="315" t="s">
        <v>94</v>
      </c>
      <c r="S239" s="176"/>
      <c r="T239" s="145"/>
      <c r="U239" s="145"/>
    </row>
    <row r="240" spans="1:21">
      <c r="A240" s="167">
        <v>865</v>
      </c>
      <c r="B240" s="55" t="s">
        <v>98</v>
      </c>
      <c r="C240" s="196">
        <v>12</v>
      </c>
      <c r="D240" s="196">
        <v>4</v>
      </c>
      <c r="E240" s="196" t="s">
        <v>103</v>
      </c>
      <c r="F240" s="196">
        <v>102.98</v>
      </c>
      <c r="G240" s="196"/>
      <c r="H240" s="526">
        <v>55.969825744628906</v>
      </c>
      <c r="I240" s="243">
        <v>-2.02</v>
      </c>
      <c r="J240" s="449">
        <v>-0.89</v>
      </c>
      <c r="K240" s="789">
        <f t="shared" si="4"/>
        <v>21.458120999999998</v>
      </c>
      <c r="L240" s="395" t="s">
        <v>79</v>
      </c>
      <c r="M240" s="317" t="s">
        <v>85</v>
      </c>
      <c r="N240" s="317" t="s">
        <v>95</v>
      </c>
      <c r="O240" s="307" t="s">
        <v>35</v>
      </c>
      <c r="P240" s="314" t="s">
        <v>91</v>
      </c>
      <c r="Q240" s="501" t="s">
        <v>435</v>
      </c>
      <c r="R240" s="315" t="s">
        <v>94</v>
      </c>
      <c r="S240" s="176"/>
      <c r="T240" s="145"/>
      <c r="U240" s="145"/>
    </row>
    <row r="241" spans="1:21">
      <c r="A241" s="167">
        <v>865</v>
      </c>
      <c r="B241" s="55" t="s">
        <v>98</v>
      </c>
      <c r="C241" s="196">
        <v>12</v>
      </c>
      <c r="D241" s="196">
        <v>4</v>
      </c>
      <c r="E241" s="196" t="s">
        <v>103</v>
      </c>
      <c r="F241" s="196">
        <v>102.98</v>
      </c>
      <c r="G241" s="196"/>
      <c r="H241" s="526">
        <v>55.969825744628906</v>
      </c>
      <c r="I241" s="243">
        <v>-1.92</v>
      </c>
      <c r="J241" s="449">
        <v>-0.89</v>
      </c>
      <c r="K241" s="789">
        <f t="shared" si="4"/>
        <v>20.974681</v>
      </c>
      <c r="L241" s="395" t="s">
        <v>79</v>
      </c>
      <c r="M241" s="317" t="s">
        <v>85</v>
      </c>
      <c r="N241" s="317" t="s">
        <v>95</v>
      </c>
      <c r="O241" s="307" t="s">
        <v>35</v>
      </c>
      <c r="P241" s="314" t="s">
        <v>91</v>
      </c>
      <c r="Q241" s="501" t="s">
        <v>435</v>
      </c>
      <c r="R241" s="315" t="s">
        <v>94</v>
      </c>
      <c r="S241" s="176"/>
      <c r="T241" s="145"/>
      <c r="U241" s="145"/>
    </row>
    <row r="242" spans="1:21">
      <c r="A242" s="167">
        <v>865</v>
      </c>
      <c r="B242" s="55" t="s">
        <v>98</v>
      </c>
      <c r="C242" s="196">
        <v>12</v>
      </c>
      <c r="D242" s="196">
        <v>4</v>
      </c>
      <c r="E242" s="196" t="s">
        <v>103</v>
      </c>
      <c r="F242" s="196">
        <v>102.98</v>
      </c>
      <c r="G242" s="196"/>
      <c r="H242" s="526">
        <v>55.969825744628906</v>
      </c>
      <c r="I242" s="243">
        <v>-1.91</v>
      </c>
      <c r="J242" s="449">
        <v>-0.89</v>
      </c>
      <c r="K242" s="789">
        <f t="shared" si="4"/>
        <v>20.926436000000002</v>
      </c>
      <c r="L242" s="395" t="s">
        <v>79</v>
      </c>
      <c r="M242" s="317" t="s">
        <v>85</v>
      </c>
      <c r="N242" s="317" t="s">
        <v>95</v>
      </c>
      <c r="O242" s="307" t="s">
        <v>35</v>
      </c>
      <c r="P242" s="314" t="s">
        <v>91</v>
      </c>
      <c r="Q242" s="501" t="s">
        <v>435</v>
      </c>
      <c r="R242" s="315" t="s">
        <v>94</v>
      </c>
      <c r="S242" s="176"/>
      <c r="T242" s="145"/>
      <c r="U242" s="145"/>
    </row>
    <row r="243" spans="1:21">
      <c r="A243" s="167">
        <v>865</v>
      </c>
      <c r="B243" s="55" t="s">
        <v>98</v>
      </c>
      <c r="C243" s="196">
        <v>12</v>
      </c>
      <c r="D243" s="196">
        <v>4</v>
      </c>
      <c r="E243" s="196" t="s">
        <v>103</v>
      </c>
      <c r="F243" s="196">
        <v>102.98</v>
      </c>
      <c r="G243" s="196"/>
      <c r="H243" s="526">
        <v>55.969825744628906</v>
      </c>
      <c r="I243" s="243">
        <v>-1.85</v>
      </c>
      <c r="J243" s="449">
        <v>-0.89</v>
      </c>
      <c r="K243" s="789">
        <f t="shared" si="4"/>
        <v>20.637344000000002</v>
      </c>
      <c r="L243" s="395" t="s">
        <v>79</v>
      </c>
      <c r="M243" s="317" t="s">
        <v>85</v>
      </c>
      <c r="N243" s="317" t="s">
        <v>95</v>
      </c>
      <c r="O243" s="307" t="s">
        <v>35</v>
      </c>
      <c r="P243" s="314" t="s">
        <v>91</v>
      </c>
      <c r="Q243" s="501" t="s">
        <v>435</v>
      </c>
      <c r="R243" s="315" t="s">
        <v>94</v>
      </c>
      <c r="S243" s="176"/>
      <c r="T243" s="145"/>
      <c r="U243" s="145"/>
    </row>
    <row r="244" spans="1:21">
      <c r="A244" s="167">
        <v>865</v>
      </c>
      <c r="B244" s="55" t="s">
        <v>98</v>
      </c>
      <c r="C244" s="196">
        <v>12</v>
      </c>
      <c r="D244" s="196">
        <v>4</v>
      </c>
      <c r="E244" s="196" t="s">
        <v>103</v>
      </c>
      <c r="F244" s="196">
        <v>102.98</v>
      </c>
      <c r="G244" s="196"/>
      <c r="H244" s="526">
        <v>55.969825744628906</v>
      </c>
      <c r="I244" s="243">
        <v>-1.35</v>
      </c>
      <c r="J244" s="449">
        <v>-0.89</v>
      </c>
      <c r="K244" s="789">
        <f t="shared" si="4"/>
        <v>18.253444000000002</v>
      </c>
      <c r="L244" s="395" t="s">
        <v>79</v>
      </c>
      <c r="M244" s="317" t="s">
        <v>85</v>
      </c>
      <c r="N244" s="317" t="s">
        <v>95</v>
      </c>
      <c r="O244" s="307" t="s">
        <v>35</v>
      </c>
      <c r="P244" s="314" t="s">
        <v>91</v>
      </c>
      <c r="Q244" s="501" t="s">
        <v>435</v>
      </c>
      <c r="R244" s="315" t="s">
        <v>94</v>
      </c>
      <c r="S244" s="176"/>
      <c r="T244" s="145"/>
      <c r="U244" s="145"/>
    </row>
    <row r="245" spans="1:21">
      <c r="A245" s="167">
        <v>865</v>
      </c>
      <c r="B245" s="55" t="s">
        <v>98</v>
      </c>
      <c r="C245" s="196">
        <v>12</v>
      </c>
      <c r="D245" s="196">
        <v>4</v>
      </c>
      <c r="E245" s="196" t="s">
        <v>103</v>
      </c>
      <c r="F245" s="196">
        <v>102.98</v>
      </c>
      <c r="G245" s="196"/>
      <c r="H245" s="526">
        <v>55.969825744628906</v>
      </c>
      <c r="I245" s="243">
        <v>-1.9</v>
      </c>
      <c r="J245" s="449">
        <v>-0.89</v>
      </c>
      <c r="K245" s="789">
        <f t="shared" si="4"/>
        <v>20.878209000000002</v>
      </c>
      <c r="L245" s="395" t="s">
        <v>79</v>
      </c>
      <c r="M245" s="317" t="s">
        <v>85</v>
      </c>
      <c r="N245" s="317" t="s">
        <v>95</v>
      </c>
      <c r="O245" s="307" t="s">
        <v>35</v>
      </c>
      <c r="P245" s="314" t="s">
        <v>91</v>
      </c>
      <c r="Q245" s="501" t="s">
        <v>435</v>
      </c>
      <c r="R245" s="315" t="s">
        <v>94</v>
      </c>
      <c r="S245" s="176"/>
      <c r="T245" s="145"/>
      <c r="U245" s="145"/>
    </row>
    <row r="246" spans="1:21">
      <c r="A246" s="167">
        <v>865</v>
      </c>
      <c r="B246" s="55" t="s">
        <v>98</v>
      </c>
      <c r="C246" s="196">
        <v>12</v>
      </c>
      <c r="D246" s="196">
        <v>4</v>
      </c>
      <c r="E246" s="196" t="s">
        <v>103</v>
      </c>
      <c r="F246" s="196">
        <v>102.98</v>
      </c>
      <c r="G246" s="196"/>
      <c r="H246" s="526">
        <v>55.969825744628906</v>
      </c>
      <c r="I246" s="243">
        <v>-1.97</v>
      </c>
      <c r="J246" s="449">
        <v>-0.89</v>
      </c>
      <c r="K246" s="789">
        <f t="shared" si="4"/>
        <v>21.216176000000001</v>
      </c>
      <c r="L246" s="395" t="s">
        <v>79</v>
      </c>
      <c r="M246" s="317" t="s">
        <v>85</v>
      </c>
      <c r="N246" s="317" t="s">
        <v>95</v>
      </c>
      <c r="O246" s="307" t="s">
        <v>35</v>
      </c>
      <c r="P246" s="314" t="s">
        <v>91</v>
      </c>
      <c r="Q246" s="501" t="s">
        <v>435</v>
      </c>
      <c r="R246" s="315" t="s">
        <v>94</v>
      </c>
      <c r="S246" s="176"/>
      <c r="T246" s="145"/>
      <c r="U246" s="145"/>
    </row>
    <row r="247" spans="1:21">
      <c r="A247" s="167">
        <v>865</v>
      </c>
      <c r="B247" s="55" t="s">
        <v>98</v>
      </c>
      <c r="C247" s="196">
        <v>12</v>
      </c>
      <c r="D247" s="196">
        <v>4</v>
      </c>
      <c r="E247" s="196" t="s">
        <v>103</v>
      </c>
      <c r="F247" s="196">
        <v>102.98</v>
      </c>
      <c r="G247" s="196"/>
      <c r="H247" s="526">
        <v>55.969825744628906</v>
      </c>
      <c r="I247" s="243">
        <v>-2.08</v>
      </c>
      <c r="J247" s="449">
        <v>-0.89</v>
      </c>
      <c r="K247" s="789">
        <f t="shared" si="4"/>
        <v>21.749048999999999</v>
      </c>
      <c r="L247" s="395" t="s">
        <v>79</v>
      </c>
      <c r="M247" s="317" t="s">
        <v>85</v>
      </c>
      <c r="N247" s="317" t="s">
        <v>95</v>
      </c>
      <c r="O247" s="307" t="s">
        <v>35</v>
      </c>
      <c r="P247" s="314" t="s">
        <v>91</v>
      </c>
      <c r="Q247" s="501" t="s">
        <v>435</v>
      </c>
      <c r="R247" s="315" t="s">
        <v>94</v>
      </c>
      <c r="S247" s="176"/>
      <c r="T247" s="145"/>
      <c r="U247" s="145"/>
    </row>
    <row r="248" spans="1:21">
      <c r="A248" s="167">
        <v>865</v>
      </c>
      <c r="B248" s="55" t="s">
        <v>98</v>
      </c>
      <c r="C248" s="196">
        <v>12</v>
      </c>
      <c r="D248" s="196">
        <v>4</v>
      </c>
      <c r="E248" s="196" t="s">
        <v>103</v>
      </c>
      <c r="F248" s="196">
        <v>102.98</v>
      </c>
      <c r="G248" s="196"/>
      <c r="H248" s="526">
        <v>55.969825744628906</v>
      </c>
      <c r="I248" s="243">
        <v>-1.85</v>
      </c>
      <c r="J248" s="449">
        <v>-0.89</v>
      </c>
      <c r="K248" s="789">
        <f t="shared" si="4"/>
        <v>20.637344000000002</v>
      </c>
      <c r="L248" s="395" t="s">
        <v>79</v>
      </c>
      <c r="M248" s="317" t="s">
        <v>85</v>
      </c>
      <c r="N248" s="317" t="s">
        <v>95</v>
      </c>
      <c r="O248" s="307" t="s">
        <v>35</v>
      </c>
      <c r="P248" s="314" t="s">
        <v>91</v>
      </c>
      <c r="Q248" s="501" t="s">
        <v>435</v>
      </c>
      <c r="R248" s="315" t="s">
        <v>94</v>
      </c>
      <c r="S248" s="176"/>
      <c r="T248" s="145"/>
      <c r="U248" s="145"/>
    </row>
    <row r="249" spans="1:21">
      <c r="A249" s="167">
        <v>865</v>
      </c>
      <c r="B249" s="55" t="s">
        <v>98</v>
      </c>
      <c r="C249" s="196">
        <v>12</v>
      </c>
      <c r="D249" s="196">
        <v>4</v>
      </c>
      <c r="E249" s="196" t="s">
        <v>103</v>
      </c>
      <c r="F249" s="196">
        <v>102.98</v>
      </c>
      <c r="G249" s="196"/>
      <c r="H249" s="526">
        <v>55.969825744628906</v>
      </c>
      <c r="I249" s="243">
        <v>-2.08</v>
      </c>
      <c r="J249" s="449">
        <v>-0.89</v>
      </c>
      <c r="K249" s="789">
        <f t="shared" si="4"/>
        <v>21.749048999999999</v>
      </c>
      <c r="L249" s="395" t="s">
        <v>79</v>
      </c>
      <c r="M249" s="317" t="s">
        <v>85</v>
      </c>
      <c r="N249" s="317" t="s">
        <v>95</v>
      </c>
      <c r="O249" s="307" t="s">
        <v>35</v>
      </c>
      <c r="P249" s="314" t="s">
        <v>91</v>
      </c>
      <c r="Q249" s="501" t="s">
        <v>435</v>
      </c>
      <c r="R249" s="315" t="s">
        <v>94</v>
      </c>
      <c r="S249" s="176"/>
      <c r="T249" s="145"/>
      <c r="U249" s="145"/>
    </row>
    <row r="250" spans="1:21">
      <c r="A250" s="167">
        <v>865</v>
      </c>
      <c r="B250" s="55" t="s">
        <v>98</v>
      </c>
      <c r="C250" s="196">
        <v>12</v>
      </c>
      <c r="D250" s="196">
        <v>4</v>
      </c>
      <c r="E250" s="196" t="s">
        <v>103</v>
      </c>
      <c r="F250" s="196">
        <v>102.98</v>
      </c>
      <c r="G250" s="196"/>
      <c r="H250" s="526">
        <v>55.969825744628906</v>
      </c>
      <c r="I250" s="243">
        <v>-1.98</v>
      </c>
      <c r="J250" s="449">
        <v>-0.89</v>
      </c>
      <c r="K250" s="789">
        <f t="shared" si="4"/>
        <v>21.264529000000003</v>
      </c>
      <c r="L250" s="395" t="s">
        <v>79</v>
      </c>
      <c r="M250" s="317" t="s">
        <v>85</v>
      </c>
      <c r="N250" s="317" t="s">
        <v>95</v>
      </c>
      <c r="O250" s="307" t="s">
        <v>35</v>
      </c>
      <c r="P250" s="314" t="s">
        <v>91</v>
      </c>
      <c r="Q250" s="501" t="s">
        <v>435</v>
      </c>
      <c r="R250" s="315" t="s">
        <v>94</v>
      </c>
      <c r="S250" s="176"/>
      <c r="T250" s="145"/>
      <c r="U250" s="145"/>
    </row>
    <row r="251" spans="1:21">
      <c r="A251" s="167">
        <v>865</v>
      </c>
      <c r="B251" s="55" t="s">
        <v>98</v>
      </c>
      <c r="C251" s="196">
        <v>12</v>
      </c>
      <c r="D251" s="196">
        <v>4</v>
      </c>
      <c r="E251" s="196" t="s">
        <v>103</v>
      </c>
      <c r="F251" s="196">
        <v>102.98</v>
      </c>
      <c r="G251" s="196"/>
      <c r="H251" s="526">
        <v>55.969825744628906</v>
      </c>
      <c r="I251" s="243">
        <v>-1.79</v>
      </c>
      <c r="J251" s="449">
        <v>-0.89</v>
      </c>
      <c r="K251" s="789">
        <f t="shared" si="4"/>
        <v>20.348900000000004</v>
      </c>
      <c r="L251" s="395" t="s">
        <v>79</v>
      </c>
      <c r="M251" s="317" t="s">
        <v>85</v>
      </c>
      <c r="N251" s="317" t="s">
        <v>95</v>
      </c>
      <c r="O251" s="307" t="s">
        <v>35</v>
      </c>
      <c r="P251" s="314" t="s">
        <v>91</v>
      </c>
      <c r="Q251" s="501" t="s">
        <v>435</v>
      </c>
      <c r="R251" s="315" t="s">
        <v>94</v>
      </c>
      <c r="S251" s="176"/>
      <c r="T251" s="145"/>
      <c r="U251" s="145"/>
    </row>
    <row r="252" spans="1:21">
      <c r="A252" s="167">
        <v>865</v>
      </c>
      <c r="B252" s="55" t="s">
        <v>98</v>
      </c>
      <c r="C252" s="196">
        <v>12</v>
      </c>
      <c r="D252" s="196">
        <v>4</v>
      </c>
      <c r="E252" s="196" t="s">
        <v>103</v>
      </c>
      <c r="F252" s="196">
        <v>102.98</v>
      </c>
      <c r="G252" s="196"/>
      <c r="H252" s="526">
        <v>55.969825744628906</v>
      </c>
      <c r="I252" s="243">
        <v>-1.92</v>
      </c>
      <c r="J252" s="449">
        <v>-0.89</v>
      </c>
      <c r="K252" s="789">
        <f t="shared" si="4"/>
        <v>20.974681</v>
      </c>
      <c r="L252" s="395" t="s">
        <v>79</v>
      </c>
      <c r="M252" s="317" t="s">
        <v>85</v>
      </c>
      <c r="N252" s="317" t="s">
        <v>95</v>
      </c>
      <c r="O252" s="307" t="s">
        <v>35</v>
      </c>
      <c r="P252" s="314" t="s">
        <v>91</v>
      </c>
      <c r="Q252" s="501" t="s">
        <v>435</v>
      </c>
      <c r="R252" s="315" t="s">
        <v>94</v>
      </c>
      <c r="S252" s="176"/>
      <c r="T252" s="145"/>
      <c r="U252" s="145"/>
    </row>
    <row r="253" spans="1:21">
      <c r="A253" s="167">
        <v>865</v>
      </c>
      <c r="B253" s="55" t="s">
        <v>98</v>
      </c>
      <c r="C253" s="196">
        <v>12</v>
      </c>
      <c r="D253" s="196">
        <v>4</v>
      </c>
      <c r="E253" s="196" t="s">
        <v>103</v>
      </c>
      <c r="F253" s="196">
        <v>102.98</v>
      </c>
      <c r="G253" s="196"/>
      <c r="H253" s="526">
        <v>55.969825744628906</v>
      </c>
      <c r="I253" s="243">
        <v>-1.93</v>
      </c>
      <c r="J253" s="449">
        <v>-0.89</v>
      </c>
      <c r="K253" s="789">
        <f t="shared" si="4"/>
        <v>21.022944000000003</v>
      </c>
      <c r="L253" s="395" t="s">
        <v>79</v>
      </c>
      <c r="M253" s="317" t="s">
        <v>85</v>
      </c>
      <c r="N253" s="317" t="s">
        <v>95</v>
      </c>
      <c r="O253" s="307" t="s">
        <v>35</v>
      </c>
      <c r="P253" s="314" t="s">
        <v>91</v>
      </c>
      <c r="Q253" s="501" t="s">
        <v>435</v>
      </c>
      <c r="R253" s="315" t="s">
        <v>94</v>
      </c>
      <c r="S253" s="176"/>
      <c r="T253" s="145"/>
      <c r="U253" s="145"/>
    </row>
    <row r="254" spans="1:21">
      <c r="A254" s="167">
        <v>865</v>
      </c>
      <c r="B254" s="55" t="s">
        <v>98</v>
      </c>
      <c r="C254" s="196">
        <v>12</v>
      </c>
      <c r="D254" s="196">
        <v>4</v>
      </c>
      <c r="E254" s="196" t="s">
        <v>102</v>
      </c>
      <c r="F254" s="196">
        <v>102.96</v>
      </c>
      <c r="G254" s="196"/>
      <c r="H254" s="526">
        <v>55.967369079589844</v>
      </c>
      <c r="I254" s="243">
        <v>-1.44</v>
      </c>
      <c r="J254" s="449">
        <v>-0.89</v>
      </c>
      <c r="K254" s="789">
        <f t="shared" si="4"/>
        <v>18.679225000000002</v>
      </c>
      <c r="L254" s="395" t="s">
        <v>100</v>
      </c>
      <c r="M254" s="317" t="s">
        <v>85</v>
      </c>
      <c r="N254" s="317" t="s">
        <v>95</v>
      </c>
      <c r="O254" s="307" t="s">
        <v>35</v>
      </c>
      <c r="P254" s="314" t="s">
        <v>91</v>
      </c>
      <c r="Q254" s="501" t="s">
        <v>435</v>
      </c>
      <c r="R254" s="315" t="s">
        <v>94</v>
      </c>
      <c r="S254" s="176"/>
      <c r="T254" s="145"/>
      <c r="U254" s="145"/>
    </row>
    <row r="255" spans="1:21">
      <c r="A255" s="167">
        <v>865</v>
      </c>
      <c r="B255" s="55" t="s">
        <v>98</v>
      </c>
      <c r="C255" s="196">
        <v>12</v>
      </c>
      <c r="D255" s="196">
        <v>4</v>
      </c>
      <c r="E255" s="196" t="s">
        <v>102</v>
      </c>
      <c r="F255" s="196">
        <v>102.96</v>
      </c>
      <c r="G255" s="196"/>
      <c r="H255" s="526">
        <v>55.967369079589844</v>
      </c>
      <c r="I255" s="243">
        <v>-1.97</v>
      </c>
      <c r="J255" s="449">
        <v>-0.89</v>
      </c>
      <c r="K255" s="789">
        <f t="shared" si="4"/>
        <v>21.216176000000001</v>
      </c>
      <c r="L255" s="395" t="s">
        <v>100</v>
      </c>
      <c r="M255" s="317" t="s">
        <v>85</v>
      </c>
      <c r="N255" s="317" t="s">
        <v>95</v>
      </c>
      <c r="O255" s="307" t="s">
        <v>35</v>
      </c>
      <c r="P255" s="314" t="s">
        <v>91</v>
      </c>
      <c r="Q255" s="501" t="s">
        <v>435</v>
      </c>
      <c r="R255" s="315" t="s">
        <v>94</v>
      </c>
      <c r="S255" s="176"/>
      <c r="T255" s="145"/>
      <c r="U255" s="145"/>
    </row>
    <row r="256" spans="1:21">
      <c r="A256" s="167">
        <v>865</v>
      </c>
      <c r="B256" s="55" t="s">
        <v>98</v>
      </c>
      <c r="C256" s="196">
        <v>12</v>
      </c>
      <c r="D256" s="196">
        <v>4</v>
      </c>
      <c r="E256" s="196" t="s">
        <v>103</v>
      </c>
      <c r="F256" s="196">
        <v>102.98</v>
      </c>
      <c r="G256" s="196"/>
      <c r="H256" s="526">
        <v>55.969825744628906</v>
      </c>
      <c r="I256" s="243">
        <v>-1.77</v>
      </c>
      <c r="J256" s="449">
        <v>-0.89</v>
      </c>
      <c r="K256" s="789">
        <f t="shared" si="4"/>
        <v>20.252896</v>
      </c>
      <c r="L256" s="395" t="s">
        <v>100</v>
      </c>
      <c r="M256" s="317" t="s">
        <v>85</v>
      </c>
      <c r="N256" s="317" t="s">
        <v>95</v>
      </c>
      <c r="O256" s="307" t="s">
        <v>35</v>
      </c>
      <c r="P256" s="314" t="s">
        <v>91</v>
      </c>
      <c r="Q256" s="501" t="s">
        <v>435</v>
      </c>
      <c r="R256" s="315" t="s">
        <v>94</v>
      </c>
      <c r="S256" s="176"/>
      <c r="T256" s="145"/>
      <c r="U256" s="145"/>
    </row>
    <row r="257" spans="1:21">
      <c r="A257" s="167">
        <v>865</v>
      </c>
      <c r="B257" s="55" t="s">
        <v>98</v>
      </c>
      <c r="C257" s="55">
        <v>12</v>
      </c>
      <c r="D257" s="55">
        <v>4</v>
      </c>
      <c r="E257" s="558" t="s">
        <v>358</v>
      </c>
      <c r="F257" s="54">
        <v>102.86</v>
      </c>
      <c r="G257" s="400" t="s">
        <v>587</v>
      </c>
      <c r="H257" s="502">
        <v>55.953598022460938</v>
      </c>
      <c r="I257" s="167">
        <v>-1.27</v>
      </c>
      <c r="J257" s="449">
        <v>-0.89</v>
      </c>
      <c r="K257" s="66">
        <f t="shared" si="4"/>
        <v>17.876196000000004</v>
      </c>
      <c r="L257" s="395" t="s">
        <v>99</v>
      </c>
      <c r="M257" s="317" t="s">
        <v>85</v>
      </c>
      <c r="N257" s="317" t="s">
        <v>95</v>
      </c>
      <c r="O257" s="307" t="s">
        <v>35</v>
      </c>
      <c r="P257" s="314" t="s">
        <v>91</v>
      </c>
      <c r="Q257" s="501" t="s">
        <v>435</v>
      </c>
      <c r="R257" s="315" t="s">
        <v>94</v>
      </c>
      <c r="S257" s="176"/>
      <c r="T257" s="145"/>
      <c r="U257" s="145"/>
    </row>
    <row r="258" spans="1:21">
      <c r="A258" s="167">
        <v>865</v>
      </c>
      <c r="B258" s="55" t="s">
        <v>98</v>
      </c>
      <c r="C258" s="55">
        <v>12</v>
      </c>
      <c r="D258" s="55">
        <v>4</v>
      </c>
      <c r="E258" s="558" t="s">
        <v>358</v>
      </c>
      <c r="F258" s="54">
        <v>102.86</v>
      </c>
      <c r="G258" s="400" t="s">
        <v>587</v>
      </c>
      <c r="H258" s="502">
        <v>55.953598022460938</v>
      </c>
      <c r="I258" s="167">
        <v>-1.1499999999999999</v>
      </c>
      <c r="J258" s="449">
        <v>-0.89</v>
      </c>
      <c r="K258" s="66">
        <f t="shared" si="4"/>
        <v>17.312484000000001</v>
      </c>
      <c r="L258" s="395" t="s">
        <v>99</v>
      </c>
      <c r="M258" s="317" t="s">
        <v>85</v>
      </c>
      <c r="N258" s="317" t="s">
        <v>95</v>
      </c>
      <c r="O258" s="307" t="s">
        <v>35</v>
      </c>
      <c r="P258" s="314" t="s">
        <v>91</v>
      </c>
      <c r="Q258" s="501" t="s">
        <v>435</v>
      </c>
      <c r="R258" s="315" t="s">
        <v>94</v>
      </c>
      <c r="S258" s="176"/>
      <c r="T258" s="145"/>
      <c r="U258" s="145"/>
    </row>
    <row r="259" spans="1:21">
      <c r="A259" s="167">
        <v>865</v>
      </c>
      <c r="B259" s="55" t="s">
        <v>98</v>
      </c>
      <c r="C259" s="55">
        <v>12</v>
      </c>
      <c r="D259" s="55">
        <v>4</v>
      </c>
      <c r="E259" s="558" t="s">
        <v>358</v>
      </c>
      <c r="F259" s="54">
        <v>102.86</v>
      </c>
      <c r="G259" s="400" t="s">
        <v>587</v>
      </c>
      <c r="H259" s="502">
        <v>55.953598022460938</v>
      </c>
      <c r="I259" s="167">
        <v>-1.39</v>
      </c>
      <c r="J259" s="449">
        <v>-0.89</v>
      </c>
      <c r="K259" s="66">
        <f t="shared" si="4"/>
        <v>18.442500000000003</v>
      </c>
      <c r="L259" s="395" t="s">
        <v>99</v>
      </c>
      <c r="M259" s="317" t="s">
        <v>85</v>
      </c>
      <c r="N259" s="317" t="s">
        <v>95</v>
      </c>
      <c r="O259" s="307" t="s">
        <v>35</v>
      </c>
      <c r="P259" s="314" t="s">
        <v>91</v>
      </c>
      <c r="Q259" s="501" t="s">
        <v>435</v>
      </c>
      <c r="R259" s="315" t="s">
        <v>94</v>
      </c>
      <c r="S259" s="176"/>
      <c r="T259" s="145"/>
      <c r="U259" s="145"/>
    </row>
    <row r="260" spans="1:21">
      <c r="A260" s="167">
        <v>865</v>
      </c>
      <c r="B260" s="55" t="s">
        <v>98</v>
      </c>
      <c r="C260" s="55">
        <v>12</v>
      </c>
      <c r="D260" s="55">
        <v>4</v>
      </c>
      <c r="E260" s="558" t="s">
        <v>358</v>
      </c>
      <c r="F260" s="54">
        <v>102.86</v>
      </c>
      <c r="G260" s="400" t="s">
        <v>587</v>
      </c>
      <c r="H260" s="502">
        <v>55.953598022460938</v>
      </c>
      <c r="I260" s="167">
        <v>-1.74</v>
      </c>
      <c r="J260" s="449">
        <v>-0.89</v>
      </c>
      <c r="K260" s="66">
        <f t="shared" si="4"/>
        <v>20.109024999999999</v>
      </c>
      <c r="L260" s="395" t="s">
        <v>99</v>
      </c>
      <c r="M260" s="317" t="s">
        <v>85</v>
      </c>
      <c r="N260" s="317" t="s">
        <v>95</v>
      </c>
      <c r="O260" s="307" t="s">
        <v>35</v>
      </c>
      <c r="P260" s="314" t="s">
        <v>91</v>
      </c>
      <c r="Q260" s="501" t="s">
        <v>435</v>
      </c>
      <c r="R260" s="315" t="s">
        <v>94</v>
      </c>
      <c r="S260" s="176"/>
      <c r="T260" s="145"/>
      <c r="U260" s="145"/>
    </row>
    <row r="261" spans="1:21">
      <c r="A261" s="167">
        <v>865</v>
      </c>
      <c r="B261" s="55" t="s">
        <v>98</v>
      </c>
      <c r="C261" s="55">
        <v>12</v>
      </c>
      <c r="D261" s="55">
        <v>4</v>
      </c>
      <c r="E261" s="558" t="s">
        <v>358</v>
      </c>
      <c r="F261" s="54">
        <v>102.86</v>
      </c>
      <c r="G261" s="400" t="s">
        <v>587</v>
      </c>
      <c r="H261" s="502">
        <v>55.953598022460938</v>
      </c>
      <c r="I261" s="167">
        <v>-1.31</v>
      </c>
      <c r="J261" s="449">
        <v>-0.89</v>
      </c>
      <c r="K261" s="66">
        <f t="shared" si="4"/>
        <v>18.064675999999999</v>
      </c>
      <c r="L261" s="395" t="s">
        <v>99</v>
      </c>
      <c r="M261" s="317" t="s">
        <v>85</v>
      </c>
      <c r="N261" s="317" t="s">
        <v>95</v>
      </c>
      <c r="O261" s="307" t="s">
        <v>35</v>
      </c>
      <c r="P261" s="314" t="s">
        <v>91</v>
      </c>
      <c r="Q261" s="501" t="s">
        <v>435</v>
      </c>
      <c r="R261" s="315" t="s">
        <v>94</v>
      </c>
      <c r="S261" s="176"/>
      <c r="T261" s="145"/>
      <c r="U261" s="145"/>
    </row>
    <row r="262" spans="1:21">
      <c r="A262" s="167">
        <v>865</v>
      </c>
      <c r="B262" s="55" t="s">
        <v>98</v>
      </c>
      <c r="C262" s="55">
        <v>12</v>
      </c>
      <c r="D262" s="55">
        <v>4</v>
      </c>
      <c r="E262" s="558" t="s">
        <v>358</v>
      </c>
      <c r="F262" s="54">
        <v>102.86</v>
      </c>
      <c r="G262" s="400" t="s">
        <v>587</v>
      </c>
      <c r="H262" s="502">
        <v>55.953598022460938</v>
      </c>
      <c r="I262" s="167">
        <v>-1.8</v>
      </c>
      <c r="J262" s="449">
        <v>-0.89</v>
      </c>
      <c r="K262" s="66">
        <f t="shared" si="4"/>
        <v>20.396929</v>
      </c>
      <c r="L262" s="395" t="s">
        <v>99</v>
      </c>
      <c r="M262" s="317" t="s">
        <v>85</v>
      </c>
      <c r="N262" s="317" t="s">
        <v>95</v>
      </c>
      <c r="O262" s="307" t="s">
        <v>35</v>
      </c>
      <c r="P262" s="314" t="s">
        <v>91</v>
      </c>
      <c r="Q262" s="501" t="s">
        <v>435</v>
      </c>
      <c r="R262" s="315" t="s">
        <v>94</v>
      </c>
      <c r="S262" s="176"/>
      <c r="T262" s="145"/>
      <c r="U262" s="145"/>
    </row>
    <row r="263" spans="1:21">
      <c r="A263" s="167">
        <v>865</v>
      </c>
      <c r="B263" s="55" t="s">
        <v>98</v>
      </c>
      <c r="C263" s="55">
        <v>12</v>
      </c>
      <c r="D263" s="55">
        <v>4</v>
      </c>
      <c r="E263" s="558" t="s">
        <v>358</v>
      </c>
      <c r="F263" s="54">
        <v>102.86</v>
      </c>
      <c r="G263" s="400" t="s">
        <v>587</v>
      </c>
      <c r="H263" s="502">
        <v>55.953598022460938</v>
      </c>
      <c r="I263" s="167">
        <v>-1.4</v>
      </c>
      <c r="J263" s="449">
        <v>-0.89</v>
      </c>
      <c r="K263" s="66">
        <f t="shared" si="4"/>
        <v>18.489809000000001</v>
      </c>
      <c r="L263" s="395" t="s">
        <v>99</v>
      </c>
      <c r="M263" s="317" t="s">
        <v>85</v>
      </c>
      <c r="N263" s="317" t="s">
        <v>95</v>
      </c>
      <c r="O263" s="307" t="s">
        <v>35</v>
      </c>
      <c r="P263" s="314" t="s">
        <v>91</v>
      </c>
      <c r="Q263" s="501" t="s">
        <v>435</v>
      </c>
      <c r="R263" s="315" t="s">
        <v>94</v>
      </c>
      <c r="S263" s="176"/>
      <c r="T263" s="145"/>
      <c r="U263" s="145"/>
    </row>
    <row r="264" spans="1:21">
      <c r="A264" s="167">
        <v>865</v>
      </c>
      <c r="B264" s="55" t="s">
        <v>98</v>
      </c>
      <c r="C264" s="55">
        <v>12</v>
      </c>
      <c r="D264" s="55">
        <v>4</v>
      </c>
      <c r="E264" s="558" t="s">
        <v>358</v>
      </c>
      <c r="F264" s="54">
        <v>102.86</v>
      </c>
      <c r="G264" s="400" t="s">
        <v>587</v>
      </c>
      <c r="H264" s="502">
        <v>55.953598022460938</v>
      </c>
      <c r="I264" s="167">
        <v>-1.7</v>
      </c>
      <c r="J264" s="449">
        <v>-0.89</v>
      </c>
      <c r="K264" s="66">
        <f t="shared" si="4"/>
        <v>19.917449000000001</v>
      </c>
      <c r="L264" s="395" t="s">
        <v>99</v>
      </c>
      <c r="M264" s="317" t="s">
        <v>85</v>
      </c>
      <c r="N264" s="317" t="s">
        <v>95</v>
      </c>
      <c r="O264" s="307" t="s">
        <v>35</v>
      </c>
      <c r="P264" s="314" t="s">
        <v>91</v>
      </c>
      <c r="Q264" s="501" t="s">
        <v>435</v>
      </c>
      <c r="R264" s="315" t="s">
        <v>94</v>
      </c>
      <c r="S264" s="176"/>
      <c r="T264" s="145"/>
      <c r="U264" s="145"/>
    </row>
    <row r="265" spans="1:21">
      <c r="A265" s="167">
        <v>865</v>
      </c>
      <c r="B265" s="55" t="s">
        <v>98</v>
      </c>
      <c r="C265" s="55">
        <v>12</v>
      </c>
      <c r="D265" s="55">
        <v>4</v>
      </c>
      <c r="E265" s="558" t="s">
        <v>358</v>
      </c>
      <c r="F265" s="54">
        <v>102.86</v>
      </c>
      <c r="G265" s="400" t="s">
        <v>587</v>
      </c>
      <c r="H265" s="502">
        <v>55.953598022460938</v>
      </c>
      <c r="I265" s="167">
        <v>-1.73</v>
      </c>
      <c r="J265" s="449">
        <v>-0.89</v>
      </c>
      <c r="K265" s="66">
        <f t="shared" ref="K265:K327" si="5">16.1-4.64*($I265-J265)+0.09*($I265-J265)^2</f>
        <v>20.061104</v>
      </c>
      <c r="L265" s="395" t="s">
        <v>99</v>
      </c>
      <c r="M265" s="317" t="s">
        <v>85</v>
      </c>
      <c r="N265" s="317" t="s">
        <v>95</v>
      </c>
      <c r="O265" s="307" t="s">
        <v>35</v>
      </c>
      <c r="P265" s="314" t="s">
        <v>91</v>
      </c>
      <c r="Q265" s="501" t="s">
        <v>435</v>
      </c>
      <c r="R265" s="315" t="s">
        <v>94</v>
      </c>
      <c r="S265" s="176"/>
      <c r="T265" s="145"/>
      <c r="U265" s="145"/>
    </row>
    <row r="266" spans="1:21">
      <c r="A266" s="167">
        <v>865</v>
      </c>
      <c r="B266" s="55" t="s">
        <v>98</v>
      </c>
      <c r="C266" s="55">
        <v>12</v>
      </c>
      <c r="D266" s="55">
        <v>4</v>
      </c>
      <c r="E266" s="558" t="s">
        <v>358</v>
      </c>
      <c r="F266" s="54">
        <v>102.86</v>
      </c>
      <c r="G266" s="400" t="s">
        <v>587</v>
      </c>
      <c r="H266" s="502">
        <v>55.953598022460938</v>
      </c>
      <c r="I266" s="167">
        <v>-1.84</v>
      </c>
      <c r="J266" s="449">
        <v>-0.89</v>
      </c>
      <c r="K266" s="66">
        <f t="shared" si="5"/>
        <v>20.589225000000003</v>
      </c>
      <c r="L266" s="395" t="s">
        <v>99</v>
      </c>
      <c r="M266" s="317" t="s">
        <v>85</v>
      </c>
      <c r="N266" s="317" t="s">
        <v>95</v>
      </c>
      <c r="O266" s="307" t="s">
        <v>35</v>
      </c>
      <c r="P266" s="314" t="s">
        <v>91</v>
      </c>
      <c r="Q266" s="501" t="s">
        <v>435</v>
      </c>
      <c r="R266" s="315" t="s">
        <v>94</v>
      </c>
      <c r="S266" s="176"/>
      <c r="T266" s="145"/>
      <c r="U266" s="145"/>
    </row>
    <row r="267" spans="1:21">
      <c r="A267" s="167">
        <v>865</v>
      </c>
      <c r="B267" s="55" t="s">
        <v>98</v>
      </c>
      <c r="C267" s="55">
        <v>12</v>
      </c>
      <c r="D267" s="55">
        <v>4</v>
      </c>
      <c r="E267" s="558" t="s">
        <v>358</v>
      </c>
      <c r="F267" s="54">
        <v>102.86</v>
      </c>
      <c r="G267" s="400" t="s">
        <v>587</v>
      </c>
      <c r="H267" s="502">
        <v>55.953598022460938</v>
      </c>
      <c r="I267" s="167">
        <v>-1.71</v>
      </c>
      <c r="J267" s="449">
        <v>-0.89</v>
      </c>
      <c r="K267" s="66">
        <f t="shared" si="5"/>
        <v>19.965316000000001</v>
      </c>
      <c r="L267" s="395" t="s">
        <v>99</v>
      </c>
      <c r="M267" s="317" t="s">
        <v>85</v>
      </c>
      <c r="N267" s="317" t="s">
        <v>95</v>
      </c>
      <c r="O267" s="307" t="s">
        <v>35</v>
      </c>
      <c r="P267" s="314" t="s">
        <v>91</v>
      </c>
      <c r="Q267" s="501" t="s">
        <v>435</v>
      </c>
      <c r="R267" s="315" t="s">
        <v>94</v>
      </c>
      <c r="S267" s="176"/>
      <c r="T267" s="145"/>
      <c r="U267" s="145"/>
    </row>
    <row r="268" spans="1:21">
      <c r="A268" s="167">
        <v>865</v>
      </c>
      <c r="B268" s="55" t="s">
        <v>98</v>
      </c>
      <c r="C268" s="55">
        <v>12</v>
      </c>
      <c r="D268" s="55">
        <v>4</v>
      </c>
      <c r="E268" s="558" t="s">
        <v>360</v>
      </c>
      <c r="F268" s="54">
        <v>102.9</v>
      </c>
      <c r="G268" s="400" t="s">
        <v>587</v>
      </c>
      <c r="H268" s="502">
        <v>55.959999084472656</v>
      </c>
      <c r="I268" s="167">
        <v>-1.1499999999999999</v>
      </c>
      <c r="J268" s="449">
        <v>-0.89</v>
      </c>
      <c r="K268" s="66">
        <f t="shared" si="5"/>
        <v>17.312484000000001</v>
      </c>
      <c r="L268" s="395" t="s">
        <v>99</v>
      </c>
      <c r="M268" s="317" t="s">
        <v>85</v>
      </c>
      <c r="N268" s="317" t="s">
        <v>95</v>
      </c>
      <c r="O268" s="307" t="s">
        <v>35</v>
      </c>
      <c r="P268" s="314" t="s">
        <v>91</v>
      </c>
      <c r="Q268" s="501" t="s">
        <v>435</v>
      </c>
      <c r="R268" s="315" t="s">
        <v>94</v>
      </c>
      <c r="S268" s="176"/>
      <c r="T268" s="145"/>
      <c r="U268" s="145"/>
    </row>
    <row r="269" spans="1:21">
      <c r="A269" s="167">
        <v>865</v>
      </c>
      <c r="B269" s="55" t="s">
        <v>98</v>
      </c>
      <c r="C269" s="55">
        <v>12</v>
      </c>
      <c r="D269" s="55">
        <v>4</v>
      </c>
      <c r="E269" s="558" t="s">
        <v>360</v>
      </c>
      <c r="F269" s="54">
        <v>102.9</v>
      </c>
      <c r="G269" s="400" t="s">
        <v>587</v>
      </c>
      <c r="H269" s="502">
        <v>55.959999084472656</v>
      </c>
      <c r="I269" s="167">
        <v>-1.23</v>
      </c>
      <c r="J269" s="449">
        <v>-0.89</v>
      </c>
      <c r="K269" s="66">
        <f t="shared" si="5"/>
        <v>17.688004000000003</v>
      </c>
      <c r="L269" s="395" t="s">
        <v>99</v>
      </c>
      <c r="M269" s="317" t="s">
        <v>85</v>
      </c>
      <c r="N269" s="317" t="s">
        <v>95</v>
      </c>
      <c r="O269" s="307" t="s">
        <v>35</v>
      </c>
      <c r="P269" s="314" t="s">
        <v>91</v>
      </c>
      <c r="Q269" s="501" t="s">
        <v>435</v>
      </c>
      <c r="R269" s="315" t="s">
        <v>94</v>
      </c>
      <c r="S269" s="176"/>
      <c r="T269" s="145"/>
      <c r="U269" s="145"/>
    </row>
    <row r="270" spans="1:21">
      <c r="A270" s="167">
        <v>865</v>
      </c>
      <c r="B270" s="55" t="s">
        <v>98</v>
      </c>
      <c r="C270" s="55">
        <v>12</v>
      </c>
      <c r="D270" s="55">
        <v>4</v>
      </c>
      <c r="E270" s="558" t="s">
        <v>360</v>
      </c>
      <c r="F270" s="54">
        <v>102.9</v>
      </c>
      <c r="G270" s="400" t="s">
        <v>587</v>
      </c>
      <c r="H270" s="502">
        <v>55.959999084472656</v>
      </c>
      <c r="I270" s="167">
        <v>-1.41</v>
      </c>
      <c r="J270" s="449">
        <v>-0.89</v>
      </c>
      <c r="K270" s="66">
        <f t="shared" si="5"/>
        <v>18.537136000000004</v>
      </c>
      <c r="L270" s="395" t="s">
        <v>99</v>
      </c>
      <c r="M270" s="317" t="s">
        <v>85</v>
      </c>
      <c r="N270" s="317" t="s">
        <v>95</v>
      </c>
      <c r="O270" s="307" t="s">
        <v>35</v>
      </c>
      <c r="P270" s="314" t="s">
        <v>91</v>
      </c>
      <c r="Q270" s="501" t="s">
        <v>435</v>
      </c>
      <c r="R270" s="315" t="s">
        <v>94</v>
      </c>
      <c r="S270" s="176"/>
      <c r="T270" s="145"/>
      <c r="U270" s="145"/>
    </row>
    <row r="271" spans="1:21">
      <c r="A271" s="167">
        <v>865</v>
      </c>
      <c r="B271" s="55" t="s">
        <v>98</v>
      </c>
      <c r="C271" s="55">
        <v>12</v>
      </c>
      <c r="D271" s="55">
        <v>4</v>
      </c>
      <c r="E271" s="558" t="s">
        <v>360</v>
      </c>
      <c r="F271" s="54">
        <v>102.9</v>
      </c>
      <c r="G271" s="400" t="s">
        <v>587</v>
      </c>
      <c r="H271" s="502">
        <v>55.959999084472656</v>
      </c>
      <c r="I271" s="167">
        <v>-1.67</v>
      </c>
      <c r="J271" s="449">
        <v>-0.89</v>
      </c>
      <c r="K271" s="66">
        <f t="shared" si="5"/>
        <v>19.773956000000002</v>
      </c>
      <c r="L271" s="395" t="s">
        <v>99</v>
      </c>
      <c r="M271" s="317" t="s">
        <v>85</v>
      </c>
      <c r="N271" s="317" t="s">
        <v>95</v>
      </c>
      <c r="O271" s="307" t="s">
        <v>35</v>
      </c>
      <c r="P271" s="314" t="s">
        <v>91</v>
      </c>
      <c r="Q271" s="501" t="s">
        <v>435</v>
      </c>
      <c r="R271" s="315" t="s">
        <v>94</v>
      </c>
      <c r="S271" s="176"/>
      <c r="T271" s="145"/>
      <c r="U271" s="145"/>
    </row>
    <row r="272" spans="1:21">
      <c r="A272" s="167">
        <v>865</v>
      </c>
      <c r="B272" s="55" t="s">
        <v>98</v>
      </c>
      <c r="C272" s="55">
        <v>12</v>
      </c>
      <c r="D272" s="55">
        <v>4</v>
      </c>
      <c r="E272" s="558" t="s">
        <v>360</v>
      </c>
      <c r="F272" s="54">
        <v>102.9</v>
      </c>
      <c r="G272" s="400" t="s">
        <v>587</v>
      </c>
      <c r="H272" s="502">
        <v>55.959999084472656</v>
      </c>
      <c r="I272" s="167">
        <v>-1.39</v>
      </c>
      <c r="J272" s="449">
        <v>-0.89</v>
      </c>
      <c r="K272" s="66">
        <f t="shared" si="5"/>
        <v>18.442500000000003</v>
      </c>
      <c r="L272" s="395" t="s">
        <v>99</v>
      </c>
      <c r="M272" s="317" t="s">
        <v>85</v>
      </c>
      <c r="N272" s="317" t="s">
        <v>95</v>
      </c>
      <c r="O272" s="307" t="s">
        <v>35</v>
      </c>
      <c r="P272" s="314" t="s">
        <v>91</v>
      </c>
      <c r="Q272" s="501" t="s">
        <v>435</v>
      </c>
      <c r="R272" s="315" t="s">
        <v>94</v>
      </c>
      <c r="S272" s="176"/>
      <c r="T272" s="145"/>
      <c r="U272" s="145"/>
    </row>
    <row r="273" spans="1:21">
      <c r="A273" s="167">
        <v>865</v>
      </c>
      <c r="B273" s="55" t="s">
        <v>98</v>
      </c>
      <c r="C273" s="55">
        <v>12</v>
      </c>
      <c r="D273" s="55">
        <v>4</v>
      </c>
      <c r="E273" s="558" t="s">
        <v>360</v>
      </c>
      <c r="F273" s="54">
        <v>102.9</v>
      </c>
      <c r="G273" s="400" t="s">
        <v>587</v>
      </c>
      <c r="H273" s="502">
        <v>55.959999084472656</v>
      </c>
      <c r="I273" s="167">
        <v>-0.92</v>
      </c>
      <c r="J273" s="449">
        <v>-0.89</v>
      </c>
      <c r="K273" s="66">
        <f t="shared" si="5"/>
        <v>16.239281000000002</v>
      </c>
      <c r="L273" s="395" t="s">
        <v>99</v>
      </c>
      <c r="M273" s="317" t="s">
        <v>85</v>
      </c>
      <c r="N273" s="317" t="s">
        <v>95</v>
      </c>
      <c r="O273" s="307" t="s">
        <v>35</v>
      </c>
      <c r="P273" s="314" t="s">
        <v>91</v>
      </c>
      <c r="Q273" s="501" t="s">
        <v>435</v>
      </c>
      <c r="R273" s="315" t="s">
        <v>94</v>
      </c>
      <c r="S273" s="176"/>
      <c r="T273" s="145"/>
      <c r="U273" s="145"/>
    </row>
    <row r="274" spans="1:21">
      <c r="A274" s="167">
        <v>865</v>
      </c>
      <c r="B274" s="55" t="s">
        <v>98</v>
      </c>
      <c r="C274" s="55">
        <v>12</v>
      </c>
      <c r="D274" s="55">
        <v>4</v>
      </c>
      <c r="E274" s="558" t="s">
        <v>360</v>
      </c>
      <c r="F274" s="54">
        <v>102.9</v>
      </c>
      <c r="G274" s="400" t="s">
        <v>587</v>
      </c>
      <c r="H274" s="502">
        <v>55.959999084472656</v>
      </c>
      <c r="I274" s="167">
        <v>-1.0900000000000001</v>
      </c>
      <c r="J274" s="449">
        <v>-0.89</v>
      </c>
      <c r="K274" s="66">
        <f t="shared" si="5"/>
        <v>17.031600000000001</v>
      </c>
      <c r="L274" s="395" t="s">
        <v>99</v>
      </c>
      <c r="M274" s="317" t="s">
        <v>85</v>
      </c>
      <c r="N274" s="317" t="s">
        <v>95</v>
      </c>
      <c r="O274" s="307" t="s">
        <v>35</v>
      </c>
      <c r="P274" s="314" t="s">
        <v>91</v>
      </c>
      <c r="Q274" s="501" t="s">
        <v>435</v>
      </c>
      <c r="R274" s="315" t="s">
        <v>94</v>
      </c>
      <c r="S274" s="176"/>
      <c r="T274" s="145"/>
      <c r="U274" s="145"/>
    </row>
    <row r="275" spans="1:21">
      <c r="A275" s="167">
        <v>865</v>
      </c>
      <c r="B275" s="55" t="s">
        <v>98</v>
      </c>
      <c r="C275" s="55">
        <v>12</v>
      </c>
      <c r="D275" s="55">
        <v>4</v>
      </c>
      <c r="E275" s="558" t="s">
        <v>360</v>
      </c>
      <c r="F275" s="54">
        <v>102.9</v>
      </c>
      <c r="G275" s="400" t="s">
        <v>587</v>
      </c>
      <c r="H275" s="502">
        <v>55.959999084472656</v>
      </c>
      <c r="I275" s="167">
        <v>-1.07</v>
      </c>
      <c r="J275" s="449">
        <v>-0.89</v>
      </c>
      <c r="K275" s="66">
        <f t="shared" si="5"/>
        <v>16.938116000000001</v>
      </c>
      <c r="L275" s="395" t="s">
        <v>99</v>
      </c>
      <c r="M275" s="317" t="s">
        <v>85</v>
      </c>
      <c r="N275" s="317" t="s">
        <v>95</v>
      </c>
      <c r="O275" s="307" t="s">
        <v>35</v>
      </c>
      <c r="P275" s="314" t="s">
        <v>91</v>
      </c>
      <c r="Q275" s="501" t="s">
        <v>435</v>
      </c>
      <c r="R275" s="315" t="s">
        <v>94</v>
      </c>
      <c r="S275" s="176"/>
      <c r="T275" s="145"/>
      <c r="U275" s="145"/>
    </row>
    <row r="276" spans="1:21">
      <c r="A276" s="167">
        <v>865</v>
      </c>
      <c r="B276" s="55" t="s">
        <v>98</v>
      </c>
      <c r="C276" s="55">
        <v>12</v>
      </c>
      <c r="D276" s="55">
        <v>4</v>
      </c>
      <c r="E276" s="558" t="s">
        <v>360</v>
      </c>
      <c r="F276" s="54">
        <v>102.9</v>
      </c>
      <c r="G276" s="400" t="s">
        <v>587</v>
      </c>
      <c r="H276" s="502">
        <v>55.959999084472656</v>
      </c>
      <c r="I276" s="167">
        <v>-1.24</v>
      </c>
      <c r="J276" s="449">
        <v>-0.89</v>
      </c>
      <c r="K276" s="66">
        <f t="shared" si="5"/>
        <v>17.735025</v>
      </c>
      <c r="L276" s="395" t="s">
        <v>99</v>
      </c>
      <c r="M276" s="317" t="s">
        <v>85</v>
      </c>
      <c r="N276" s="317" t="s">
        <v>95</v>
      </c>
      <c r="O276" s="307" t="s">
        <v>35</v>
      </c>
      <c r="P276" s="314" t="s">
        <v>91</v>
      </c>
      <c r="Q276" s="501" t="s">
        <v>435</v>
      </c>
      <c r="R276" s="315" t="s">
        <v>94</v>
      </c>
      <c r="S276" s="176"/>
      <c r="T276" s="145"/>
      <c r="U276" s="145"/>
    </row>
    <row r="277" spans="1:21">
      <c r="A277" s="167">
        <v>865</v>
      </c>
      <c r="B277" s="55" t="s">
        <v>98</v>
      </c>
      <c r="C277" s="55">
        <v>12</v>
      </c>
      <c r="D277" s="55">
        <v>4</v>
      </c>
      <c r="E277" s="558" t="s">
        <v>360</v>
      </c>
      <c r="F277" s="54">
        <v>102.9</v>
      </c>
      <c r="G277" s="400" t="s">
        <v>587</v>
      </c>
      <c r="H277" s="502">
        <v>55.959999084472656</v>
      </c>
      <c r="I277" s="167">
        <v>-1.61</v>
      </c>
      <c r="J277" s="449">
        <v>-0.89</v>
      </c>
      <c r="K277" s="66">
        <f t="shared" si="5"/>
        <v>19.487456000000002</v>
      </c>
      <c r="L277" s="395" t="s">
        <v>99</v>
      </c>
      <c r="M277" s="317" t="s">
        <v>85</v>
      </c>
      <c r="N277" s="317" t="s">
        <v>95</v>
      </c>
      <c r="O277" s="307" t="s">
        <v>35</v>
      </c>
      <c r="P277" s="314" t="s">
        <v>91</v>
      </c>
      <c r="Q277" s="501" t="s">
        <v>435</v>
      </c>
      <c r="R277" s="315" t="s">
        <v>94</v>
      </c>
      <c r="S277" s="176"/>
      <c r="T277" s="145"/>
      <c r="U277" s="145"/>
    </row>
    <row r="278" spans="1:21">
      <c r="A278" s="167">
        <v>865</v>
      </c>
      <c r="B278" s="55" t="s">
        <v>98</v>
      </c>
      <c r="C278" s="55">
        <v>12</v>
      </c>
      <c r="D278" s="55">
        <v>4</v>
      </c>
      <c r="E278" s="558" t="s">
        <v>360</v>
      </c>
      <c r="F278" s="54">
        <v>102.9</v>
      </c>
      <c r="G278" s="400" t="s">
        <v>587</v>
      </c>
      <c r="H278" s="502">
        <v>55.959999084472656</v>
      </c>
      <c r="I278" s="167">
        <v>-1.33</v>
      </c>
      <c r="J278" s="449">
        <v>-0.89</v>
      </c>
      <c r="K278" s="66">
        <f t="shared" si="5"/>
        <v>18.159023999999999</v>
      </c>
      <c r="L278" s="395" t="s">
        <v>99</v>
      </c>
      <c r="M278" s="317" t="s">
        <v>85</v>
      </c>
      <c r="N278" s="317" t="s">
        <v>95</v>
      </c>
      <c r="O278" s="307" t="s">
        <v>35</v>
      </c>
      <c r="P278" s="314" t="s">
        <v>91</v>
      </c>
      <c r="Q278" s="501" t="s">
        <v>435</v>
      </c>
      <c r="R278" s="315" t="s">
        <v>94</v>
      </c>
      <c r="S278" s="176"/>
      <c r="T278" s="145"/>
      <c r="U278" s="145"/>
    </row>
    <row r="279" spans="1:21">
      <c r="A279" s="167">
        <v>865</v>
      </c>
      <c r="B279" s="55" t="s">
        <v>98</v>
      </c>
      <c r="C279" s="55">
        <v>12</v>
      </c>
      <c r="D279" s="55">
        <v>4</v>
      </c>
      <c r="E279" s="558" t="s">
        <v>360</v>
      </c>
      <c r="F279" s="54">
        <v>102.9</v>
      </c>
      <c r="G279" s="400" t="s">
        <v>587</v>
      </c>
      <c r="H279" s="502">
        <v>55.959999084472656</v>
      </c>
      <c r="I279" s="167">
        <v>-1.82</v>
      </c>
      <c r="J279" s="449">
        <v>-0.89</v>
      </c>
      <c r="K279" s="66">
        <f t="shared" si="5"/>
        <v>20.493041000000002</v>
      </c>
      <c r="L279" s="395" t="s">
        <v>99</v>
      </c>
      <c r="M279" s="317" t="s">
        <v>85</v>
      </c>
      <c r="N279" s="317" t="s">
        <v>95</v>
      </c>
      <c r="O279" s="307" t="s">
        <v>35</v>
      </c>
      <c r="P279" s="314" t="s">
        <v>91</v>
      </c>
      <c r="Q279" s="501" t="s">
        <v>435</v>
      </c>
      <c r="R279" s="315" t="s">
        <v>94</v>
      </c>
      <c r="S279" s="176"/>
      <c r="T279" s="145"/>
      <c r="U279" s="145"/>
    </row>
    <row r="280" spans="1:21">
      <c r="A280" s="167">
        <v>865</v>
      </c>
      <c r="B280" s="55" t="s">
        <v>98</v>
      </c>
      <c r="C280" s="55">
        <v>12</v>
      </c>
      <c r="D280" s="55">
        <v>4</v>
      </c>
      <c r="E280" s="558" t="s">
        <v>360</v>
      </c>
      <c r="F280" s="54">
        <v>102.9</v>
      </c>
      <c r="G280" s="400" t="s">
        <v>587</v>
      </c>
      <c r="H280" s="502">
        <v>55.959999084472656</v>
      </c>
      <c r="I280" s="167">
        <v>-1.53</v>
      </c>
      <c r="J280" s="449">
        <v>-0.89</v>
      </c>
      <c r="K280" s="66">
        <f t="shared" si="5"/>
        <v>19.106464000000003</v>
      </c>
      <c r="L280" s="395" t="s">
        <v>99</v>
      </c>
      <c r="M280" s="317" t="s">
        <v>85</v>
      </c>
      <c r="N280" s="317" t="s">
        <v>95</v>
      </c>
      <c r="O280" s="307" t="s">
        <v>35</v>
      </c>
      <c r="P280" s="314" t="s">
        <v>91</v>
      </c>
      <c r="Q280" s="501" t="s">
        <v>435</v>
      </c>
      <c r="R280" s="315" t="s">
        <v>94</v>
      </c>
      <c r="S280" s="176"/>
      <c r="T280" s="145"/>
      <c r="U280" s="145"/>
    </row>
    <row r="281" spans="1:21">
      <c r="A281" s="167">
        <v>865</v>
      </c>
      <c r="B281" s="55" t="s">
        <v>98</v>
      </c>
      <c r="C281" s="55">
        <v>12</v>
      </c>
      <c r="D281" s="55">
        <v>4</v>
      </c>
      <c r="E281" s="558" t="s">
        <v>360</v>
      </c>
      <c r="F281" s="54">
        <v>102.9</v>
      </c>
      <c r="G281" s="400" t="s">
        <v>587</v>
      </c>
      <c r="H281" s="502">
        <v>55.959999084472656</v>
      </c>
      <c r="I281" s="167">
        <v>-1.24</v>
      </c>
      <c r="J281" s="449">
        <v>-0.89</v>
      </c>
      <c r="K281" s="66">
        <f t="shared" si="5"/>
        <v>17.735025</v>
      </c>
      <c r="L281" s="395" t="s">
        <v>99</v>
      </c>
      <c r="M281" s="317" t="s">
        <v>85</v>
      </c>
      <c r="N281" s="317" t="s">
        <v>95</v>
      </c>
      <c r="O281" s="307" t="s">
        <v>35</v>
      </c>
      <c r="P281" s="314" t="s">
        <v>91</v>
      </c>
      <c r="Q281" s="501" t="s">
        <v>435</v>
      </c>
      <c r="R281" s="315" t="s">
        <v>94</v>
      </c>
      <c r="S281" s="176"/>
      <c r="T281" s="145"/>
      <c r="U281" s="145"/>
    </row>
    <row r="282" spans="1:21">
      <c r="A282" s="167">
        <v>865</v>
      </c>
      <c r="B282" s="55" t="s">
        <v>98</v>
      </c>
      <c r="C282" s="55">
        <v>12</v>
      </c>
      <c r="D282" s="55">
        <v>4</v>
      </c>
      <c r="E282" s="558" t="s">
        <v>360</v>
      </c>
      <c r="F282" s="54">
        <v>102.9</v>
      </c>
      <c r="G282" s="400" t="s">
        <v>587</v>
      </c>
      <c r="H282" s="502">
        <v>55.959999084472656</v>
      </c>
      <c r="I282" s="167">
        <v>-1.35</v>
      </c>
      <c r="J282" s="449">
        <v>-0.89</v>
      </c>
      <c r="K282" s="66">
        <f t="shared" si="5"/>
        <v>18.253444000000002</v>
      </c>
      <c r="L282" s="395" t="s">
        <v>99</v>
      </c>
      <c r="M282" s="317" t="s">
        <v>85</v>
      </c>
      <c r="N282" s="317" t="s">
        <v>95</v>
      </c>
      <c r="O282" s="307" t="s">
        <v>35</v>
      </c>
      <c r="P282" s="314" t="s">
        <v>91</v>
      </c>
      <c r="Q282" s="501" t="s">
        <v>435</v>
      </c>
      <c r="R282" s="315" t="s">
        <v>94</v>
      </c>
      <c r="S282" s="176"/>
      <c r="T282" s="145"/>
      <c r="U282" s="145"/>
    </row>
    <row r="283" spans="1:21">
      <c r="A283" s="167">
        <v>865</v>
      </c>
      <c r="B283" s="55" t="s">
        <v>98</v>
      </c>
      <c r="C283" s="55">
        <v>12</v>
      </c>
      <c r="D283" s="55">
        <v>4</v>
      </c>
      <c r="E283" s="558" t="s">
        <v>360</v>
      </c>
      <c r="F283" s="54">
        <v>102.9</v>
      </c>
      <c r="G283" s="400" t="s">
        <v>587</v>
      </c>
      <c r="H283" s="502">
        <v>55.959999084472656</v>
      </c>
      <c r="I283" s="167">
        <v>-1.48</v>
      </c>
      <c r="J283" s="449">
        <v>-0.89</v>
      </c>
      <c r="K283" s="66">
        <f t="shared" si="5"/>
        <v>18.868929000000001</v>
      </c>
      <c r="L283" s="395" t="s">
        <v>99</v>
      </c>
      <c r="M283" s="317" t="s">
        <v>85</v>
      </c>
      <c r="N283" s="317" t="s">
        <v>95</v>
      </c>
      <c r="O283" s="307" t="s">
        <v>35</v>
      </c>
      <c r="P283" s="314" t="s">
        <v>91</v>
      </c>
      <c r="Q283" s="501" t="s">
        <v>435</v>
      </c>
      <c r="R283" s="315" t="s">
        <v>94</v>
      </c>
      <c r="S283" s="176"/>
      <c r="T283" s="145"/>
      <c r="U283" s="145"/>
    </row>
    <row r="284" spans="1:21">
      <c r="A284" s="167">
        <v>865</v>
      </c>
      <c r="B284" s="55" t="s">
        <v>98</v>
      </c>
      <c r="C284" s="55">
        <v>12</v>
      </c>
      <c r="D284" s="55">
        <v>4</v>
      </c>
      <c r="E284" s="558" t="s">
        <v>360</v>
      </c>
      <c r="F284" s="54">
        <v>102.9</v>
      </c>
      <c r="G284" s="400" t="s">
        <v>587</v>
      </c>
      <c r="H284" s="502">
        <v>55.959999084472656</v>
      </c>
      <c r="I284" s="167">
        <v>-1.36</v>
      </c>
      <c r="J284" s="449">
        <v>-0.89</v>
      </c>
      <c r="K284" s="66">
        <f t="shared" si="5"/>
        <v>18.300681000000004</v>
      </c>
      <c r="L284" s="395" t="s">
        <v>99</v>
      </c>
      <c r="M284" s="317" t="s">
        <v>85</v>
      </c>
      <c r="N284" s="317" t="s">
        <v>95</v>
      </c>
      <c r="O284" s="307" t="s">
        <v>35</v>
      </c>
      <c r="P284" s="314" t="s">
        <v>91</v>
      </c>
      <c r="Q284" s="501" t="s">
        <v>435</v>
      </c>
      <c r="R284" s="315" t="s">
        <v>94</v>
      </c>
      <c r="S284" s="176"/>
      <c r="T284" s="145"/>
      <c r="U284" s="145"/>
    </row>
    <row r="285" spans="1:21">
      <c r="A285" s="167">
        <v>865</v>
      </c>
      <c r="B285" s="55" t="s">
        <v>98</v>
      </c>
      <c r="C285" s="55">
        <v>12</v>
      </c>
      <c r="D285" s="55">
        <v>4</v>
      </c>
      <c r="E285" s="558" t="s">
        <v>360</v>
      </c>
      <c r="F285" s="54">
        <v>102.9</v>
      </c>
      <c r="G285" s="400" t="s">
        <v>587</v>
      </c>
      <c r="H285" s="502">
        <v>55.959999084472656</v>
      </c>
      <c r="I285" s="167">
        <v>-1.97</v>
      </c>
      <c r="J285" s="449">
        <v>-0.89</v>
      </c>
      <c r="K285" s="66">
        <f t="shared" si="5"/>
        <v>21.216176000000001</v>
      </c>
      <c r="L285" s="395" t="s">
        <v>99</v>
      </c>
      <c r="M285" s="317" t="s">
        <v>85</v>
      </c>
      <c r="N285" s="317" t="s">
        <v>95</v>
      </c>
      <c r="O285" s="307" t="s">
        <v>35</v>
      </c>
      <c r="P285" s="314" t="s">
        <v>91</v>
      </c>
      <c r="Q285" s="501" t="s">
        <v>435</v>
      </c>
      <c r="R285" s="315" t="s">
        <v>94</v>
      </c>
      <c r="S285" s="176"/>
      <c r="T285" s="145"/>
      <c r="U285" s="145"/>
    </row>
    <row r="286" spans="1:21">
      <c r="A286" s="167">
        <v>865</v>
      </c>
      <c r="B286" s="55" t="s">
        <v>98</v>
      </c>
      <c r="C286" s="55">
        <v>12</v>
      </c>
      <c r="D286" s="55">
        <v>4</v>
      </c>
      <c r="E286" s="558" t="s">
        <v>360</v>
      </c>
      <c r="F286" s="54">
        <v>102.9</v>
      </c>
      <c r="G286" s="400" t="s">
        <v>587</v>
      </c>
      <c r="H286" s="502">
        <v>55.959999084472656</v>
      </c>
      <c r="I286" s="167">
        <v>-2</v>
      </c>
      <c r="J286" s="449">
        <v>-0.89</v>
      </c>
      <c r="K286" s="66">
        <f t="shared" si="5"/>
        <v>21.361288999999999</v>
      </c>
      <c r="L286" s="395" t="s">
        <v>99</v>
      </c>
      <c r="M286" s="317" t="s">
        <v>85</v>
      </c>
      <c r="N286" s="317" t="s">
        <v>95</v>
      </c>
      <c r="O286" s="307" t="s">
        <v>35</v>
      </c>
      <c r="P286" s="314" t="s">
        <v>91</v>
      </c>
      <c r="Q286" s="501" t="s">
        <v>435</v>
      </c>
      <c r="R286" s="315" t="s">
        <v>94</v>
      </c>
      <c r="S286" s="176"/>
      <c r="T286" s="145"/>
      <c r="U286" s="145"/>
    </row>
    <row r="287" spans="1:21">
      <c r="A287" s="167">
        <v>865</v>
      </c>
      <c r="B287" s="55" t="s">
        <v>98</v>
      </c>
      <c r="C287" s="55">
        <v>12</v>
      </c>
      <c r="D287" s="55">
        <v>4</v>
      </c>
      <c r="E287" s="558" t="s">
        <v>360</v>
      </c>
      <c r="F287" s="54">
        <v>102.9</v>
      </c>
      <c r="G287" s="400" t="s">
        <v>587</v>
      </c>
      <c r="H287" s="502">
        <v>55.959999084472656</v>
      </c>
      <c r="I287" s="167">
        <v>-1.21</v>
      </c>
      <c r="J287" s="449">
        <v>-0.89</v>
      </c>
      <c r="K287" s="66">
        <f t="shared" si="5"/>
        <v>17.594016</v>
      </c>
      <c r="L287" s="395" t="s">
        <v>99</v>
      </c>
      <c r="M287" s="317" t="s">
        <v>85</v>
      </c>
      <c r="N287" s="317" t="s">
        <v>95</v>
      </c>
      <c r="O287" s="307" t="s">
        <v>35</v>
      </c>
      <c r="P287" s="314" t="s">
        <v>91</v>
      </c>
      <c r="Q287" s="501" t="s">
        <v>435</v>
      </c>
      <c r="R287" s="315" t="s">
        <v>94</v>
      </c>
      <c r="S287" s="176"/>
      <c r="T287" s="145"/>
      <c r="U287" s="145"/>
    </row>
    <row r="288" spans="1:21">
      <c r="A288" s="167">
        <v>865</v>
      </c>
      <c r="B288" s="55" t="s">
        <v>98</v>
      </c>
      <c r="C288" s="55">
        <v>12</v>
      </c>
      <c r="D288" s="55">
        <v>4</v>
      </c>
      <c r="E288" s="558" t="s">
        <v>360</v>
      </c>
      <c r="F288" s="54">
        <v>102.9</v>
      </c>
      <c r="G288" s="400" t="s">
        <v>587</v>
      </c>
      <c r="H288" s="502">
        <v>55.959999084472656</v>
      </c>
      <c r="I288" s="167">
        <v>-1.71</v>
      </c>
      <c r="J288" s="449">
        <v>-0.89</v>
      </c>
      <c r="K288" s="66">
        <f t="shared" si="5"/>
        <v>19.965316000000001</v>
      </c>
      <c r="L288" s="395" t="s">
        <v>99</v>
      </c>
      <c r="M288" s="317" t="s">
        <v>85</v>
      </c>
      <c r="N288" s="317" t="s">
        <v>95</v>
      </c>
      <c r="O288" s="307" t="s">
        <v>35</v>
      </c>
      <c r="P288" s="314" t="s">
        <v>91</v>
      </c>
      <c r="Q288" s="501" t="s">
        <v>435</v>
      </c>
      <c r="R288" s="315" t="s">
        <v>94</v>
      </c>
      <c r="S288" s="176"/>
      <c r="T288" s="145"/>
      <c r="U288" s="145"/>
    </row>
    <row r="289" spans="1:21">
      <c r="A289" s="167">
        <v>865</v>
      </c>
      <c r="B289" s="55" t="s">
        <v>98</v>
      </c>
      <c r="C289" s="55">
        <v>12</v>
      </c>
      <c r="D289" s="55">
        <v>4</v>
      </c>
      <c r="E289" s="558" t="s">
        <v>360</v>
      </c>
      <c r="F289" s="54">
        <v>102.9</v>
      </c>
      <c r="G289" s="400" t="s">
        <v>587</v>
      </c>
      <c r="H289" s="502">
        <v>55.959999084472656</v>
      </c>
      <c r="I289" s="167">
        <v>-1.65</v>
      </c>
      <c r="J289" s="449">
        <v>-0.89</v>
      </c>
      <c r="K289" s="66">
        <f t="shared" si="5"/>
        <v>19.678384000000001</v>
      </c>
      <c r="L289" s="395" t="s">
        <v>99</v>
      </c>
      <c r="M289" s="317" t="s">
        <v>85</v>
      </c>
      <c r="N289" s="317" t="s">
        <v>95</v>
      </c>
      <c r="O289" s="307" t="s">
        <v>35</v>
      </c>
      <c r="P289" s="314" t="s">
        <v>91</v>
      </c>
      <c r="Q289" s="501" t="s">
        <v>435</v>
      </c>
      <c r="R289" s="315" t="s">
        <v>94</v>
      </c>
      <c r="S289" s="176"/>
      <c r="T289" s="145"/>
      <c r="U289" s="145"/>
    </row>
    <row r="290" spans="1:21">
      <c r="A290" s="167">
        <v>865</v>
      </c>
      <c r="B290" s="55" t="s">
        <v>98</v>
      </c>
      <c r="C290" s="55">
        <v>12</v>
      </c>
      <c r="D290" s="55">
        <v>4</v>
      </c>
      <c r="E290" s="558" t="s">
        <v>584</v>
      </c>
      <c r="F290" s="55">
        <v>102.94</v>
      </c>
      <c r="G290" s="55"/>
      <c r="H290" s="502">
        <v>55.964912414550781</v>
      </c>
      <c r="I290" s="167">
        <v>-1.47</v>
      </c>
      <c r="J290" s="449">
        <v>-0.89</v>
      </c>
      <c r="K290" s="789">
        <f t="shared" si="5"/>
        <v>18.821476000000001</v>
      </c>
      <c r="L290" s="395" t="s">
        <v>99</v>
      </c>
      <c r="M290" s="317" t="s">
        <v>85</v>
      </c>
      <c r="N290" s="317" t="s">
        <v>95</v>
      </c>
      <c r="O290" s="307" t="s">
        <v>35</v>
      </c>
      <c r="P290" s="314" t="s">
        <v>91</v>
      </c>
      <c r="Q290" s="501" t="s">
        <v>435</v>
      </c>
      <c r="R290" s="315" t="s">
        <v>94</v>
      </c>
      <c r="S290" s="176"/>
      <c r="T290" s="145"/>
      <c r="U290" s="145"/>
    </row>
    <row r="291" spans="1:21">
      <c r="A291" s="167">
        <v>865</v>
      </c>
      <c r="B291" s="55" t="s">
        <v>98</v>
      </c>
      <c r="C291" s="55">
        <v>12</v>
      </c>
      <c r="D291" s="55">
        <v>4</v>
      </c>
      <c r="E291" s="558" t="s">
        <v>584</v>
      </c>
      <c r="F291" s="55">
        <v>102.94</v>
      </c>
      <c r="G291" s="55"/>
      <c r="H291" s="502">
        <v>55.964912414550781</v>
      </c>
      <c r="I291" s="167">
        <v>-1.75</v>
      </c>
      <c r="J291" s="449">
        <v>-0.89</v>
      </c>
      <c r="K291" s="789">
        <f t="shared" si="5"/>
        <v>20.156964000000002</v>
      </c>
      <c r="L291" s="395" t="s">
        <v>99</v>
      </c>
      <c r="M291" s="317" t="s">
        <v>85</v>
      </c>
      <c r="N291" s="317" t="s">
        <v>95</v>
      </c>
      <c r="O291" s="307" t="s">
        <v>35</v>
      </c>
      <c r="P291" s="314" t="s">
        <v>91</v>
      </c>
      <c r="Q291" s="501" t="s">
        <v>435</v>
      </c>
      <c r="R291" s="315" t="s">
        <v>94</v>
      </c>
      <c r="S291" s="176"/>
      <c r="T291" s="145"/>
      <c r="U291" s="145"/>
    </row>
    <row r="292" spans="1:21">
      <c r="A292" s="167">
        <v>865</v>
      </c>
      <c r="B292" s="55" t="s">
        <v>98</v>
      </c>
      <c r="C292" s="55">
        <v>12</v>
      </c>
      <c r="D292" s="55">
        <v>4</v>
      </c>
      <c r="E292" s="558" t="s">
        <v>584</v>
      </c>
      <c r="F292" s="55">
        <v>102.94</v>
      </c>
      <c r="G292" s="55"/>
      <c r="H292" s="502">
        <v>55.964912414550781</v>
      </c>
      <c r="I292" s="167">
        <v>-1.46</v>
      </c>
      <c r="J292" s="449">
        <v>-0.89</v>
      </c>
      <c r="K292" s="789">
        <f t="shared" si="5"/>
        <v>18.774041</v>
      </c>
      <c r="L292" s="395" t="s">
        <v>99</v>
      </c>
      <c r="M292" s="317" t="s">
        <v>85</v>
      </c>
      <c r="N292" s="317" t="s">
        <v>95</v>
      </c>
      <c r="O292" s="307" t="s">
        <v>35</v>
      </c>
      <c r="P292" s="314" t="s">
        <v>91</v>
      </c>
      <c r="Q292" s="501" t="s">
        <v>435</v>
      </c>
      <c r="R292" s="315" t="s">
        <v>94</v>
      </c>
      <c r="S292" s="176"/>
      <c r="T292" s="145"/>
      <c r="U292" s="145"/>
    </row>
    <row r="293" spans="1:21">
      <c r="A293" s="167">
        <v>865</v>
      </c>
      <c r="B293" s="55" t="s">
        <v>98</v>
      </c>
      <c r="C293" s="55">
        <v>12</v>
      </c>
      <c r="D293" s="55">
        <v>4</v>
      </c>
      <c r="E293" s="558" t="s">
        <v>584</v>
      </c>
      <c r="F293" s="55">
        <v>102.94</v>
      </c>
      <c r="G293" s="55"/>
      <c r="H293" s="502">
        <v>55.964912414550781</v>
      </c>
      <c r="I293" s="167">
        <v>-1.62</v>
      </c>
      <c r="J293" s="449">
        <v>-0.89</v>
      </c>
      <c r="K293" s="789">
        <f t="shared" si="5"/>
        <v>19.535161000000002</v>
      </c>
      <c r="L293" s="395" t="s">
        <v>99</v>
      </c>
      <c r="M293" s="317" t="s">
        <v>85</v>
      </c>
      <c r="N293" s="317" t="s">
        <v>95</v>
      </c>
      <c r="O293" s="307" t="s">
        <v>35</v>
      </c>
      <c r="P293" s="314" t="s">
        <v>91</v>
      </c>
      <c r="Q293" s="501" t="s">
        <v>435</v>
      </c>
      <c r="R293" s="315" t="s">
        <v>94</v>
      </c>
      <c r="S293" s="176"/>
      <c r="T293" s="145"/>
      <c r="U293" s="145"/>
    </row>
    <row r="294" spans="1:21">
      <c r="A294" s="167">
        <v>865</v>
      </c>
      <c r="B294" s="55" t="s">
        <v>98</v>
      </c>
      <c r="C294" s="55">
        <v>12</v>
      </c>
      <c r="D294" s="55">
        <v>4</v>
      </c>
      <c r="E294" s="558" t="s">
        <v>584</v>
      </c>
      <c r="F294" s="55">
        <v>102.94</v>
      </c>
      <c r="G294" s="55"/>
      <c r="H294" s="502">
        <v>55.964912414550781</v>
      </c>
      <c r="I294" s="167">
        <v>-1.96</v>
      </c>
      <c r="J294" s="449">
        <v>-0.89</v>
      </c>
      <c r="K294" s="789">
        <f t="shared" si="5"/>
        <v>21.167840999999999</v>
      </c>
      <c r="L294" s="395" t="s">
        <v>99</v>
      </c>
      <c r="M294" s="317" t="s">
        <v>85</v>
      </c>
      <c r="N294" s="317" t="s">
        <v>95</v>
      </c>
      <c r="O294" s="307" t="s">
        <v>35</v>
      </c>
      <c r="P294" s="314" t="s">
        <v>91</v>
      </c>
      <c r="Q294" s="501" t="s">
        <v>435</v>
      </c>
      <c r="R294" s="315" t="s">
        <v>94</v>
      </c>
      <c r="S294" s="176"/>
      <c r="T294" s="145"/>
      <c r="U294" s="145"/>
    </row>
    <row r="295" spans="1:21">
      <c r="A295" s="167">
        <v>865</v>
      </c>
      <c r="B295" s="55" t="s">
        <v>98</v>
      </c>
      <c r="C295" s="55">
        <v>12</v>
      </c>
      <c r="D295" s="55">
        <v>4</v>
      </c>
      <c r="E295" s="558" t="s">
        <v>584</v>
      </c>
      <c r="F295" s="55">
        <v>102.94</v>
      </c>
      <c r="G295" s="55"/>
      <c r="H295" s="502">
        <v>55.964912414550781</v>
      </c>
      <c r="I295" s="167">
        <v>-1.91</v>
      </c>
      <c r="J295" s="449">
        <v>-0.89</v>
      </c>
      <c r="K295" s="789">
        <f t="shared" si="5"/>
        <v>20.926436000000002</v>
      </c>
      <c r="L295" s="395" t="s">
        <v>99</v>
      </c>
      <c r="M295" s="317" t="s">
        <v>85</v>
      </c>
      <c r="N295" s="317" t="s">
        <v>95</v>
      </c>
      <c r="O295" s="307" t="s">
        <v>35</v>
      </c>
      <c r="P295" s="314" t="s">
        <v>91</v>
      </c>
      <c r="Q295" s="501" t="s">
        <v>435</v>
      </c>
      <c r="R295" s="315" t="s">
        <v>94</v>
      </c>
      <c r="S295" s="176"/>
      <c r="T295" s="145"/>
      <c r="U295" s="145"/>
    </row>
    <row r="296" spans="1:21">
      <c r="A296" s="167">
        <v>865</v>
      </c>
      <c r="B296" s="55" t="s">
        <v>98</v>
      </c>
      <c r="C296" s="55">
        <v>12</v>
      </c>
      <c r="D296" s="55">
        <v>4</v>
      </c>
      <c r="E296" s="558" t="s">
        <v>584</v>
      </c>
      <c r="F296" s="55">
        <v>102.94</v>
      </c>
      <c r="G296" s="55"/>
      <c r="H296" s="502">
        <v>55.964912414550781</v>
      </c>
      <c r="I296" s="167">
        <v>-1.31</v>
      </c>
      <c r="J296" s="449">
        <v>-0.89</v>
      </c>
      <c r="K296" s="789">
        <f t="shared" si="5"/>
        <v>18.064675999999999</v>
      </c>
      <c r="L296" s="395" t="s">
        <v>99</v>
      </c>
      <c r="M296" s="317" t="s">
        <v>85</v>
      </c>
      <c r="N296" s="317" t="s">
        <v>95</v>
      </c>
      <c r="O296" s="307" t="s">
        <v>35</v>
      </c>
      <c r="P296" s="314" t="s">
        <v>91</v>
      </c>
      <c r="Q296" s="501" t="s">
        <v>435</v>
      </c>
      <c r="R296" s="315" t="s">
        <v>94</v>
      </c>
      <c r="S296" s="176"/>
      <c r="T296" s="145"/>
      <c r="U296" s="145"/>
    </row>
    <row r="297" spans="1:21">
      <c r="A297" s="167">
        <v>865</v>
      </c>
      <c r="B297" s="55" t="s">
        <v>98</v>
      </c>
      <c r="C297" s="55">
        <v>12</v>
      </c>
      <c r="D297" s="55">
        <v>4</v>
      </c>
      <c r="E297" s="558" t="s">
        <v>584</v>
      </c>
      <c r="F297" s="55">
        <v>102.94</v>
      </c>
      <c r="G297" s="55"/>
      <c r="H297" s="502">
        <v>55.964912414550781</v>
      </c>
      <c r="I297" s="167">
        <v>-1.19</v>
      </c>
      <c r="J297" s="449">
        <v>-0.89</v>
      </c>
      <c r="K297" s="789">
        <f t="shared" si="5"/>
        <v>17.5001</v>
      </c>
      <c r="L297" s="395" t="s">
        <v>99</v>
      </c>
      <c r="M297" s="317" t="s">
        <v>85</v>
      </c>
      <c r="N297" s="317" t="s">
        <v>95</v>
      </c>
      <c r="O297" s="307" t="s">
        <v>35</v>
      </c>
      <c r="P297" s="314" t="s">
        <v>91</v>
      </c>
      <c r="Q297" s="501" t="s">
        <v>435</v>
      </c>
      <c r="R297" s="315" t="s">
        <v>94</v>
      </c>
      <c r="S297" s="176"/>
      <c r="T297" s="145"/>
      <c r="U297" s="145"/>
    </row>
    <row r="298" spans="1:21">
      <c r="A298" s="167">
        <v>865</v>
      </c>
      <c r="B298" s="55" t="s">
        <v>98</v>
      </c>
      <c r="C298" s="55">
        <v>12</v>
      </c>
      <c r="D298" s="55">
        <v>4</v>
      </c>
      <c r="E298" s="558" t="s">
        <v>584</v>
      </c>
      <c r="F298" s="55">
        <v>102.94</v>
      </c>
      <c r="G298" s="55"/>
      <c r="H298" s="502">
        <v>55.964912414550781</v>
      </c>
      <c r="I298" s="167">
        <v>-2.08</v>
      </c>
      <c r="J298" s="449">
        <v>-0.89</v>
      </c>
      <c r="K298" s="789">
        <f t="shared" si="5"/>
        <v>21.749048999999999</v>
      </c>
      <c r="L298" s="395" t="s">
        <v>99</v>
      </c>
      <c r="M298" s="317" t="s">
        <v>85</v>
      </c>
      <c r="N298" s="317" t="s">
        <v>95</v>
      </c>
      <c r="O298" s="307" t="s">
        <v>35</v>
      </c>
      <c r="P298" s="314" t="s">
        <v>91</v>
      </c>
      <c r="Q298" s="501" t="s">
        <v>435</v>
      </c>
      <c r="R298" s="315" t="s">
        <v>94</v>
      </c>
      <c r="S298" s="176"/>
      <c r="T298" s="145"/>
      <c r="U298" s="145"/>
    </row>
    <row r="299" spans="1:21">
      <c r="A299" s="167">
        <v>865</v>
      </c>
      <c r="B299" s="55" t="s">
        <v>98</v>
      </c>
      <c r="C299" s="55">
        <v>12</v>
      </c>
      <c r="D299" s="55">
        <v>4</v>
      </c>
      <c r="E299" s="558" t="s">
        <v>584</v>
      </c>
      <c r="F299" s="55">
        <v>102.94</v>
      </c>
      <c r="G299" s="55"/>
      <c r="H299" s="502">
        <v>55.964912414550781</v>
      </c>
      <c r="I299" s="167">
        <v>-1.4</v>
      </c>
      <c r="J299" s="449">
        <v>-0.89</v>
      </c>
      <c r="K299" s="789">
        <f t="shared" si="5"/>
        <v>18.489809000000001</v>
      </c>
      <c r="L299" s="395" t="s">
        <v>99</v>
      </c>
      <c r="M299" s="317" t="s">
        <v>85</v>
      </c>
      <c r="N299" s="317" t="s">
        <v>95</v>
      </c>
      <c r="O299" s="307" t="s">
        <v>35</v>
      </c>
      <c r="P299" s="314" t="s">
        <v>91</v>
      </c>
      <c r="Q299" s="501" t="s">
        <v>435</v>
      </c>
      <c r="R299" s="315" t="s">
        <v>94</v>
      </c>
      <c r="S299" s="176"/>
      <c r="T299" s="145"/>
      <c r="U299" s="145"/>
    </row>
    <row r="300" spans="1:21">
      <c r="A300" s="167">
        <v>865</v>
      </c>
      <c r="B300" s="55" t="s">
        <v>98</v>
      </c>
      <c r="C300" s="55">
        <v>12</v>
      </c>
      <c r="D300" s="55">
        <v>4</v>
      </c>
      <c r="E300" s="558" t="s">
        <v>102</v>
      </c>
      <c r="F300" s="55">
        <v>102.96</v>
      </c>
      <c r="G300" s="55"/>
      <c r="H300" s="502">
        <v>55.967369079589844</v>
      </c>
      <c r="I300" s="167">
        <v>-1.46</v>
      </c>
      <c r="J300" s="449">
        <v>-0.89</v>
      </c>
      <c r="K300" s="789">
        <f t="shared" si="5"/>
        <v>18.774041</v>
      </c>
      <c r="L300" s="395" t="s">
        <v>99</v>
      </c>
      <c r="M300" s="317" t="s">
        <v>85</v>
      </c>
      <c r="N300" s="317" t="s">
        <v>95</v>
      </c>
      <c r="O300" s="307" t="s">
        <v>35</v>
      </c>
      <c r="P300" s="314" t="s">
        <v>91</v>
      </c>
      <c r="Q300" s="501" t="s">
        <v>435</v>
      </c>
      <c r="R300" s="315" t="s">
        <v>94</v>
      </c>
      <c r="S300" s="176"/>
      <c r="T300" s="145"/>
      <c r="U300" s="145"/>
    </row>
    <row r="301" spans="1:21">
      <c r="A301" s="167">
        <v>865</v>
      </c>
      <c r="B301" s="55" t="s">
        <v>98</v>
      </c>
      <c r="C301" s="55">
        <v>12</v>
      </c>
      <c r="D301" s="55">
        <v>4</v>
      </c>
      <c r="E301" s="558" t="s">
        <v>102</v>
      </c>
      <c r="F301" s="55">
        <v>102.96</v>
      </c>
      <c r="G301" s="55"/>
      <c r="H301" s="502">
        <v>55.967369079589844</v>
      </c>
      <c r="I301" s="167">
        <v>-1.1399999999999999</v>
      </c>
      <c r="J301" s="449">
        <v>-0.89</v>
      </c>
      <c r="K301" s="789">
        <f t="shared" si="5"/>
        <v>17.265625</v>
      </c>
      <c r="L301" s="395" t="s">
        <v>99</v>
      </c>
      <c r="M301" s="317" t="s">
        <v>85</v>
      </c>
      <c r="N301" s="317" t="s">
        <v>95</v>
      </c>
      <c r="O301" s="307" t="s">
        <v>35</v>
      </c>
      <c r="P301" s="314" t="s">
        <v>91</v>
      </c>
      <c r="Q301" s="501" t="s">
        <v>435</v>
      </c>
      <c r="R301" s="315" t="s">
        <v>94</v>
      </c>
      <c r="S301" s="176"/>
      <c r="T301" s="145"/>
      <c r="U301" s="145"/>
    </row>
    <row r="302" spans="1:21">
      <c r="A302" s="167">
        <v>865</v>
      </c>
      <c r="B302" s="55" t="s">
        <v>98</v>
      </c>
      <c r="C302" s="55">
        <v>12</v>
      </c>
      <c r="D302" s="55">
        <v>4</v>
      </c>
      <c r="E302" s="558" t="s">
        <v>102</v>
      </c>
      <c r="F302" s="55">
        <v>102.96</v>
      </c>
      <c r="G302" s="55"/>
      <c r="H302" s="502">
        <v>55.967369079589844</v>
      </c>
      <c r="I302" s="167">
        <v>-1.1299999999999999</v>
      </c>
      <c r="J302" s="449">
        <v>-0.89</v>
      </c>
      <c r="K302" s="789">
        <f t="shared" si="5"/>
        <v>17.218783999999999</v>
      </c>
      <c r="L302" s="395" t="s">
        <v>99</v>
      </c>
      <c r="M302" s="317" t="s">
        <v>85</v>
      </c>
      <c r="N302" s="317" t="s">
        <v>95</v>
      </c>
      <c r="O302" s="307" t="s">
        <v>35</v>
      </c>
      <c r="P302" s="314" t="s">
        <v>91</v>
      </c>
      <c r="Q302" s="501" t="s">
        <v>435</v>
      </c>
      <c r="R302" s="315" t="s">
        <v>94</v>
      </c>
      <c r="S302" s="176"/>
      <c r="T302" s="145"/>
      <c r="U302" s="145"/>
    </row>
    <row r="303" spans="1:21">
      <c r="A303" s="167">
        <v>865</v>
      </c>
      <c r="B303" s="55" t="s">
        <v>98</v>
      </c>
      <c r="C303" s="55">
        <v>12</v>
      </c>
      <c r="D303" s="55">
        <v>4</v>
      </c>
      <c r="E303" s="558" t="s">
        <v>102</v>
      </c>
      <c r="F303" s="55">
        <v>102.96</v>
      </c>
      <c r="G303" s="55"/>
      <c r="H303" s="502">
        <v>55.967369079589844</v>
      </c>
      <c r="I303" s="167">
        <v>-1.21</v>
      </c>
      <c r="J303" s="449">
        <v>-0.89</v>
      </c>
      <c r="K303" s="789">
        <f t="shared" si="5"/>
        <v>17.594016</v>
      </c>
      <c r="L303" s="395" t="s">
        <v>99</v>
      </c>
      <c r="M303" s="317" t="s">
        <v>85</v>
      </c>
      <c r="N303" s="317" t="s">
        <v>95</v>
      </c>
      <c r="O303" s="307" t="s">
        <v>35</v>
      </c>
      <c r="P303" s="314" t="s">
        <v>91</v>
      </c>
      <c r="Q303" s="501" t="s">
        <v>435</v>
      </c>
      <c r="R303" s="315" t="s">
        <v>94</v>
      </c>
      <c r="S303" s="176"/>
      <c r="T303" s="145"/>
      <c r="U303" s="145"/>
    </row>
    <row r="304" spans="1:21">
      <c r="A304" s="167">
        <v>865</v>
      </c>
      <c r="B304" s="55" t="s">
        <v>98</v>
      </c>
      <c r="C304" s="55">
        <v>12</v>
      </c>
      <c r="D304" s="55">
        <v>4</v>
      </c>
      <c r="E304" s="558" t="s">
        <v>102</v>
      </c>
      <c r="F304" s="55">
        <v>102.96</v>
      </c>
      <c r="G304" s="55"/>
      <c r="H304" s="502">
        <v>55.967369079589844</v>
      </c>
      <c r="I304" s="167">
        <v>-1.5</v>
      </c>
      <c r="J304" s="449">
        <v>-0.89</v>
      </c>
      <c r="K304" s="789">
        <f t="shared" si="5"/>
        <v>18.963889000000002</v>
      </c>
      <c r="L304" s="395" t="s">
        <v>99</v>
      </c>
      <c r="M304" s="317" t="s">
        <v>85</v>
      </c>
      <c r="N304" s="317" t="s">
        <v>95</v>
      </c>
      <c r="O304" s="307" t="s">
        <v>35</v>
      </c>
      <c r="P304" s="314" t="s">
        <v>91</v>
      </c>
      <c r="Q304" s="501" t="s">
        <v>435</v>
      </c>
      <c r="R304" s="315" t="s">
        <v>94</v>
      </c>
      <c r="S304" s="176"/>
      <c r="T304" s="145"/>
      <c r="U304" s="145"/>
    </row>
    <row r="305" spans="1:21">
      <c r="A305" s="167">
        <v>865</v>
      </c>
      <c r="B305" s="55" t="s">
        <v>98</v>
      </c>
      <c r="C305" s="55">
        <v>12</v>
      </c>
      <c r="D305" s="55">
        <v>4</v>
      </c>
      <c r="E305" s="558" t="s">
        <v>102</v>
      </c>
      <c r="F305" s="55">
        <v>102.96</v>
      </c>
      <c r="G305" s="55"/>
      <c r="H305" s="502">
        <v>55.967369079589844</v>
      </c>
      <c r="I305" s="167">
        <v>-1.26</v>
      </c>
      <c r="J305" s="449">
        <v>-0.89</v>
      </c>
      <c r="K305" s="789">
        <f t="shared" si="5"/>
        <v>17.829121000000001</v>
      </c>
      <c r="L305" s="395" t="s">
        <v>99</v>
      </c>
      <c r="M305" s="317" t="s">
        <v>85</v>
      </c>
      <c r="N305" s="317" t="s">
        <v>95</v>
      </c>
      <c r="O305" s="307" t="s">
        <v>35</v>
      </c>
      <c r="P305" s="314" t="s">
        <v>91</v>
      </c>
      <c r="Q305" s="501" t="s">
        <v>435</v>
      </c>
      <c r="R305" s="315" t="s">
        <v>94</v>
      </c>
      <c r="S305" s="176"/>
      <c r="T305" s="145"/>
      <c r="U305" s="145"/>
    </row>
    <row r="306" spans="1:21">
      <c r="A306" s="167">
        <v>865</v>
      </c>
      <c r="B306" s="55" t="s">
        <v>98</v>
      </c>
      <c r="C306" s="55">
        <v>12</v>
      </c>
      <c r="D306" s="55">
        <v>4</v>
      </c>
      <c r="E306" s="558" t="s">
        <v>102</v>
      </c>
      <c r="F306" s="55">
        <v>102.96</v>
      </c>
      <c r="G306" s="55"/>
      <c r="H306" s="502">
        <v>55.967369079589844</v>
      </c>
      <c r="I306" s="167">
        <v>-1.25</v>
      </c>
      <c r="J306" s="449">
        <v>-0.89</v>
      </c>
      <c r="K306" s="789">
        <f t="shared" si="5"/>
        <v>17.782064000000002</v>
      </c>
      <c r="L306" s="395" t="s">
        <v>99</v>
      </c>
      <c r="M306" s="317" t="s">
        <v>85</v>
      </c>
      <c r="N306" s="317" t="s">
        <v>95</v>
      </c>
      <c r="O306" s="307" t="s">
        <v>35</v>
      </c>
      <c r="P306" s="314" t="s">
        <v>91</v>
      </c>
      <c r="Q306" s="501" t="s">
        <v>435</v>
      </c>
      <c r="R306" s="315" t="s">
        <v>94</v>
      </c>
      <c r="S306" s="176"/>
      <c r="T306" s="145"/>
      <c r="U306" s="145"/>
    </row>
    <row r="307" spans="1:21">
      <c r="A307" s="167">
        <v>865</v>
      </c>
      <c r="B307" s="55" t="s">
        <v>98</v>
      </c>
      <c r="C307" s="55">
        <v>12</v>
      </c>
      <c r="D307" s="55">
        <v>4</v>
      </c>
      <c r="E307" s="558" t="s">
        <v>102</v>
      </c>
      <c r="F307" s="55">
        <v>102.96</v>
      </c>
      <c r="G307" s="55"/>
      <c r="H307" s="502">
        <v>55.967369079589844</v>
      </c>
      <c r="I307" s="167">
        <v>-1.19</v>
      </c>
      <c r="J307" s="449">
        <v>-0.89</v>
      </c>
      <c r="K307" s="789">
        <f t="shared" si="5"/>
        <v>17.5001</v>
      </c>
      <c r="L307" s="395" t="s">
        <v>99</v>
      </c>
      <c r="M307" s="317" t="s">
        <v>85</v>
      </c>
      <c r="N307" s="317" t="s">
        <v>95</v>
      </c>
      <c r="O307" s="307" t="s">
        <v>35</v>
      </c>
      <c r="P307" s="314" t="s">
        <v>91</v>
      </c>
      <c r="Q307" s="501" t="s">
        <v>435</v>
      </c>
      <c r="R307" s="315" t="s">
        <v>94</v>
      </c>
      <c r="S307" s="176"/>
      <c r="T307" s="145"/>
      <c r="U307" s="145"/>
    </row>
    <row r="308" spans="1:21">
      <c r="A308" s="177">
        <v>865</v>
      </c>
      <c r="B308" s="221" t="s">
        <v>98</v>
      </c>
      <c r="C308" s="221">
        <v>12</v>
      </c>
      <c r="D308" s="221">
        <v>4</v>
      </c>
      <c r="E308" s="559" t="s">
        <v>103</v>
      </c>
      <c r="F308" s="221">
        <v>102.98</v>
      </c>
      <c r="G308" s="221"/>
      <c r="H308" s="503">
        <v>55.969825744628906</v>
      </c>
      <c r="I308" s="177">
        <v>-2.25</v>
      </c>
      <c r="J308" s="456">
        <v>-0.89</v>
      </c>
      <c r="K308" s="790">
        <f t="shared" si="5"/>
        <v>22.576864</v>
      </c>
      <c r="L308" s="229" t="s">
        <v>99</v>
      </c>
      <c r="M308" s="386" t="s">
        <v>85</v>
      </c>
      <c r="N308" s="386" t="s">
        <v>95</v>
      </c>
      <c r="O308" s="387" t="s">
        <v>35</v>
      </c>
      <c r="P308" s="388" t="s">
        <v>91</v>
      </c>
      <c r="Q308" s="504" t="s">
        <v>435</v>
      </c>
      <c r="R308" s="315" t="s">
        <v>94</v>
      </c>
      <c r="S308" s="176"/>
      <c r="T308" s="145"/>
      <c r="U308" s="145"/>
    </row>
    <row r="309" spans="1:21" s="270" customFormat="1">
      <c r="A309" s="560">
        <v>865</v>
      </c>
      <c r="B309" s="262" t="s">
        <v>98</v>
      </c>
      <c r="C309" s="262">
        <v>12</v>
      </c>
      <c r="D309" s="262">
        <v>3</v>
      </c>
      <c r="E309" s="262" t="s">
        <v>101</v>
      </c>
      <c r="F309" s="47">
        <v>102</v>
      </c>
      <c r="G309" s="244"/>
      <c r="H309" s="561">
        <v>55.815998077392578</v>
      </c>
      <c r="I309" s="550">
        <v>-2.16</v>
      </c>
      <c r="J309" s="449">
        <v>-0.89</v>
      </c>
      <c r="K309" s="789">
        <f t="shared" si="5"/>
        <v>22.137961000000004</v>
      </c>
      <c r="L309" s="562" t="s">
        <v>33</v>
      </c>
      <c r="M309" s="563" t="s">
        <v>74</v>
      </c>
      <c r="N309" s="563" t="s">
        <v>95</v>
      </c>
      <c r="O309" s="298" t="s">
        <v>35</v>
      </c>
      <c r="P309" s="314" t="s">
        <v>91</v>
      </c>
      <c r="Q309" s="501" t="s">
        <v>435</v>
      </c>
      <c r="R309" s="564" t="s">
        <v>400</v>
      </c>
      <c r="S309" s="565"/>
      <c r="T309" s="71"/>
      <c r="U309" s="71"/>
    </row>
    <row r="310" spans="1:21" s="270" customFormat="1">
      <c r="A310" s="560">
        <v>865</v>
      </c>
      <c r="B310" s="262" t="s">
        <v>98</v>
      </c>
      <c r="C310" s="262">
        <v>12</v>
      </c>
      <c r="D310" s="262">
        <v>3</v>
      </c>
      <c r="E310" s="262" t="s">
        <v>104</v>
      </c>
      <c r="F310" s="47">
        <v>102.1</v>
      </c>
      <c r="G310" s="244"/>
      <c r="H310" s="561">
        <v>55.832000732421875</v>
      </c>
      <c r="I310" s="550">
        <v>-2.0499999999999998</v>
      </c>
      <c r="J310" s="449">
        <v>-0.89</v>
      </c>
      <c r="K310" s="789">
        <f t="shared" si="5"/>
        <v>21.603503999999997</v>
      </c>
      <c r="L310" s="562" t="s">
        <v>33</v>
      </c>
      <c r="M310" s="563" t="s">
        <v>74</v>
      </c>
      <c r="N310" s="563" t="s">
        <v>95</v>
      </c>
      <c r="O310" s="298" t="s">
        <v>35</v>
      </c>
      <c r="P310" s="314" t="s">
        <v>91</v>
      </c>
      <c r="Q310" s="501" t="s">
        <v>435</v>
      </c>
      <c r="R310" s="564" t="s">
        <v>400</v>
      </c>
      <c r="S310" s="565"/>
      <c r="T310" s="71"/>
      <c r="U310" s="71"/>
    </row>
    <row r="311" spans="1:21" s="270" customFormat="1">
      <c r="A311" s="560">
        <v>865</v>
      </c>
      <c r="B311" s="262" t="s">
        <v>98</v>
      </c>
      <c r="C311" s="262">
        <v>12</v>
      </c>
      <c r="D311" s="262">
        <v>3</v>
      </c>
      <c r="E311" s="262" t="s">
        <v>105</v>
      </c>
      <c r="F311" s="47">
        <v>102.2</v>
      </c>
      <c r="G311" s="244"/>
      <c r="H311" s="561">
        <v>55.847999572753906</v>
      </c>
      <c r="I311" s="550">
        <v>-1.95</v>
      </c>
      <c r="J311" s="449">
        <v>-0.89</v>
      </c>
      <c r="K311" s="789">
        <f t="shared" si="5"/>
        <v>21.119523999999998</v>
      </c>
      <c r="L311" s="562" t="s">
        <v>33</v>
      </c>
      <c r="M311" s="563" t="s">
        <v>74</v>
      </c>
      <c r="N311" s="563" t="s">
        <v>95</v>
      </c>
      <c r="O311" s="298" t="s">
        <v>35</v>
      </c>
      <c r="P311" s="314" t="s">
        <v>91</v>
      </c>
      <c r="Q311" s="501" t="s">
        <v>435</v>
      </c>
      <c r="R311" s="564" t="s">
        <v>400</v>
      </c>
      <c r="S311" s="565"/>
      <c r="T311" s="71"/>
      <c r="U311" s="71"/>
    </row>
    <row r="312" spans="1:21" s="270" customFormat="1">
      <c r="A312" s="560">
        <v>865</v>
      </c>
      <c r="B312" s="262" t="s">
        <v>98</v>
      </c>
      <c r="C312" s="262">
        <v>12</v>
      </c>
      <c r="D312" s="262">
        <v>3</v>
      </c>
      <c r="E312" s="262"/>
      <c r="F312" s="47">
        <v>102.26</v>
      </c>
      <c r="G312" s="244"/>
      <c r="H312" s="561">
        <v>55.857601165771484</v>
      </c>
      <c r="I312" s="550">
        <v>-1.93</v>
      </c>
      <c r="J312" s="451">
        <v>-0.89</v>
      </c>
      <c r="K312" s="789">
        <f t="shared" si="5"/>
        <v>21.022944000000003</v>
      </c>
      <c r="L312" s="562"/>
      <c r="M312" s="563"/>
      <c r="N312" s="563"/>
      <c r="O312" s="298"/>
      <c r="P312" s="306" t="s">
        <v>91</v>
      </c>
      <c r="Q312" s="800" t="s">
        <v>435</v>
      </c>
      <c r="S312" s="799" t="s">
        <v>743</v>
      </c>
      <c r="T312" s="71"/>
      <c r="U312" s="71"/>
    </row>
    <row r="313" spans="1:21" s="270" customFormat="1">
      <c r="A313" s="560">
        <v>865</v>
      </c>
      <c r="B313" s="262" t="s">
        <v>98</v>
      </c>
      <c r="C313" s="262">
        <v>12</v>
      </c>
      <c r="D313" s="262">
        <v>3</v>
      </c>
      <c r="E313" s="262"/>
      <c r="F313" s="47">
        <v>102.4</v>
      </c>
      <c r="G313" s="244"/>
      <c r="H313" s="561">
        <v>55.880001068115234</v>
      </c>
      <c r="I313" s="550">
        <v>-1.89</v>
      </c>
      <c r="J313" s="451">
        <v>-0.89</v>
      </c>
      <c r="K313" s="789">
        <f t="shared" si="5"/>
        <v>20.830000000000002</v>
      </c>
      <c r="L313" s="562"/>
      <c r="M313" s="563"/>
      <c r="N313" s="563"/>
      <c r="O313" s="298"/>
      <c r="P313" s="306" t="s">
        <v>91</v>
      </c>
      <c r="Q313" s="800" t="s">
        <v>435</v>
      </c>
      <c r="R313" s="564"/>
      <c r="S313" s="799" t="s">
        <v>743</v>
      </c>
      <c r="T313" s="71"/>
      <c r="U313" s="71"/>
    </row>
    <row r="314" spans="1:21" s="270" customFormat="1">
      <c r="A314" s="560">
        <v>865</v>
      </c>
      <c r="B314" s="262" t="s">
        <v>98</v>
      </c>
      <c r="C314" s="262">
        <v>12</v>
      </c>
      <c r="D314" s="262">
        <v>3</v>
      </c>
      <c r="E314" s="801"/>
      <c r="F314" s="47">
        <v>102.51</v>
      </c>
      <c r="G314" s="244"/>
      <c r="H314" s="561">
        <v>55.897598266601563</v>
      </c>
      <c r="I314" s="550">
        <v>-1.86</v>
      </c>
      <c r="J314" s="451">
        <v>-0.89</v>
      </c>
      <c r="K314" s="789">
        <f t="shared" si="5"/>
        <v>20.685480999999999</v>
      </c>
      <c r="L314" s="562"/>
      <c r="M314" s="563"/>
      <c r="N314" s="563"/>
      <c r="O314" s="298"/>
      <c r="P314" s="306" t="s">
        <v>91</v>
      </c>
      <c r="Q314" s="800" t="s">
        <v>435</v>
      </c>
      <c r="R314" s="564"/>
      <c r="S314" s="799" t="s">
        <v>743</v>
      </c>
      <c r="T314" s="71"/>
      <c r="U314" s="71"/>
    </row>
    <row r="315" spans="1:21" s="270" customFormat="1">
      <c r="A315" s="560">
        <v>865</v>
      </c>
      <c r="B315" s="262" t="s">
        <v>98</v>
      </c>
      <c r="C315" s="262">
        <v>12</v>
      </c>
      <c r="D315" s="262">
        <v>3</v>
      </c>
      <c r="E315" s="262" t="s">
        <v>116</v>
      </c>
      <c r="F315" s="47">
        <v>102.6</v>
      </c>
      <c r="G315" s="244"/>
      <c r="H315" s="561">
        <v>55.911998748779297</v>
      </c>
      <c r="I315" s="550">
        <v>-1.83</v>
      </c>
      <c r="J315" s="451">
        <v>-0.89</v>
      </c>
      <c r="K315" s="789">
        <f t="shared" si="5"/>
        <v>20.541124</v>
      </c>
      <c r="L315" s="562" t="s">
        <v>33</v>
      </c>
      <c r="M315" s="563" t="s">
        <v>74</v>
      </c>
      <c r="N315" s="563" t="s">
        <v>95</v>
      </c>
      <c r="O315" s="298" t="s">
        <v>35</v>
      </c>
      <c r="P315" s="306" t="s">
        <v>91</v>
      </c>
      <c r="Q315" s="800" t="s">
        <v>435</v>
      </c>
      <c r="R315" s="564" t="s">
        <v>400</v>
      </c>
      <c r="S315" s="565"/>
      <c r="T315" s="71"/>
      <c r="U315" s="71"/>
    </row>
    <row r="316" spans="1:21" s="270" customFormat="1">
      <c r="A316" s="560">
        <v>865</v>
      </c>
      <c r="B316" s="262" t="s">
        <v>98</v>
      </c>
      <c r="C316" s="262">
        <v>12</v>
      </c>
      <c r="D316" s="262">
        <v>3</v>
      </c>
      <c r="E316" s="262" t="s">
        <v>115</v>
      </c>
      <c r="F316" s="47">
        <v>102.7</v>
      </c>
      <c r="G316" s="244"/>
      <c r="H316" s="561">
        <v>55.927997589111328</v>
      </c>
      <c r="I316" s="550">
        <v>-1.8</v>
      </c>
      <c r="J316" s="451">
        <v>-0.89</v>
      </c>
      <c r="K316" s="789">
        <f t="shared" si="5"/>
        <v>20.396929</v>
      </c>
      <c r="L316" s="562" t="s">
        <v>33</v>
      </c>
      <c r="M316" s="563" t="s">
        <v>74</v>
      </c>
      <c r="N316" s="563" t="s">
        <v>95</v>
      </c>
      <c r="O316" s="298" t="s">
        <v>35</v>
      </c>
      <c r="P316" s="306" t="s">
        <v>91</v>
      </c>
      <c r="Q316" s="800" t="s">
        <v>435</v>
      </c>
      <c r="R316" s="564" t="s">
        <v>400</v>
      </c>
      <c r="S316" s="565"/>
      <c r="T316" s="71"/>
      <c r="U316" s="71"/>
    </row>
    <row r="317" spans="1:21" s="270" customFormat="1">
      <c r="A317" s="560">
        <v>865</v>
      </c>
      <c r="B317" s="262" t="s">
        <v>98</v>
      </c>
      <c r="C317" s="262">
        <v>12</v>
      </c>
      <c r="D317" s="262">
        <v>3</v>
      </c>
      <c r="E317" s="262"/>
      <c r="F317" s="47">
        <v>102.72</v>
      </c>
      <c r="G317" s="244"/>
      <c r="H317" s="561">
        <v>55.931198120117188</v>
      </c>
      <c r="I317" s="550">
        <v>-1.82</v>
      </c>
      <c r="J317" s="451">
        <v>-0.89</v>
      </c>
      <c r="K317" s="789">
        <f t="shared" si="5"/>
        <v>20.493041000000002</v>
      </c>
      <c r="L317" s="562"/>
      <c r="M317" s="563"/>
      <c r="N317" s="563"/>
      <c r="O317" s="298"/>
      <c r="P317" s="306" t="s">
        <v>91</v>
      </c>
      <c r="Q317" s="800" t="s">
        <v>435</v>
      </c>
      <c r="R317" s="564"/>
      <c r="S317" s="799" t="s">
        <v>743</v>
      </c>
      <c r="T317" s="71"/>
      <c r="U317" s="71"/>
    </row>
    <row r="318" spans="1:21" s="270" customFormat="1">
      <c r="A318" s="560">
        <v>865</v>
      </c>
      <c r="B318" s="262" t="s">
        <v>98</v>
      </c>
      <c r="C318" s="262">
        <v>12</v>
      </c>
      <c r="D318" s="262">
        <v>3</v>
      </c>
      <c r="E318" s="262"/>
      <c r="F318" s="47">
        <v>102.75</v>
      </c>
      <c r="G318" s="244"/>
      <c r="H318" s="561">
        <v>55.936000823974609</v>
      </c>
      <c r="I318" s="550">
        <v>-1.85</v>
      </c>
      <c r="J318" s="451">
        <v>-0.89</v>
      </c>
      <c r="K318" s="789">
        <f t="shared" si="5"/>
        <v>20.637344000000002</v>
      </c>
      <c r="L318" s="562"/>
      <c r="M318" s="563"/>
      <c r="N318" s="563"/>
      <c r="O318" s="298"/>
      <c r="P318" s="306" t="s">
        <v>91</v>
      </c>
      <c r="Q318" s="800" t="s">
        <v>435</v>
      </c>
      <c r="R318" s="564"/>
      <c r="S318" s="799" t="s">
        <v>743</v>
      </c>
      <c r="T318" s="71"/>
      <c r="U318" s="71"/>
    </row>
    <row r="319" spans="1:21" s="270" customFormat="1">
      <c r="A319" s="560">
        <v>865</v>
      </c>
      <c r="B319" s="262" t="s">
        <v>98</v>
      </c>
      <c r="C319" s="262">
        <v>12</v>
      </c>
      <c r="D319" s="262">
        <v>4</v>
      </c>
      <c r="E319" s="262" t="s">
        <v>106</v>
      </c>
      <c r="F319" s="47">
        <v>102.8</v>
      </c>
      <c r="G319" s="244"/>
      <c r="H319" s="561">
        <v>55.944000244140625</v>
      </c>
      <c r="I319" s="550">
        <v>-1.9</v>
      </c>
      <c r="J319" s="451">
        <v>-0.89</v>
      </c>
      <c r="K319" s="789">
        <f t="shared" si="5"/>
        <v>20.878209000000002</v>
      </c>
      <c r="L319" s="562" t="s">
        <v>33</v>
      </c>
      <c r="M319" s="563" t="s">
        <v>74</v>
      </c>
      <c r="N319" s="563" t="s">
        <v>95</v>
      </c>
      <c r="O319" s="298" t="s">
        <v>35</v>
      </c>
      <c r="P319" s="306" t="s">
        <v>91</v>
      </c>
      <c r="Q319" s="800" t="s">
        <v>435</v>
      </c>
      <c r="R319" s="564" t="s">
        <v>400</v>
      </c>
      <c r="S319" s="565"/>
      <c r="T319" s="71"/>
      <c r="U319" s="71"/>
    </row>
    <row r="320" spans="1:21" s="270" customFormat="1">
      <c r="A320" s="560">
        <v>865</v>
      </c>
      <c r="B320" s="262" t="s">
        <v>98</v>
      </c>
      <c r="C320" s="262">
        <v>12</v>
      </c>
      <c r="D320" s="262">
        <v>4</v>
      </c>
      <c r="E320" s="262"/>
      <c r="F320" s="47">
        <v>102.83</v>
      </c>
      <c r="G320" s="244"/>
      <c r="H320" s="561">
        <v>55.948799133300781</v>
      </c>
      <c r="I320" s="550">
        <v>-1.97</v>
      </c>
      <c r="J320" s="451">
        <v>-0.89</v>
      </c>
      <c r="K320" s="789">
        <f t="shared" si="5"/>
        <v>21.216176000000001</v>
      </c>
      <c r="L320" s="562"/>
      <c r="M320" s="563"/>
      <c r="N320" s="563"/>
      <c r="O320" s="298"/>
      <c r="P320" s="306" t="s">
        <v>91</v>
      </c>
      <c r="Q320" s="800" t="s">
        <v>435</v>
      </c>
      <c r="R320" s="564"/>
      <c r="S320" s="799" t="s">
        <v>743</v>
      </c>
      <c r="T320" s="71"/>
      <c r="U320" s="71"/>
    </row>
    <row r="321" spans="1:21" s="270" customFormat="1">
      <c r="A321" s="560">
        <v>865</v>
      </c>
      <c r="B321" s="262" t="s">
        <v>98</v>
      </c>
      <c r="C321" s="262">
        <v>12</v>
      </c>
      <c r="D321" s="262">
        <v>4</v>
      </c>
      <c r="E321" s="262" t="s">
        <v>114</v>
      </c>
      <c r="F321" s="47">
        <v>102.9</v>
      </c>
      <c r="G321" s="244"/>
      <c r="H321" s="561">
        <v>55.959999084472656</v>
      </c>
      <c r="I321" s="550">
        <v>-2.12</v>
      </c>
      <c r="J321" s="451">
        <v>-0.89</v>
      </c>
      <c r="K321" s="789">
        <f t="shared" si="5"/>
        <v>21.943361000000003</v>
      </c>
      <c r="L321" s="562" t="s">
        <v>33</v>
      </c>
      <c r="M321" s="563" t="s">
        <v>74</v>
      </c>
      <c r="N321" s="563" t="s">
        <v>95</v>
      </c>
      <c r="O321" s="298" t="s">
        <v>35</v>
      </c>
      <c r="P321" s="306" t="s">
        <v>91</v>
      </c>
      <c r="Q321" s="800" t="s">
        <v>435</v>
      </c>
      <c r="R321" s="564" t="s">
        <v>400</v>
      </c>
      <c r="S321" s="565"/>
      <c r="T321" s="71"/>
      <c r="U321" s="71"/>
    </row>
    <row r="322" spans="1:21" s="270" customFormat="1">
      <c r="A322" s="560">
        <v>865</v>
      </c>
      <c r="B322" s="262" t="s">
        <v>98</v>
      </c>
      <c r="C322" s="262">
        <v>12</v>
      </c>
      <c r="D322" s="262">
        <v>4</v>
      </c>
      <c r="E322" s="262"/>
      <c r="F322" s="47">
        <v>102.96</v>
      </c>
      <c r="G322" s="244"/>
      <c r="H322" s="561">
        <v>55.967369079589844</v>
      </c>
      <c r="I322" s="550">
        <v>-2.09</v>
      </c>
      <c r="J322" s="451">
        <v>-0.89</v>
      </c>
      <c r="K322" s="789">
        <f t="shared" si="5"/>
        <v>21.797599999999999</v>
      </c>
      <c r="L322" s="562"/>
      <c r="M322" s="563"/>
      <c r="N322" s="563"/>
      <c r="O322" s="298"/>
      <c r="P322" s="306" t="s">
        <v>91</v>
      </c>
      <c r="Q322" s="800" t="s">
        <v>435</v>
      </c>
      <c r="R322" s="564"/>
      <c r="S322" s="799" t="s">
        <v>743</v>
      </c>
      <c r="T322" s="71"/>
      <c r="U322" s="71"/>
    </row>
    <row r="323" spans="1:21" s="270" customFormat="1">
      <c r="A323" s="560">
        <v>865</v>
      </c>
      <c r="B323" s="262" t="s">
        <v>98</v>
      </c>
      <c r="C323" s="262">
        <v>12</v>
      </c>
      <c r="D323" s="262">
        <v>4</v>
      </c>
      <c r="E323" s="262"/>
      <c r="F323" s="47">
        <v>103.02</v>
      </c>
      <c r="G323" s="244"/>
      <c r="H323" s="561">
        <v>55.974735260009766</v>
      </c>
      <c r="I323" s="550">
        <v>-2.0499999999999998</v>
      </c>
      <c r="J323" s="451">
        <v>-0.89</v>
      </c>
      <c r="K323" s="789">
        <f t="shared" si="5"/>
        <v>21.603503999999997</v>
      </c>
      <c r="L323" s="562"/>
      <c r="M323" s="563"/>
      <c r="N323" s="563"/>
      <c r="O323" s="298"/>
      <c r="P323" s="306" t="s">
        <v>91</v>
      </c>
      <c r="Q323" s="800" t="s">
        <v>435</v>
      </c>
      <c r="R323" s="564"/>
      <c r="S323" s="799" t="s">
        <v>743</v>
      </c>
      <c r="T323" s="71"/>
      <c r="U323" s="71"/>
    </row>
    <row r="324" spans="1:21" s="270" customFormat="1">
      <c r="A324" s="560">
        <v>865</v>
      </c>
      <c r="B324" s="262" t="s">
        <v>98</v>
      </c>
      <c r="C324" s="262">
        <v>12</v>
      </c>
      <c r="D324" s="262">
        <v>4</v>
      </c>
      <c r="E324" s="262"/>
      <c r="F324" s="47">
        <v>103.11</v>
      </c>
      <c r="G324" s="244"/>
      <c r="H324" s="561">
        <v>55.985790252685547</v>
      </c>
      <c r="I324" s="550">
        <v>-1.97</v>
      </c>
      <c r="J324" s="451">
        <v>-0.89</v>
      </c>
      <c r="K324" s="789">
        <f t="shared" si="5"/>
        <v>21.216176000000001</v>
      </c>
      <c r="L324" s="562"/>
      <c r="M324" s="563"/>
      <c r="N324" s="563"/>
      <c r="O324" s="298"/>
      <c r="P324" s="306" t="s">
        <v>91</v>
      </c>
      <c r="Q324" s="800" t="s">
        <v>435</v>
      </c>
      <c r="R324" s="564"/>
      <c r="S324" s="799" t="s">
        <v>743</v>
      </c>
      <c r="T324" s="71"/>
      <c r="U324" s="71"/>
    </row>
    <row r="325" spans="1:21" s="270" customFormat="1">
      <c r="A325" s="560">
        <v>865</v>
      </c>
      <c r="B325" s="262" t="s">
        <v>98</v>
      </c>
      <c r="C325" s="262">
        <v>12</v>
      </c>
      <c r="D325" s="262">
        <v>4</v>
      </c>
      <c r="E325" s="262" t="s">
        <v>110</v>
      </c>
      <c r="F325" s="47">
        <v>103.3</v>
      </c>
      <c r="G325" s="244"/>
      <c r="H325" s="561">
        <v>56.009124755859375</v>
      </c>
      <c r="I325" s="550">
        <v>-2.04</v>
      </c>
      <c r="J325" s="451">
        <v>-0.89</v>
      </c>
      <c r="K325" s="789">
        <f t="shared" si="5"/>
        <v>21.555025000000001</v>
      </c>
      <c r="L325" s="562" t="s">
        <v>33</v>
      </c>
      <c r="M325" s="563" t="s">
        <v>74</v>
      </c>
      <c r="N325" s="563" t="s">
        <v>95</v>
      </c>
      <c r="O325" s="298" t="s">
        <v>35</v>
      </c>
      <c r="P325" s="306" t="s">
        <v>91</v>
      </c>
      <c r="Q325" s="800" t="s">
        <v>435</v>
      </c>
      <c r="R325" s="564" t="s">
        <v>400</v>
      </c>
      <c r="S325" s="565"/>
      <c r="T325" s="71"/>
      <c r="U325" s="71"/>
    </row>
    <row r="326" spans="1:21" s="270" customFormat="1">
      <c r="A326" s="560">
        <v>865</v>
      </c>
      <c r="B326" s="262" t="s">
        <v>98</v>
      </c>
      <c r="C326" s="262">
        <v>12</v>
      </c>
      <c r="D326" s="262">
        <v>4</v>
      </c>
      <c r="E326" s="262"/>
      <c r="F326" s="47">
        <v>103.31</v>
      </c>
      <c r="G326" s="244"/>
      <c r="H326" s="561">
        <v>56.010349273681641</v>
      </c>
      <c r="I326" s="550">
        <v>-2.04</v>
      </c>
      <c r="J326" s="451">
        <v>-0.89</v>
      </c>
      <c r="K326" s="789">
        <f t="shared" si="5"/>
        <v>21.555025000000001</v>
      </c>
      <c r="L326" s="562"/>
      <c r="M326" s="563"/>
      <c r="N326" s="563"/>
      <c r="O326" s="298"/>
      <c r="P326" s="306" t="s">
        <v>91</v>
      </c>
      <c r="Q326" s="800" t="s">
        <v>435</v>
      </c>
      <c r="R326" s="564"/>
      <c r="S326" s="799" t="s">
        <v>743</v>
      </c>
      <c r="T326" s="71"/>
      <c r="U326" s="71"/>
    </row>
    <row r="327" spans="1:21" s="270" customFormat="1">
      <c r="A327" s="560">
        <v>865</v>
      </c>
      <c r="B327" s="262" t="s">
        <v>98</v>
      </c>
      <c r="C327" s="262">
        <v>12</v>
      </c>
      <c r="D327" s="262">
        <v>4</v>
      </c>
      <c r="E327" s="262" t="s">
        <v>109</v>
      </c>
      <c r="F327" s="47">
        <v>103.4</v>
      </c>
      <c r="G327" s="244"/>
      <c r="H327" s="561">
        <v>56.021404266357422</v>
      </c>
      <c r="I327" s="550">
        <v>-2.0499999999999998</v>
      </c>
      <c r="J327" s="449">
        <v>-0.89</v>
      </c>
      <c r="K327" s="789">
        <f t="shared" si="5"/>
        <v>21.603503999999997</v>
      </c>
      <c r="L327" s="562" t="s">
        <v>33</v>
      </c>
      <c r="M327" s="563" t="s">
        <v>74</v>
      </c>
      <c r="N327" s="563" t="s">
        <v>95</v>
      </c>
      <c r="O327" s="298" t="s">
        <v>35</v>
      </c>
      <c r="P327" s="314" t="s">
        <v>91</v>
      </c>
      <c r="Q327" s="501" t="s">
        <v>435</v>
      </c>
      <c r="R327" s="564" t="s">
        <v>400</v>
      </c>
      <c r="S327" s="565"/>
      <c r="T327" s="71"/>
      <c r="U327" s="71"/>
    </row>
    <row r="328" spans="1:21" s="270" customFormat="1">
      <c r="A328" s="560">
        <v>865</v>
      </c>
      <c r="B328" s="262" t="s">
        <v>98</v>
      </c>
      <c r="C328" s="262">
        <v>12</v>
      </c>
      <c r="D328" s="262">
        <v>4</v>
      </c>
      <c r="E328" s="262" t="s">
        <v>101</v>
      </c>
      <c r="F328" s="47">
        <v>103.5</v>
      </c>
      <c r="G328" s="244" t="s">
        <v>196</v>
      </c>
      <c r="H328" s="561">
        <v>56.033683776855469</v>
      </c>
      <c r="I328" s="550">
        <v>-1.86</v>
      </c>
      <c r="J328" s="449">
        <v>-0.89</v>
      </c>
      <c r="K328" s="65">
        <f t="shared" ref="K328:K388" si="6">16.1-4.64*($I328-J328)+0.09*($I328-J328)^2</f>
        <v>20.685480999999999</v>
      </c>
      <c r="L328" s="562" t="s">
        <v>33</v>
      </c>
      <c r="M328" s="563" t="s">
        <v>74</v>
      </c>
      <c r="N328" s="563" t="s">
        <v>95</v>
      </c>
      <c r="O328" s="298" t="s">
        <v>35</v>
      </c>
      <c r="P328" s="314" t="s">
        <v>91</v>
      </c>
      <c r="Q328" s="501" t="s">
        <v>435</v>
      </c>
      <c r="R328" s="564" t="s">
        <v>400</v>
      </c>
      <c r="S328" s="565"/>
      <c r="T328" s="71"/>
      <c r="U328" s="71"/>
    </row>
    <row r="329" spans="1:21" s="270" customFormat="1">
      <c r="A329" s="560">
        <v>865</v>
      </c>
      <c r="B329" s="262" t="s">
        <v>98</v>
      </c>
      <c r="C329" s="262">
        <v>12</v>
      </c>
      <c r="D329" s="262">
        <v>4</v>
      </c>
      <c r="E329" s="262" t="s">
        <v>104</v>
      </c>
      <c r="F329" s="47">
        <v>103.6</v>
      </c>
      <c r="G329" s="244" t="s">
        <v>196</v>
      </c>
      <c r="H329" s="561">
        <v>56.045963287353516</v>
      </c>
      <c r="I329" s="550">
        <v>-2.0499999999999998</v>
      </c>
      <c r="J329" s="449">
        <v>-0.89</v>
      </c>
      <c r="K329" s="65">
        <f t="shared" si="6"/>
        <v>21.603503999999997</v>
      </c>
      <c r="L329" s="562" t="s">
        <v>33</v>
      </c>
      <c r="M329" s="563" t="s">
        <v>74</v>
      </c>
      <c r="N329" s="563" t="s">
        <v>95</v>
      </c>
      <c r="O329" s="298" t="s">
        <v>35</v>
      </c>
      <c r="P329" s="314" t="s">
        <v>91</v>
      </c>
      <c r="Q329" s="501" t="s">
        <v>435</v>
      </c>
      <c r="R329" s="564" t="s">
        <v>400</v>
      </c>
      <c r="S329" s="565"/>
      <c r="T329" s="71"/>
      <c r="U329" s="71"/>
    </row>
    <row r="330" spans="1:21" s="270" customFormat="1">
      <c r="A330" s="560">
        <v>865</v>
      </c>
      <c r="B330" s="262" t="s">
        <v>98</v>
      </c>
      <c r="C330" s="262">
        <v>12</v>
      </c>
      <c r="D330" s="262">
        <v>4</v>
      </c>
      <c r="E330" s="262" t="s">
        <v>105</v>
      </c>
      <c r="F330" s="47">
        <v>103.7</v>
      </c>
      <c r="G330" s="244" t="s">
        <v>196</v>
      </c>
      <c r="H330" s="561">
        <v>56.058246612548828</v>
      </c>
      <c r="I330" s="550">
        <v>-2.04</v>
      </c>
      <c r="J330" s="449">
        <v>-0.89</v>
      </c>
      <c r="K330" s="65">
        <f t="shared" si="6"/>
        <v>21.555025000000001</v>
      </c>
      <c r="L330" s="562" t="s">
        <v>33</v>
      </c>
      <c r="M330" s="563" t="s">
        <v>74</v>
      </c>
      <c r="N330" s="563" t="s">
        <v>95</v>
      </c>
      <c r="O330" s="298" t="s">
        <v>35</v>
      </c>
      <c r="P330" s="314" t="s">
        <v>91</v>
      </c>
      <c r="Q330" s="501" t="s">
        <v>435</v>
      </c>
      <c r="R330" s="564" t="s">
        <v>400</v>
      </c>
      <c r="S330" s="565"/>
      <c r="T330" s="71"/>
      <c r="U330" s="71"/>
    </row>
    <row r="331" spans="1:21" s="270" customFormat="1">
      <c r="A331" s="560">
        <v>865</v>
      </c>
      <c r="B331" s="262" t="s">
        <v>98</v>
      </c>
      <c r="C331" s="262">
        <v>12</v>
      </c>
      <c r="D331" s="262">
        <v>4</v>
      </c>
      <c r="E331" s="262" t="s">
        <v>108</v>
      </c>
      <c r="F331" s="47">
        <v>103.9</v>
      </c>
      <c r="G331" s="244" t="s">
        <v>196</v>
      </c>
      <c r="H331" s="561">
        <v>56.082805633544922</v>
      </c>
      <c r="I331" s="550">
        <v>-1.94</v>
      </c>
      <c r="J331" s="449">
        <v>-0.89</v>
      </c>
      <c r="K331" s="65">
        <f t="shared" si="6"/>
        <v>21.071225000000002</v>
      </c>
      <c r="L331" s="562" t="s">
        <v>33</v>
      </c>
      <c r="M331" s="563" t="s">
        <v>74</v>
      </c>
      <c r="N331" s="563" t="s">
        <v>95</v>
      </c>
      <c r="O331" s="298" t="s">
        <v>35</v>
      </c>
      <c r="P331" s="314" t="s">
        <v>91</v>
      </c>
      <c r="Q331" s="501" t="s">
        <v>435</v>
      </c>
      <c r="R331" s="564" t="s">
        <v>400</v>
      </c>
      <c r="S331" s="565"/>
      <c r="T331" s="71"/>
      <c r="U331" s="71"/>
    </row>
    <row r="332" spans="1:21" s="270" customFormat="1">
      <c r="A332" s="560">
        <v>865</v>
      </c>
      <c r="B332" s="262" t="s">
        <v>98</v>
      </c>
      <c r="C332" s="262">
        <v>12</v>
      </c>
      <c r="D332" s="262">
        <v>4</v>
      </c>
      <c r="E332" s="262" t="s">
        <v>107</v>
      </c>
      <c r="F332" s="47">
        <v>104</v>
      </c>
      <c r="G332" s="244" t="s">
        <v>196</v>
      </c>
      <c r="H332" s="561">
        <v>56.095088958740234</v>
      </c>
      <c r="I332" s="550">
        <v>-2.0099999999999998</v>
      </c>
      <c r="J332" s="449">
        <v>-0.89</v>
      </c>
      <c r="K332" s="65">
        <f t="shared" si="6"/>
        <v>21.409695999999997</v>
      </c>
      <c r="L332" s="562" t="s">
        <v>33</v>
      </c>
      <c r="M332" s="563" t="s">
        <v>74</v>
      </c>
      <c r="N332" s="563" t="s">
        <v>95</v>
      </c>
      <c r="O332" s="298" t="s">
        <v>35</v>
      </c>
      <c r="P332" s="314" t="s">
        <v>91</v>
      </c>
      <c r="Q332" s="501" t="s">
        <v>435</v>
      </c>
      <c r="R332" s="564" t="s">
        <v>400</v>
      </c>
      <c r="S332" s="565"/>
      <c r="T332" s="71"/>
      <c r="U332" s="71"/>
    </row>
    <row r="333" spans="1:21" s="270" customFormat="1">
      <c r="A333" s="560">
        <v>865</v>
      </c>
      <c r="B333" s="262" t="s">
        <v>98</v>
      </c>
      <c r="C333" s="262">
        <v>12</v>
      </c>
      <c r="D333" s="262">
        <v>4</v>
      </c>
      <c r="E333" s="262" t="s">
        <v>116</v>
      </c>
      <c r="F333" s="47">
        <v>104.1</v>
      </c>
      <c r="G333" s="244" t="s">
        <v>196</v>
      </c>
      <c r="H333" s="561">
        <v>56.107368469238281</v>
      </c>
      <c r="I333" s="550">
        <v>-2</v>
      </c>
      <c r="J333" s="449">
        <v>-0.89</v>
      </c>
      <c r="K333" s="65">
        <f t="shared" si="6"/>
        <v>21.361288999999999</v>
      </c>
      <c r="L333" s="562" t="s">
        <v>33</v>
      </c>
      <c r="M333" s="563" t="s">
        <v>74</v>
      </c>
      <c r="N333" s="563" t="s">
        <v>95</v>
      </c>
      <c r="O333" s="298" t="s">
        <v>35</v>
      </c>
      <c r="P333" s="314" t="s">
        <v>91</v>
      </c>
      <c r="Q333" s="501" t="s">
        <v>435</v>
      </c>
      <c r="R333" s="564" t="s">
        <v>400</v>
      </c>
      <c r="S333" s="565"/>
      <c r="T333" s="71"/>
      <c r="U333" s="71"/>
    </row>
    <row r="334" spans="1:21" s="270" customFormat="1">
      <c r="A334" s="560">
        <v>865</v>
      </c>
      <c r="B334" s="262" t="s">
        <v>98</v>
      </c>
      <c r="C334" s="262">
        <v>12</v>
      </c>
      <c r="D334" s="262">
        <v>5</v>
      </c>
      <c r="E334" s="262" t="s">
        <v>106</v>
      </c>
      <c r="F334" s="47">
        <v>104.3</v>
      </c>
      <c r="G334" s="244" t="s">
        <v>196</v>
      </c>
      <c r="H334" s="561">
        <v>56.131931304931641</v>
      </c>
      <c r="I334" s="550">
        <v>-1.96</v>
      </c>
      <c r="J334" s="449">
        <v>-0.89</v>
      </c>
      <c r="K334" s="65">
        <f t="shared" si="6"/>
        <v>21.167840999999999</v>
      </c>
      <c r="L334" s="562" t="s">
        <v>33</v>
      </c>
      <c r="M334" s="563" t="s">
        <v>74</v>
      </c>
      <c r="N334" s="563" t="s">
        <v>95</v>
      </c>
      <c r="O334" s="298" t="s">
        <v>35</v>
      </c>
      <c r="P334" s="314" t="s">
        <v>91</v>
      </c>
      <c r="Q334" s="501" t="s">
        <v>435</v>
      </c>
      <c r="R334" s="564" t="s">
        <v>400</v>
      </c>
      <c r="S334" s="565"/>
      <c r="T334" s="71"/>
      <c r="U334" s="71"/>
    </row>
    <row r="335" spans="1:21" s="270" customFormat="1">
      <c r="A335" s="560">
        <v>865</v>
      </c>
      <c r="B335" s="262" t="s">
        <v>98</v>
      </c>
      <c r="C335" s="262">
        <v>12</v>
      </c>
      <c r="D335" s="262">
        <v>5</v>
      </c>
      <c r="E335" s="262" t="s">
        <v>101</v>
      </c>
      <c r="F335" s="47">
        <v>105</v>
      </c>
      <c r="G335" s="244" t="s">
        <v>196</v>
      </c>
      <c r="H335" s="561">
        <v>56.2178955078125</v>
      </c>
      <c r="I335" s="550">
        <v>-1.88</v>
      </c>
      <c r="J335" s="449">
        <v>-0.89</v>
      </c>
      <c r="K335" s="65">
        <f t="shared" si="6"/>
        <v>20.781808999999999</v>
      </c>
      <c r="L335" s="562" t="s">
        <v>33</v>
      </c>
      <c r="M335" s="563" t="s">
        <v>74</v>
      </c>
      <c r="N335" s="563" t="s">
        <v>95</v>
      </c>
      <c r="O335" s="298" t="s">
        <v>35</v>
      </c>
      <c r="P335" s="314" t="s">
        <v>91</v>
      </c>
      <c r="Q335" s="501" t="s">
        <v>435</v>
      </c>
      <c r="R335" s="564" t="s">
        <v>400</v>
      </c>
      <c r="S335" s="565"/>
      <c r="T335" s="71"/>
      <c r="U335" s="71"/>
    </row>
    <row r="336" spans="1:21" s="270" customFormat="1">
      <c r="A336" s="560">
        <v>865</v>
      </c>
      <c r="B336" s="262" t="s">
        <v>98</v>
      </c>
      <c r="C336" s="262">
        <v>12</v>
      </c>
      <c r="D336" s="262">
        <v>5</v>
      </c>
      <c r="E336" s="262" t="s">
        <v>101</v>
      </c>
      <c r="F336" s="47">
        <v>105</v>
      </c>
      <c r="G336" s="244" t="s">
        <v>196</v>
      </c>
      <c r="H336" s="561">
        <v>56.2178955078125</v>
      </c>
      <c r="I336" s="550">
        <v>-1.9</v>
      </c>
      <c r="J336" s="449">
        <v>-0.89</v>
      </c>
      <c r="K336" s="65">
        <f t="shared" si="6"/>
        <v>20.878209000000002</v>
      </c>
      <c r="L336" s="562" t="s">
        <v>33</v>
      </c>
      <c r="M336" s="563" t="s">
        <v>74</v>
      </c>
      <c r="N336" s="563" t="s">
        <v>95</v>
      </c>
      <c r="O336" s="298" t="s">
        <v>35</v>
      </c>
      <c r="P336" s="314" t="s">
        <v>91</v>
      </c>
      <c r="Q336" s="501" t="s">
        <v>435</v>
      </c>
      <c r="R336" s="564" t="s">
        <v>400</v>
      </c>
      <c r="S336" s="565"/>
      <c r="T336" s="71"/>
      <c r="U336" s="71"/>
    </row>
    <row r="337" spans="1:21" s="270" customFormat="1">
      <c r="A337" s="560">
        <v>865</v>
      </c>
      <c r="B337" s="262" t="s">
        <v>98</v>
      </c>
      <c r="C337" s="262">
        <v>12</v>
      </c>
      <c r="D337" s="262">
        <v>5</v>
      </c>
      <c r="E337" s="262" t="s">
        <v>116</v>
      </c>
      <c r="F337" s="47">
        <v>105.6</v>
      </c>
      <c r="G337" s="244" t="s">
        <v>196</v>
      </c>
      <c r="H337" s="561">
        <v>56.291580200195313</v>
      </c>
      <c r="I337" s="550">
        <v>-1.92</v>
      </c>
      <c r="J337" s="449">
        <v>-0.89</v>
      </c>
      <c r="K337" s="65">
        <f t="shared" si="6"/>
        <v>20.974681</v>
      </c>
      <c r="L337" s="562" t="s">
        <v>33</v>
      </c>
      <c r="M337" s="563" t="s">
        <v>74</v>
      </c>
      <c r="N337" s="563" t="s">
        <v>95</v>
      </c>
      <c r="O337" s="298" t="s">
        <v>35</v>
      </c>
      <c r="P337" s="314" t="s">
        <v>91</v>
      </c>
      <c r="Q337" s="501" t="s">
        <v>435</v>
      </c>
      <c r="R337" s="564" t="s">
        <v>400</v>
      </c>
      <c r="S337" s="565"/>
      <c r="T337" s="71"/>
      <c r="U337" s="71"/>
    </row>
    <row r="338" spans="1:21" s="270" customFormat="1">
      <c r="A338" s="566">
        <v>865</v>
      </c>
      <c r="B338" s="433" t="s">
        <v>98</v>
      </c>
      <c r="C338" s="433">
        <v>12</v>
      </c>
      <c r="D338" s="433">
        <v>6</v>
      </c>
      <c r="E338" s="433" t="s">
        <v>101</v>
      </c>
      <c r="F338" s="79">
        <v>106.5</v>
      </c>
      <c r="G338" s="437" t="s">
        <v>196</v>
      </c>
      <c r="H338" s="567">
        <v>56.402107238769531</v>
      </c>
      <c r="I338" s="551">
        <v>-1.97</v>
      </c>
      <c r="J338" s="456">
        <v>-0.89</v>
      </c>
      <c r="K338" s="77">
        <f t="shared" si="6"/>
        <v>21.216176000000001</v>
      </c>
      <c r="L338" s="568" t="s">
        <v>33</v>
      </c>
      <c r="M338" s="399" t="s">
        <v>74</v>
      </c>
      <c r="N338" s="399" t="s">
        <v>95</v>
      </c>
      <c r="O338" s="390" t="s">
        <v>35</v>
      </c>
      <c r="P338" s="388" t="s">
        <v>91</v>
      </c>
      <c r="Q338" s="504" t="s">
        <v>435</v>
      </c>
      <c r="R338" s="564" t="s">
        <v>400</v>
      </c>
      <c r="S338" s="565"/>
      <c r="T338" s="71"/>
      <c r="U338" s="71"/>
    </row>
    <row r="339" spans="1:21" s="270" customFormat="1">
      <c r="A339" s="167">
        <v>865</v>
      </c>
      <c r="B339" s="196" t="s">
        <v>98</v>
      </c>
      <c r="C339" s="196" t="s">
        <v>399</v>
      </c>
      <c r="D339" s="196">
        <v>6</v>
      </c>
      <c r="E339" s="262" t="s">
        <v>346</v>
      </c>
      <c r="F339" s="196">
        <v>96.82</v>
      </c>
      <c r="G339" s="244"/>
      <c r="H339" s="526">
        <v>55.004562377929688</v>
      </c>
      <c r="I339" s="243">
        <v>-0.97</v>
      </c>
      <c r="J339" s="449">
        <v>-0.89</v>
      </c>
      <c r="K339" s="789">
        <f t="shared" si="6"/>
        <v>16.471775999999998</v>
      </c>
      <c r="L339" s="562" t="s">
        <v>665</v>
      </c>
      <c r="M339" s="563" t="s">
        <v>74</v>
      </c>
      <c r="N339" s="69" t="s">
        <v>95</v>
      </c>
      <c r="O339" s="298" t="s">
        <v>44</v>
      </c>
      <c r="P339" s="314" t="s">
        <v>91</v>
      </c>
      <c r="Q339" s="501" t="s">
        <v>435</v>
      </c>
      <c r="R339" s="564" t="s">
        <v>401</v>
      </c>
      <c r="S339" s="565"/>
      <c r="T339" s="71"/>
      <c r="U339" s="71"/>
    </row>
    <row r="340" spans="1:21" s="270" customFormat="1">
      <c r="A340" s="560">
        <v>865</v>
      </c>
      <c r="B340" s="196" t="s">
        <v>98</v>
      </c>
      <c r="C340" s="196" t="s">
        <v>97</v>
      </c>
      <c r="D340" s="196">
        <v>1</v>
      </c>
      <c r="E340" s="262" t="s">
        <v>360</v>
      </c>
      <c r="F340" s="196">
        <v>98.4</v>
      </c>
      <c r="G340" s="244"/>
      <c r="H340" s="526">
        <v>55.216922760009766</v>
      </c>
      <c r="I340" s="243">
        <v>-0.96</v>
      </c>
      <c r="J340" s="449">
        <v>-0.89</v>
      </c>
      <c r="K340" s="789">
        <f t="shared" si="6"/>
        <v>16.425241</v>
      </c>
      <c r="L340" s="562" t="s">
        <v>665</v>
      </c>
      <c r="M340" s="563" t="s">
        <v>74</v>
      </c>
      <c r="N340" s="69" t="s">
        <v>95</v>
      </c>
      <c r="O340" s="298" t="s">
        <v>44</v>
      </c>
      <c r="P340" s="314" t="s">
        <v>91</v>
      </c>
      <c r="Q340" s="501" t="s">
        <v>435</v>
      </c>
      <c r="R340" s="564" t="s">
        <v>401</v>
      </c>
      <c r="S340" s="565"/>
      <c r="T340" s="71"/>
      <c r="U340" s="71"/>
    </row>
    <row r="341" spans="1:21" s="270" customFormat="1">
      <c r="A341" s="560">
        <v>865</v>
      </c>
      <c r="B341" s="196" t="s">
        <v>98</v>
      </c>
      <c r="C341" s="196" t="s">
        <v>97</v>
      </c>
      <c r="D341" s="196">
        <v>1</v>
      </c>
      <c r="E341" s="262" t="s">
        <v>109</v>
      </c>
      <c r="F341" s="196">
        <v>98.9</v>
      </c>
      <c r="G341" s="244"/>
      <c r="H341" s="526">
        <v>55.301540374755859</v>
      </c>
      <c r="I341" s="243">
        <v>-1.06</v>
      </c>
      <c r="J341" s="449">
        <v>-0.89</v>
      </c>
      <c r="K341" s="789">
        <f t="shared" si="6"/>
        <v>16.891401000000002</v>
      </c>
      <c r="L341" s="562" t="s">
        <v>665</v>
      </c>
      <c r="M341" s="563" t="s">
        <v>74</v>
      </c>
      <c r="N341" s="69" t="s">
        <v>37</v>
      </c>
      <c r="O341" s="298" t="s">
        <v>44</v>
      </c>
      <c r="P341" s="314" t="s">
        <v>91</v>
      </c>
      <c r="Q341" s="501" t="s">
        <v>435</v>
      </c>
      <c r="R341" s="564" t="s">
        <v>401</v>
      </c>
      <c r="S341" s="565"/>
      <c r="T341" s="71"/>
      <c r="U341" s="71"/>
    </row>
    <row r="342" spans="1:21" s="270" customFormat="1">
      <c r="A342" s="167">
        <v>865</v>
      </c>
      <c r="B342" s="196" t="s">
        <v>98</v>
      </c>
      <c r="C342" s="196" t="s">
        <v>97</v>
      </c>
      <c r="D342" s="196">
        <v>2</v>
      </c>
      <c r="E342" s="262" t="s">
        <v>101</v>
      </c>
      <c r="F342" s="196">
        <v>100.5</v>
      </c>
      <c r="G342" s="244"/>
      <c r="H342" s="526">
        <v>55.572307586669922</v>
      </c>
      <c r="I342" s="243">
        <v>-1.02</v>
      </c>
      <c r="J342" s="449">
        <v>-0.89</v>
      </c>
      <c r="K342" s="789">
        <f t="shared" si="6"/>
        <v>16.704721000000003</v>
      </c>
      <c r="L342" s="562" t="s">
        <v>665</v>
      </c>
      <c r="M342" s="563" t="s">
        <v>74</v>
      </c>
      <c r="N342" s="69" t="s">
        <v>95</v>
      </c>
      <c r="O342" s="298" t="s">
        <v>44</v>
      </c>
      <c r="P342" s="314" t="s">
        <v>91</v>
      </c>
      <c r="Q342" s="501" t="s">
        <v>435</v>
      </c>
      <c r="R342" s="564" t="s">
        <v>401</v>
      </c>
      <c r="S342" s="565"/>
      <c r="T342" s="71"/>
      <c r="U342" s="71"/>
    </row>
    <row r="343" spans="1:21" s="270" customFormat="1">
      <c r="A343" s="560">
        <v>865</v>
      </c>
      <c r="B343" s="196" t="s">
        <v>98</v>
      </c>
      <c r="C343" s="196" t="s">
        <v>97</v>
      </c>
      <c r="D343" s="196">
        <v>2</v>
      </c>
      <c r="E343" s="262" t="s">
        <v>101</v>
      </c>
      <c r="F343" s="196">
        <v>100.5</v>
      </c>
      <c r="G343" s="244"/>
      <c r="H343" s="526">
        <v>55.572307586669922</v>
      </c>
      <c r="I343" s="243">
        <v>-1.5</v>
      </c>
      <c r="J343" s="449">
        <v>-0.89</v>
      </c>
      <c r="K343" s="789">
        <f t="shared" si="6"/>
        <v>18.963889000000002</v>
      </c>
      <c r="L343" s="562" t="s">
        <v>665</v>
      </c>
      <c r="M343" s="563" t="s">
        <v>74</v>
      </c>
      <c r="N343" s="69" t="s">
        <v>95</v>
      </c>
      <c r="O343" s="298" t="s">
        <v>44</v>
      </c>
      <c r="P343" s="314" t="s">
        <v>91</v>
      </c>
      <c r="Q343" s="501" t="s">
        <v>435</v>
      </c>
      <c r="R343" s="564" t="s">
        <v>401</v>
      </c>
      <c r="S343" s="565"/>
      <c r="T343" s="71"/>
      <c r="U343" s="71"/>
    </row>
    <row r="344" spans="1:21" s="270" customFormat="1">
      <c r="A344" s="560">
        <v>865</v>
      </c>
      <c r="B344" s="196" t="s">
        <v>98</v>
      </c>
      <c r="C344" s="196" t="s">
        <v>97</v>
      </c>
      <c r="D344" s="196">
        <v>3</v>
      </c>
      <c r="E344" s="262" t="s">
        <v>106</v>
      </c>
      <c r="F344" s="196">
        <v>101.3</v>
      </c>
      <c r="G344" s="244"/>
      <c r="H344" s="526">
        <v>55.703998565673828</v>
      </c>
      <c r="I344" s="243">
        <v>-1.39</v>
      </c>
      <c r="J344" s="449">
        <v>-0.89</v>
      </c>
      <c r="K344" s="789">
        <f t="shared" si="6"/>
        <v>18.442500000000003</v>
      </c>
      <c r="L344" s="562" t="s">
        <v>665</v>
      </c>
      <c r="M344" s="563" t="s">
        <v>74</v>
      </c>
      <c r="N344" s="69" t="s">
        <v>37</v>
      </c>
      <c r="O344" s="298" t="s">
        <v>44</v>
      </c>
      <c r="P344" s="314" t="s">
        <v>91</v>
      </c>
      <c r="Q344" s="501" t="s">
        <v>435</v>
      </c>
      <c r="R344" s="564" t="s">
        <v>401</v>
      </c>
      <c r="S344" s="565"/>
      <c r="T344" s="71"/>
      <c r="U344" s="71"/>
    </row>
    <row r="345" spans="1:21" s="270" customFormat="1">
      <c r="A345" s="167">
        <v>865</v>
      </c>
      <c r="B345" s="196" t="s">
        <v>98</v>
      </c>
      <c r="C345" s="196" t="s">
        <v>97</v>
      </c>
      <c r="D345" s="196">
        <v>3</v>
      </c>
      <c r="E345" s="262" t="s">
        <v>360</v>
      </c>
      <c r="F345" s="196">
        <v>101.4</v>
      </c>
      <c r="G345" s="244"/>
      <c r="H345" s="526">
        <v>55.720001220703125</v>
      </c>
      <c r="I345" s="243">
        <v>-1.47</v>
      </c>
      <c r="J345" s="449">
        <v>-0.89</v>
      </c>
      <c r="K345" s="789">
        <f t="shared" si="6"/>
        <v>18.821476000000001</v>
      </c>
      <c r="L345" s="562" t="s">
        <v>665</v>
      </c>
      <c r="M345" s="563" t="s">
        <v>74</v>
      </c>
      <c r="N345" s="69" t="s">
        <v>37</v>
      </c>
      <c r="O345" s="298" t="s">
        <v>44</v>
      </c>
      <c r="P345" s="314" t="s">
        <v>91</v>
      </c>
      <c r="Q345" s="501" t="s">
        <v>435</v>
      </c>
      <c r="R345" s="564" t="s">
        <v>401</v>
      </c>
      <c r="S345" s="565"/>
      <c r="T345" s="71"/>
      <c r="U345" s="71"/>
    </row>
    <row r="346" spans="1:21" s="270" customFormat="1">
      <c r="A346" s="560">
        <v>865</v>
      </c>
      <c r="B346" s="196" t="s">
        <v>98</v>
      </c>
      <c r="C346" s="196" t="s">
        <v>97</v>
      </c>
      <c r="D346" s="196">
        <v>3</v>
      </c>
      <c r="E346" s="262" t="s">
        <v>112</v>
      </c>
      <c r="F346" s="196">
        <v>101.6</v>
      </c>
      <c r="G346" s="244"/>
      <c r="H346" s="526">
        <v>55.751998901367188</v>
      </c>
      <c r="I346" s="243">
        <v>-1.47</v>
      </c>
      <c r="J346" s="449">
        <v>-0.89</v>
      </c>
      <c r="K346" s="789">
        <f t="shared" si="6"/>
        <v>18.821476000000001</v>
      </c>
      <c r="L346" s="562" t="s">
        <v>665</v>
      </c>
      <c r="M346" s="563" t="s">
        <v>74</v>
      </c>
      <c r="N346" s="69" t="s">
        <v>95</v>
      </c>
      <c r="O346" s="298" t="s">
        <v>44</v>
      </c>
      <c r="P346" s="314" t="s">
        <v>91</v>
      </c>
      <c r="Q346" s="501" t="s">
        <v>435</v>
      </c>
      <c r="R346" s="564" t="s">
        <v>401</v>
      </c>
      <c r="S346" s="565"/>
      <c r="T346" s="71"/>
      <c r="U346" s="71"/>
    </row>
    <row r="347" spans="1:21" s="270" customFormat="1">
      <c r="A347" s="560">
        <v>865</v>
      </c>
      <c r="B347" s="196" t="s">
        <v>98</v>
      </c>
      <c r="C347" s="196" t="s">
        <v>97</v>
      </c>
      <c r="D347" s="196">
        <v>3</v>
      </c>
      <c r="E347" s="262" t="s">
        <v>110</v>
      </c>
      <c r="F347" s="196">
        <v>101.8</v>
      </c>
      <c r="G347" s="244"/>
      <c r="H347" s="526">
        <v>55.784000396728516</v>
      </c>
      <c r="I347" s="243">
        <v>-1.32</v>
      </c>
      <c r="J347" s="449">
        <v>-0.89</v>
      </c>
      <c r="K347" s="789">
        <f t="shared" si="6"/>
        <v>18.111841000000002</v>
      </c>
      <c r="L347" s="562" t="s">
        <v>665</v>
      </c>
      <c r="M347" s="563" t="s">
        <v>74</v>
      </c>
      <c r="N347" s="69" t="s">
        <v>95</v>
      </c>
      <c r="O347" s="298" t="s">
        <v>44</v>
      </c>
      <c r="P347" s="314" t="s">
        <v>91</v>
      </c>
      <c r="Q347" s="501" t="s">
        <v>435</v>
      </c>
      <c r="R347" s="564" t="s">
        <v>401</v>
      </c>
      <c r="S347" s="565"/>
      <c r="T347" s="71"/>
      <c r="U347" s="71"/>
    </row>
    <row r="348" spans="1:21" s="270" customFormat="1">
      <c r="A348" s="167">
        <v>865</v>
      </c>
      <c r="B348" s="196" t="s">
        <v>98</v>
      </c>
      <c r="C348" s="196" t="s">
        <v>97</v>
      </c>
      <c r="D348" s="196">
        <v>3</v>
      </c>
      <c r="E348" s="262" t="s">
        <v>109</v>
      </c>
      <c r="F348" s="196">
        <v>101.9</v>
      </c>
      <c r="G348" s="244"/>
      <c r="H348" s="526">
        <v>55.799999237060547</v>
      </c>
      <c r="I348" s="243">
        <v>-1.1599999999999999</v>
      </c>
      <c r="J348" s="449">
        <v>-0.89</v>
      </c>
      <c r="K348" s="789">
        <f t="shared" si="6"/>
        <v>17.359361000000003</v>
      </c>
      <c r="L348" s="562" t="s">
        <v>665</v>
      </c>
      <c r="M348" s="563" t="s">
        <v>74</v>
      </c>
      <c r="N348" s="69" t="s">
        <v>95</v>
      </c>
      <c r="O348" s="298" t="s">
        <v>44</v>
      </c>
      <c r="P348" s="314" t="s">
        <v>91</v>
      </c>
      <c r="Q348" s="501" t="s">
        <v>435</v>
      </c>
      <c r="R348" s="564" t="s">
        <v>401</v>
      </c>
      <c r="S348" s="565"/>
      <c r="T348" s="71"/>
      <c r="U348" s="71"/>
    </row>
    <row r="349" spans="1:21" s="270" customFormat="1">
      <c r="A349" s="560">
        <v>865</v>
      </c>
      <c r="B349" s="196" t="s">
        <v>98</v>
      </c>
      <c r="C349" s="196" t="s">
        <v>97</v>
      </c>
      <c r="D349" s="196">
        <v>3</v>
      </c>
      <c r="E349" s="262" t="s">
        <v>101</v>
      </c>
      <c r="F349" s="196">
        <v>102</v>
      </c>
      <c r="G349" s="244"/>
      <c r="H349" s="526">
        <v>55.815998077392578</v>
      </c>
      <c r="I349" s="243">
        <v>-1.06</v>
      </c>
      <c r="J349" s="449">
        <v>-0.89</v>
      </c>
      <c r="K349" s="789">
        <f t="shared" si="6"/>
        <v>16.891401000000002</v>
      </c>
      <c r="L349" s="562" t="s">
        <v>665</v>
      </c>
      <c r="M349" s="563" t="s">
        <v>74</v>
      </c>
      <c r="N349" s="69" t="s">
        <v>95</v>
      </c>
      <c r="O349" s="298" t="s">
        <v>44</v>
      </c>
      <c r="P349" s="314" t="s">
        <v>91</v>
      </c>
      <c r="Q349" s="501" t="s">
        <v>435</v>
      </c>
      <c r="R349" s="564" t="s">
        <v>401</v>
      </c>
      <c r="S349" s="565"/>
      <c r="T349" s="71"/>
      <c r="U349" s="71"/>
    </row>
    <row r="350" spans="1:21" s="270" customFormat="1">
      <c r="A350" s="560">
        <v>865</v>
      </c>
      <c r="B350" s="196" t="s">
        <v>98</v>
      </c>
      <c r="C350" s="196" t="s">
        <v>97</v>
      </c>
      <c r="D350" s="196">
        <v>3</v>
      </c>
      <c r="E350" s="262" t="s">
        <v>104</v>
      </c>
      <c r="F350" s="196">
        <v>102.1</v>
      </c>
      <c r="G350" s="244"/>
      <c r="H350" s="526">
        <v>55.832000732421875</v>
      </c>
      <c r="I350" s="243">
        <v>-1.18</v>
      </c>
      <c r="J350" s="449">
        <v>-0.89</v>
      </c>
      <c r="K350" s="789">
        <f t="shared" si="6"/>
        <v>17.453169000000003</v>
      </c>
      <c r="L350" s="562" t="s">
        <v>665</v>
      </c>
      <c r="M350" s="563" t="s">
        <v>74</v>
      </c>
      <c r="N350" s="69" t="s">
        <v>95</v>
      </c>
      <c r="O350" s="298" t="s">
        <v>44</v>
      </c>
      <c r="P350" s="314" t="s">
        <v>91</v>
      </c>
      <c r="Q350" s="501" t="s">
        <v>435</v>
      </c>
      <c r="R350" s="564" t="s">
        <v>401</v>
      </c>
      <c r="S350" s="565"/>
      <c r="T350" s="71"/>
      <c r="U350" s="71"/>
    </row>
    <row r="351" spans="1:21" s="270" customFormat="1">
      <c r="A351" s="167">
        <v>865</v>
      </c>
      <c r="B351" s="196" t="s">
        <v>98</v>
      </c>
      <c r="C351" s="196" t="s">
        <v>97</v>
      </c>
      <c r="D351" s="196">
        <v>3</v>
      </c>
      <c r="E351" s="262" t="s">
        <v>105</v>
      </c>
      <c r="F351" s="196">
        <v>102.2</v>
      </c>
      <c r="G351" s="244"/>
      <c r="H351" s="526">
        <v>55.847999572753906</v>
      </c>
      <c r="I351" s="243">
        <v>-0.78</v>
      </c>
      <c r="J351" s="449">
        <v>-0.89</v>
      </c>
      <c r="K351" s="789">
        <f t="shared" si="6"/>
        <v>15.590689000000001</v>
      </c>
      <c r="L351" s="562" t="s">
        <v>665</v>
      </c>
      <c r="M351" s="563" t="s">
        <v>74</v>
      </c>
      <c r="N351" s="69" t="s">
        <v>95</v>
      </c>
      <c r="O351" s="298" t="s">
        <v>44</v>
      </c>
      <c r="P351" s="314" t="s">
        <v>91</v>
      </c>
      <c r="Q351" s="501" t="s">
        <v>435</v>
      </c>
      <c r="R351" s="564" t="s">
        <v>401</v>
      </c>
      <c r="S351" s="565"/>
      <c r="T351" s="71"/>
      <c r="U351" s="71"/>
    </row>
    <row r="352" spans="1:21" s="270" customFormat="1">
      <c r="A352" s="560">
        <v>865</v>
      </c>
      <c r="B352" s="196" t="s">
        <v>98</v>
      </c>
      <c r="C352" s="196" t="s">
        <v>97</v>
      </c>
      <c r="D352" s="196">
        <v>3</v>
      </c>
      <c r="E352" s="262" t="s">
        <v>108</v>
      </c>
      <c r="F352" s="196">
        <v>102.4</v>
      </c>
      <c r="G352" s="244"/>
      <c r="H352" s="526">
        <v>55.880001068115234</v>
      </c>
      <c r="I352" s="243">
        <v>-1.04</v>
      </c>
      <c r="J352" s="449">
        <v>-0.89</v>
      </c>
      <c r="K352" s="789">
        <f t="shared" si="6"/>
        <v>16.798025000000003</v>
      </c>
      <c r="L352" s="562" t="s">
        <v>665</v>
      </c>
      <c r="M352" s="563" t="s">
        <v>74</v>
      </c>
      <c r="N352" s="69" t="s">
        <v>37</v>
      </c>
      <c r="O352" s="298" t="s">
        <v>44</v>
      </c>
      <c r="P352" s="314" t="s">
        <v>91</v>
      </c>
      <c r="Q352" s="501" t="s">
        <v>435</v>
      </c>
      <c r="R352" s="564" t="s">
        <v>401</v>
      </c>
      <c r="S352" s="565"/>
      <c r="T352" s="71"/>
      <c r="U352" s="71"/>
    </row>
    <row r="353" spans="1:21" s="270" customFormat="1">
      <c r="A353" s="560">
        <v>865</v>
      </c>
      <c r="B353" s="196" t="s">
        <v>98</v>
      </c>
      <c r="C353" s="196" t="s">
        <v>97</v>
      </c>
      <c r="D353" s="196">
        <v>3</v>
      </c>
      <c r="E353" s="262" t="s">
        <v>107</v>
      </c>
      <c r="F353" s="196">
        <v>102.5</v>
      </c>
      <c r="G353" s="244"/>
      <c r="H353" s="526">
        <v>55.895999908447266</v>
      </c>
      <c r="I353" s="243">
        <v>-0.88</v>
      </c>
      <c r="J353" s="449">
        <v>-0.89</v>
      </c>
      <c r="K353" s="789">
        <f t="shared" si="6"/>
        <v>16.053609000000002</v>
      </c>
      <c r="L353" s="562" t="s">
        <v>665</v>
      </c>
      <c r="M353" s="563" t="s">
        <v>74</v>
      </c>
      <c r="N353" s="69" t="s">
        <v>95</v>
      </c>
      <c r="O353" s="298" t="s">
        <v>44</v>
      </c>
      <c r="P353" s="314" t="s">
        <v>91</v>
      </c>
      <c r="Q353" s="501" t="s">
        <v>435</v>
      </c>
      <c r="R353" s="564" t="s">
        <v>401</v>
      </c>
      <c r="S353" s="565"/>
      <c r="T353" s="71"/>
      <c r="U353" s="71"/>
    </row>
    <row r="354" spans="1:21" s="270" customFormat="1">
      <c r="A354" s="167">
        <v>865</v>
      </c>
      <c r="B354" s="196" t="s">
        <v>98</v>
      </c>
      <c r="C354" s="196" t="s">
        <v>97</v>
      </c>
      <c r="D354" s="196">
        <v>3</v>
      </c>
      <c r="E354" s="262" t="s">
        <v>116</v>
      </c>
      <c r="F354" s="196">
        <v>102.6</v>
      </c>
      <c r="G354" s="244"/>
      <c r="H354" s="526">
        <v>55.911998748779297</v>
      </c>
      <c r="I354" s="243">
        <v>-0.8</v>
      </c>
      <c r="J354" s="449">
        <v>-0.89</v>
      </c>
      <c r="K354" s="789">
        <f t="shared" si="6"/>
        <v>15.683129000000001</v>
      </c>
      <c r="L354" s="562" t="s">
        <v>665</v>
      </c>
      <c r="M354" s="563" t="s">
        <v>74</v>
      </c>
      <c r="N354" s="69" t="s">
        <v>95</v>
      </c>
      <c r="O354" s="298" t="s">
        <v>44</v>
      </c>
      <c r="P354" s="314" t="s">
        <v>91</v>
      </c>
      <c r="Q354" s="501" t="s">
        <v>435</v>
      </c>
      <c r="R354" s="564" t="s">
        <v>401</v>
      </c>
      <c r="S354" s="565"/>
      <c r="T354" s="71"/>
      <c r="U354" s="71"/>
    </row>
    <row r="355" spans="1:21" s="270" customFormat="1">
      <c r="A355" s="560">
        <v>865</v>
      </c>
      <c r="B355" s="196" t="s">
        <v>98</v>
      </c>
      <c r="C355" s="196" t="s">
        <v>97</v>
      </c>
      <c r="D355" s="196">
        <v>3</v>
      </c>
      <c r="E355" s="262" t="s">
        <v>115</v>
      </c>
      <c r="F355" s="196">
        <v>102.7</v>
      </c>
      <c r="G355" s="244"/>
      <c r="H355" s="526">
        <v>55.927997589111328</v>
      </c>
      <c r="I355" s="243">
        <v>-0.76</v>
      </c>
      <c r="J355" s="449">
        <v>-0.89</v>
      </c>
      <c r="K355" s="789">
        <f t="shared" si="6"/>
        <v>15.498321000000002</v>
      </c>
      <c r="L355" s="562" t="s">
        <v>665</v>
      </c>
      <c r="M355" s="563" t="s">
        <v>74</v>
      </c>
      <c r="N355" s="69" t="s">
        <v>95</v>
      </c>
      <c r="O355" s="298" t="s">
        <v>44</v>
      </c>
      <c r="P355" s="314" t="s">
        <v>91</v>
      </c>
      <c r="Q355" s="501" t="s">
        <v>435</v>
      </c>
      <c r="R355" s="564" t="s">
        <v>401</v>
      </c>
      <c r="S355" s="565"/>
      <c r="T355" s="71"/>
      <c r="U355" s="71"/>
    </row>
    <row r="356" spans="1:21" s="270" customFormat="1">
      <c r="A356" s="560">
        <v>865</v>
      </c>
      <c r="B356" s="196" t="s">
        <v>98</v>
      </c>
      <c r="C356" s="196" t="s">
        <v>97</v>
      </c>
      <c r="D356" s="196">
        <v>3</v>
      </c>
      <c r="E356" s="262" t="s">
        <v>115</v>
      </c>
      <c r="F356" s="196">
        <v>102.7</v>
      </c>
      <c r="G356" s="244"/>
      <c r="H356" s="526">
        <v>55.927997589111328</v>
      </c>
      <c r="I356" s="243">
        <v>-1.31</v>
      </c>
      <c r="J356" s="449">
        <v>-0.89</v>
      </c>
      <c r="K356" s="789">
        <f t="shared" si="6"/>
        <v>18.064675999999999</v>
      </c>
      <c r="L356" s="562" t="s">
        <v>665</v>
      </c>
      <c r="M356" s="563" t="s">
        <v>74</v>
      </c>
      <c r="N356" s="69" t="s">
        <v>95</v>
      </c>
      <c r="O356" s="298" t="s">
        <v>44</v>
      </c>
      <c r="P356" s="314" t="s">
        <v>91</v>
      </c>
      <c r="Q356" s="501" t="s">
        <v>435</v>
      </c>
      <c r="R356" s="564" t="s">
        <v>401</v>
      </c>
      <c r="S356" s="565"/>
      <c r="T356" s="71"/>
      <c r="U356" s="71"/>
    </row>
    <row r="357" spans="1:21" s="270" customFormat="1">
      <c r="A357" s="167">
        <v>865</v>
      </c>
      <c r="B357" s="196" t="s">
        <v>98</v>
      </c>
      <c r="C357" s="196" t="s">
        <v>97</v>
      </c>
      <c r="D357" s="196">
        <v>4</v>
      </c>
      <c r="E357" s="262" t="s">
        <v>360</v>
      </c>
      <c r="F357" s="196">
        <v>102.9</v>
      </c>
      <c r="G357" s="244"/>
      <c r="H357" s="526">
        <v>55.959999084472656</v>
      </c>
      <c r="I357" s="243">
        <v>-1.64</v>
      </c>
      <c r="J357" s="449">
        <v>-0.89</v>
      </c>
      <c r="K357" s="789">
        <f t="shared" si="6"/>
        <v>19.630625000000002</v>
      </c>
      <c r="L357" s="562" t="s">
        <v>665</v>
      </c>
      <c r="M357" s="563" t="s">
        <v>74</v>
      </c>
      <c r="N357" s="69" t="s">
        <v>95</v>
      </c>
      <c r="O357" s="298" t="s">
        <v>44</v>
      </c>
      <c r="P357" s="314" t="s">
        <v>91</v>
      </c>
      <c r="Q357" s="501" t="s">
        <v>435</v>
      </c>
      <c r="R357" s="564" t="s">
        <v>401</v>
      </c>
      <c r="S357" s="565"/>
      <c r="T357" s="71"/>
      <c r="U357" s="71"/>
    </row>
    <row r="358" spans="1:21" s="270" customFormat="1">
      <c r="A358" s="560">
        <v>865</v>
      </c>
      <c r="B358" s="196" t="s">
        <v>98</v>
      </c>
      <c r="C358" s="196" t="s">
        <v>97</v>
      </c>
      <c r="D358" s="196">
        <v>4</v>
      </c>
      <c r="E358" s="262" t="s">
        <v>113</v>
      </c>
      <c r="F358" s="196">
        <v>103</v>
      </c>
      <c r="G358" s="244"/>
      <c r="H358" s="526">
        <v>55.972282409667969</v>
      </c>
      <c r="I358" s="243">
        <v>-1.56</v>
      </c>
      <c r="J358" s="449">
        <v>-0.89</v>
      </c>
      <c r="K358" s="789">
        <f t="shared" si="6"/>
        <v>19.249200999999999</v>
      </c>
      <c r="L358" s="562" t="s">
        <v>665</v>
      </c>
      <c r="M358" s="563" t="s">
        <v>74</v>
      </c>
      <c r="N358" s="69" t="s">
        <v>95</v>
      </c>
      <c r="O358" s="298" t="s">
        <v>44</v>
      </c>
      <c r="P358" s="314" t="s">
        <v>91</v>
      </c>
      <c r="Q358" s="501" t="s">
        <v>435</v>
      </c>
      <c r="R358" s="564" t="s">
        <v>401</v>
      </c>
      <c r="S358" s="565"/>
      <c r="T358" s="71"/>
      <c r="U358" s="71"/>
    </row>
    <row r="359" spans="1:21" s="270" customFormat="1">
      <c r="A359" s="560">
        <v>865</v>
      </c>
      <c r="B359" s="196" t="s">
        <v>98</v>
      </c>
      <c r="C359" s="196" t="s">
        <v>97</v>
      </c>
      <c r="D359" s="196">
        <v>4</v>
      </c>
      <c r="E359" s="262" t="s">
        <v>113</v>
      </c>
      <c r="F359" s="196">
        <v>103</v>
      </c>
      <c r="G359" s="244"/>
      <c r="H359" s="526">
        <v>55.972282409667969</v>
      </c>
      <c r="I359" s="243">
        <v>-1.28</v>
      </c>
      <c r="J359" s="449">
        <v>-0.89</v>
      </c>
      <c r="K359" s="789">
        <f t="shared" si="6"/>
        <v>17.923289</v>
      </c>
      <c r="L359" s="562" t="s">
        <v>665</v>
      </c>
      <c r="M359" s="563" t="s">
        <v>74</v>
      </c>
      <c r="N359" s="69" t="s">
        <v>95</v>
      </c>
      <c r="O359" s="298" t="s">
        <v>44</v>
      </c>
      <c r="P359" s="314" t="s">
        <v>91</v>
      </c>
      <c r="Q359" s="501" t="s">
        <v>435</v>
      </c>
      <c r="R359" s="564" t="s">
        <v>401</v>
      </c>
      <c r="S359" s="565"/>
      <c r="T359" s="71"/>
      <c r="U359" s="71"/>
    </row>
    <row r="360" spans="1:21" s="270" customFormat="1">
      <c r="A360" s="167">
        <v>865</v>
      </c>
      <c r="B360" s="196" t="s">
        <v>98</v>
      </c>
      <c r="C360" s="196" t="s">
        <v>97</v>
      </c>
      <c r="D360" s="196">
        <v>4</v>
      </c>
      <c r="E360" s="262" t="s">
        <v>112</v>
      </c>
      <c r="F360" s="196">
        <v>103.1</v>
      </c>
      <c r="G360" s="244"/>
      <c r="H360" s="526">
        <v>55.984561920166016</v>
      </c>
      <c r="I360" s="243">
        <v>-1.26</v>
      </c>
      <c r="J360" s="449">
        <v>-0.89</v>
      </c>
      <c r="K360" s="789">
        <f t="shared" si="6"/>
        <v>17.829121000000001</v>
      </c>
      <c r="L360" s="562" t="s">
        <v>665</v>
      </c>
      <c r="M360" s="563" t="s">
        <v>74</v>
      </c>
      <c r="N360" s="69" t="s">
        <v>95</v>
      </c>
      <c r="O360" s="298" t="s">
        <v>44</v>
      </c>
      <c r="P360" s="314" t="s">
        <v>91</v>
      </c>
      <c r="Q360" s="501" t="s">
        <v>435</v>
      </c>
      <c r="R360" s="564" t="s">
        <v>401</v>
      </c>
      <c r="S360" s="565"/>
      <c r="T360" s="71"/>
      <c r="U360" s="71"/>
    </row>
    <row r="361" spans="1:21" s="270" customFormat="1">
      <c r="A361" s="560">
        <v>865</v>
      </c>
      <c r="B361" s="196" t="s">
        <v>98</v>
      </c>
      <c r="C361" s="196" t="s">
        <v>97</v>
      </c>
      <c r="D361" s="196">
        <v>4</v>
      </c>
      <c r="E361" s="262" t="s">
        <v>111</v>
      </c>
      <c r="F361" s="196">
        <v>103.2</v>
      </c>
      <c r="G361" s="244"/>
      <c r="H361" s="526">
        <v>55.996841430664063</v>
      </c>
      <c r="I361" s="243">
        <v>-0.8</v>
      </c>
      <c r="J361" s="449">
        <v>-0.89</v>
      </c>
      <c r="K361" s="789">
        <f t="shared" si="6"/>
        <v>15.683129000000001</v>
      </c>
      <c r="L361" s="562" t="s">
        <v>665</v>
      </c>
      <c r="M361" s="563" t="s">
        <v>74</v>
      </c>
      <c r="N361" s="69" t="s">
        <v>95</v>
      </c>
      <c r="O361" s="298" t="s">
        <v>44</v>
      </c>
      <c r="P361" s="314" t="s">
        <v>91</v>
      </c>
      <c r="Q361" s="501" t="s">
        <v>435</v>
      </c>
      <c r="R361" s="564" t="s">
        <v>401</v>
      </c>
      <c r="S361" s="565"/>
      <c r="T361" s="71"/>
      <c r="U361" s="71"/>
    </row>
    <row r="362" spans="1:21" s="270" customFormat="1">
      <c r="A362" s="560">
        <v>865</v>
      </c>
      <c r="B362" s="196" t="s">
        <v>98</v>
      </c>
      <c r="C362" s="196" t="s">
        <v>97</v>
      </c>
      <c r="D362" s="196">
        <v>4</v>
      </c>
      <c r="E362" s="262" t="s">
        <v>110</v>
      </c>
      <c r="F362" s="196">
        <v>103.3</v>
      </c>
      <c r="G362" s="244"/>
      <c r="H362" s="526">
        <v>56.009124755859375</v>
      </c>
      <c r="I362" s="243">
        <v>-1.48</v>
      </c>
      <c r="J362" s="449">
        <v>-0.89</v>
      </c>
      <c r="K362" s="789">
        <f t="shared" si="6"/>
        <v>18.868929000000001</v>
      </c>
      <c r="L362" s="562" t="s">
        <v>665</v>
      </c>
      <c r="M362" s="563" t="s">
        <v>74</v>
      </c>
      <c r="N362" s="69" t="s">
        <v>95</v>
      </c>
      <c r="O362" s="298" t="s">
        <v>44</v>
      </c>
      <c r="P362" s="314" t="s">
        <v>91</v>
      </c>
      <c r="Q362" s="501" t="s">
        <v>435</v>
      </c>
      <c r="R362" s="564" t="s">
        <v>401</v>
      </c>
      <c r="S362" s="565"/>
      <c r="T362" s="71"/>
      <c r="U362" s="71"/>
    </row>
    <row r="363" spans="1:21" s="270" customFormat="1">
      <c r="A363" s="167">
        <v>865</v>
      </c>
      <c r="B363" s="196" t="s">
        <v>98</v>
      </c>
      <c r="C363" s="196" t="s">
        <v>97</v>
      </c>
      <c r="D363" s="196">
        <v>4</v>
      </c>
      <c r="E363" s="262" t="s">
        <v>109</v>
      </c>
      <c r="F363" s="196">
        <v>103.4</v>
      </c>
      <c r="G363" s="244"/>
      <c r="H363" s="526">
        <v>56.021404266357422</v>
      </c>
      <c r="I363" s="243">
        <v>-0.9</v>
      </c>
      <c r="J363" s="449">
        <v>-0.89</v>
      </c>
      <c r="K363" s="789">
        <f t="shared" si="6"/>
        <v>16.146408999999998</v>
      </c>
      <c r="L363" s="562" t="s">
        <v>665</v>
      </c>
      <c r="M363" s="563" t="s">
        <v>74</v>
      </c>
      <c r="N363" s="69" t="s">
        <v>95</v>
      </c>
      <c r="O363" s="298" t="s">
        <v>44</v>
      </c>
      <c r="P363" s="314" t="s">
        <v>91</v>
      </c>
      <c r="Q363" s="501" t="s">
        <v>435</v>
      </c>
      <c r="R363" s="564" t="s">
        <v>401</v>
      </c>
      <c r="S363" s="565"/>
      <c r="T363" s="71"/>
      <c r="U363" s="71"/>
    </row>
    <row r="364" spans="1:21" s="270" customFormat="1">
      <c r="A364" s="560">
        <v>865</v>
      </c>
      <c r="B364" s="196" t="s">
        <v>98</v>
      </c>
      <c r="C364" s="196" t="s">
        <v>97</v>
      </c>
      <c r="D364" s="196">
        <v>4</v>
      </c>
      <c r="E364" s="262" t="s">
        <v>101</v>
      </c>
      <c r="F364" s="196">
        <v>103.5</v>
      </c>
      <c r="G364" s="244" t="s">
        <v>196</v>
      </c>
      <c r="H364" s="526">
        <v>56.033683776855469</v>
      </c>
      <c r="I364" s="243">
        <v>-0.42</v>
      </c>
      <c r="J364" s="449">
        <v>-0.89</v>
      </c>
      <c r="K364" s="789">
        <f t="shared" si="6"/>
        <v>13.939081000000002</v>
      </c>
      <c r="L364" s="562" t="s">
        <v>665</v>
      </c>
      <c r="M364" s="563" t="s">
        <v>74</v>
      </c>
      <c r="N364" s="69" t="s">
        <v>95</v>
      </c>
      <c r="O364" s="298" t="s">
        <v>44</v>
      </c>
      <c r="P364" s="314" t="s">
        <v>91</v>
      </c>
      <c r="Q364" s="501" t="s">
        <v>435</v>
      </c>
      <c r="R364" s="564" t="s">
        <v>401</v>
      </c>
      <c r="S364" s="565"/>
      <c r="T364" s="71"/>
      <c r="U364" s="71"/>
    </row>
    <row r="365" spans="1:21" s="270" customFormat="1">
      <c r="A365" s="560">
        <v>865</v>
      </c>
      <c r="B365" s="196" t="s">
        <v>98</v>
      </c>
      <c r="C365" s="196" t="s">
        <v>97</v>
      </c>
      <c r="D365" s="196">
        <v>4</v>
      </c>
      <c r="E365" s="262" t="s">
        <v>104</v>
      </c>
      <c r="F365" s="196">
        <v>103.6</v>
      </c>
      <c r="G365" s="244" t="s">
        <v>196</v>
      </c>
      <c r="H365" s="526">
        <v>56.045963287353516</v>
      </c>
      <c r="I365" s="243">
        <v>-1.29</v>
      </c>
      <c r="J365" s="449">
        <v>-0.89</v>
      </c>
      <c r="K365" s="789">
        <f t="shared" si="6"/>
        <v>17.970400000000001</v>
      </c>
      <c r="L365" s="562" t="s">
        <v>665</v>
      </c>
      <c r="M365" s="563" t="s">
        <v>74</v>
      </c>
      <c r="N365" s="69" t="s">
        <v>95</v>
      </c>
      <c r="O365" s="298" t="s">
        <v>44</v>
      </c>
      <c r="P365" s="314" t="s">
        <v>91</v>
      </c>
      <c r="Q365" s="501" t="s">
        <v>435</v>
      </c>
      <c r="R365" s="564" t="s">
        <v>401</v>
      </c>
      <c r="S365" s="565"/>
      <c r="T365" s="71"/>
      <c r="U365" s="71"/>
    </row>
    <row r="366" spans="1:21" s="270" customFormat="1">
      <c r="A366" s="167">
        <v>865</v>
      </c>
      <c r="B366" s="196" t="s">
        <v>98</v>
      </c>
      <c r="C366" s="196" t="s">
        <v>97</v>
      </c>
      <c r="D366" s="196">
        <v>4</v>
      </c>
      <c r="E366" s="262" t="s">
        <v>105</v>
      </c>
      <c r="F366" s="196">
        <v>103.7</v>
      </c>
      <c r="G366" s="244" t="s">
        <v>196</v>
      </c>
      <c r="H366" s="526">
        <v>56.058246612548828</v>
      </c>
      <c r="I366" s="243">
        <v>-1.55</v>
      </c>
      <c r="J366" s="449">
        <v>-0.89</v>
      </c>
      <c r="K366" s="789">
        <f t="shared" si="6"/>
        <v>19.201604000000003</v>
      </c>
      <c r="L366" s="562" t="s">
        <v>665</v>
      </c>
      <c r="M366" s="563" t="s">
        <v>74</v>
      </c>
      <c r="N366" s="69" t="s">
        <v>95</v>
      </c>
      <c r="O366" s="298" t="s">
        <v>44</v>
      </c>
      <c r="P366" s="314" t="s">
        <v>91</v>
      </c>
      <c r="Q366" s="501" t="s">
        <v>435</v>
      </c>
      <c r="R366" s="564" t="s">
        <v>401</v>
      </c>
      <c r="S366" s="565"/>
      <c r="T366" s="71"/>
      <c r="U366" s="71"/>
    </row>
    <row r="367" spans="1:21">
      <c r="A367" s="560">
        <v>865</v>
      </c>
      <c r="B367" s="196" t="s">
        <v>98</v>
      </c>
      <c r="C367" s="196" t="s">
        <v>97</v>
      </c>
      <c r="D367" s="196">
        <v>4</v>
      </c>
      <c r="E367" s="55" t="s">
        <v>108</v>
      </c>
      <c r="F367" s="196">
        <v>103.9</v>
      </c>
      <c r="G367" s="244" t="s">
        <v>196</v>
      </c>
      <c r="H367" s="526">
        <v>56.082805633544922</v>
      </c>
      <c r="I367" s="243">
        <v>-1.5</v>
      </c>
      <c r="J367" s="449">
        <v>-0.89</v>
      </c>
      <c r="K367" s="789">
        <f t="shared" si="6"/>
        <v>18.963889000000002</v>
      </c>
      <c r="L367" s="562" t="s">
        <v>665</v>
      </c>
      <c r="M367" s="563" t="s">
        <v>74</v>
      </c>
      <c r="N367" s="69" t="s">
        <v>95</v>
      </c>
      <c r="O367" s="298" t="s">
        <v>44</v>
      </c>
      <c r="P367" s="314" t="s">
        <v>91</v>
      </c>
      <c r="Q367" s="501" t="s">
        <v>435</v>
      </c>
      <c r="R367" s="564" t="s">
        <v>401</v>
      </c>
      <c r="S367" s="176"/>
      <c r="T367" s="145"/>
      <c r="U367" s="145"/>
    </row>
    <row r="368" spans="1:21">
      <c r="A368" s="560">
        <v>865</v>
      </c>
      <c r="B368" s="196" t="s">
        <v>98</v>
      </c>
      <c r="C368" s="196" t="s">
        <v>97</v>
      </c>
      <c r="D368" s="196">
        <v>4</v>
      </c>
      <c r="E368" s="55" t="s">
        <v>107</v>
      </c>
      <c r="F368" s="196">
        <v>104</v>
      </c>
      <c r="G368" s="244" t="s">
        <v>196</v>
      </c>
      <c r="H368" s="526">
        <v>56.095088958740234</v>
      </c>
      <c r="I368" s="243">
        <v>-1.51</v>
      </c>
      <c r="J368" s="449">
        <v>-0.89</v>
      </c>
      <c r="K368" s="789">
        <f t="shared" si="6"/>
        <v>19.011396000000001</v>
      </c>
      <c r="L368" s="562" t="s">
        <v>665</v>
      </c>
      <c r="M368" s="563" t="s">
        <v>74</v>
      </c>
      <c r="N368" s="69" t="s">
        <v>95</v>
      </c>
      <c r="O368" s="298" t="s">
        <v>44</v>
      </c>
      <c r="P368" s="314" t="s">
        <v>91</v>
      </c>
      <c r="Q368" s="501" t="s">
        <v>435</v>
      </c>
      <c r="R368" s="564" t="s">
        <v>401</v>
      </c>
      <c r="S368" s="176"/>
      <c r="T368" s="145"/>
      <c r="U368" s="145"/>
    </row>
    <row r="369" spans="1:21">
      <c r="A369" s="167">
        <v>865</v>
      </c>
      <c r="B369" s="196" t="s">
        <v>98</v>
      </c>
      <c r="C369" s="196" t="s">
        <v>97</v>
      </c>
      <c r="D369" s="196">
        <v>4</v>
      </c>
      <c r="E369" s="55" t="s">
        <v>116</v>
      </c>
      <c r="F369" s="196">
        <v>104.1</v>
      </c>
      <c r="G369" s="244" t="s">
        <v>196</v>
      </c>
      <c r="H369" s="526">
        <v>56.107368469238281</v>
      </c>
      <c r="I369" s="243">
        <v>-1.26</v>
      </c>
      <c r="J369" s="449">
        <v>-0.89</v>
      </c>
      <c r="K369" s="789">
        <f t="shared" si="6"/>
        <v>17.829121000000001</v>
      </c>
      <c r="L369" s="562" t="s">
        <v>665</v>
      </c>
      <c r="M369" s="563" t="s">
        <v>74</v>
      </c>
      <c r="N369" s="69" t="s">
        <v>95</v>
      </c>
      <c r="O369" s="298" t="s">
        <v>44</v>
      </c>
      <c r="P369" s="314" t="s">
        <v>91</v>
      </c>
      <c r="Q369" s="501" t="s">
        <v>435</v>
      </c>
      <c r="R369" s="564" t="s">
        <v>401</v>
      </c>
      <c r="S369" s="176"/>
      <c r="T369" s="145"/>
      <c r="U369" s="145"/>
    </row>
    <row r="370" spans="1:21">
      <c r="A370" s="560">
        <v>865</v>
      </c>
      <c r="B370" s="196" t="s">
        <v>98</v>
      </c>
      <c r="C370" s="196" t="s">
        <v>97</v>
      </c>
      <c r="D370" s="196">
        <v>4</v>
      </c>
      <c r="E370" s="55" t="s">
        <v>115</v>
      </c>
      <c r="F370" s="196">
        <v>104.2</v>
      </c>
      <c r="G370" s="244" t="s">
        <v>196</v>
      </c>
      <c r="H370" s="526">
        <v>56.119647979736328</v>
      </c>
      <c r="I370" s="243">
        <v>-1.35</v>
      </c>
      <c r="J370" s="449">
        <v>-0.89</v>
      </c>
      <c r="K370" s="789">
        <f t="shared" si="6"/>
        <v>18.253444000000002</v>
      </c>
      <c r="L370" s="562" t="s">
        <v>665</v>
      </c>
      <c r="M370" s="563" t="s">
        <v>74</v>
      </c>
      <c r="N370" s="69" t="s">
        <v>95</v>
      </c>
      <c r="O370" s="298" t="s">
        <v>44</v>
      </c>
      <c r="P370" s="314" t="s">
        <v>91</v>
      </c>
      <c r="Q370" s="501" t="s">
        <v>435</v>
      </c>
      <c r="R370" s="564" t="s">
        <v>401</v>
      </c>
      <c r="S370" s="176"/>
      <c r="T370" s="145"/>
      <c r="U370" s="145"/>
    </row>
    <row r="371" spans="1:21">
      <c r="A371" s="560">
        <v>865</v>
      </c>
      <c r="B371" s="196" t="s">
        <v>98</v>
      </c>
      <c r="C371" s="196" t="s">
        <v>97</v>
      </c>
      <c r="D371" s="196">
        <v>5</v>
      </c>
      <c r="E371" s="55" t="s">
        <v>106</v>
      </c>
      <c r="F371" s="196">
        <v>104.3</v>
      </c>
      <c r="G371" s="244" t="s">
        <v>196</v>
      </c>
      <c r="H371" s="526">
        <v>56.131931304931641</v>
      </c>
      <c r="I371" s="243">
        <v>-1.51</v>
      </c>
      <c r="J371" s="449">
        <v>-0.89</v>
      </c>
      <c r="K371" s="789">
        <f t="shared" si="6"/>
        <v>19.011396000000001</v>
      </c>
      <c r="L371" s="562" t="s">
        <v>665</v>
      </c>
      <c r="M371" s="563" t="s">
        <v>74</v>
      </c>
      <c r="N371" s="69" t="s">
        <v>95</v>
      </c>
      <c r="O371" s="298" t="s">
        <v>44</v>
      </c>
      <c r="P371" s="314" t="s">
        <v>91</v>
      </c>
      <c r="Q371" s="501" t="s">
        <v>435</v>
      </c>
      <c r="R371" s="564" t="s">
        <v>401</v>
      </c>
      <c r="S371" s="176"/>
      <c r="T371" s="145"/>
      <c r="U371" s="145"/>
    </row>
    <row r="372" spans="1:21">
      <c r="A372" s="167">
        <v>865</v>
      </c>
      <c r="B372" s="196" t="s">
        <v>98</v>
      </c>
      <c r="C372" s="196" t="s">
        <v>97</v>
      </c>
      <c r="D372" s="196">
        <v>5</v>
      </c>
      <c r="E372" s="55" t="s">
        <v>101</v>
      </c>
      <c r="F372" s="196">
        <v>105</v>
      </c>
      <c r="G372" s="244" t="s">
        <v>196</v>
      </c>
      <c r="H372" s="526">
        <v>56.2178955078125</v>
      </c>
      <c r="I372" s="243">
        <v>-1.1000000000000001</v>
      </c>
      <c r="J372" s="449">
        <v>-0.89</v>
      </c>
      <c r="K372" s="789">
        <f t="shared" si="6"/>
        <v>17.078369000000002</v>
      </c>
      <c r="L372" s="562" t="s">
        <v>665</v>
      </c>
      <c r="M372" s="563" t="s">
        <v>74</v>
      </c>
      <c r="N372" s="69" t="s">
        <v>95</v>
      </c>
      <c r="O372" s="298" t="s">
        <v>44</v>
      </c>
      <c r="P372" s="314" t="s">
        <v>91</v>
      </c>
      <c r="Q372" s="501" t="s">
        <v>435</v>
      </c>
      <c r="R372" s="564" t="s">
        <v>401</v>
      </c>
      <c r="S372" s="176"/>
      <c r="T372" s="145"/>
      <c r="U372" s="145"/>
    </row>
    <row r="373" spans="1:21">
      <c r="A373" s="560">
        <v>865</v>
      </c>
      <c r="B373" s="196" t="s">
        <v>98</v>
      </c>
      <c r="C373" s="196" t="s">
        <v>97</v>
      </c>
      <c r="D373" s="196">
        <v>5</v>
      </c>
      <c r="E373" s="55" t="s">
        <v>101</v>
      </c>
      <c r="F373" s="196">
        <v>105</v>
      </c>
      <c r="G373" s="244" t="s">
        <v>196</v>
      </c>
      <c r="H373" s="526">
        <v>56.2178955078125</v>
      </c>
      <c r="I373" s="243">
        <v>-1.28</v>
      </c>
      <c r="J373" s="449">
        <v>-0.89</v>
      </c>
      <c r="K373" s="789">
        <f t="shared" si="6"/>
        <v>17.923289</v>
      </c>
      <c r="L373" s="562" t="s">
        <v>665</v>
      </c>
      <c r="M373" s="563" t="s">
        <v>74</v>
      </c>
      <c r="N373" s="69" t="s">
        <v>95</v>
      </c>
      <c r="O373" s="298" t="s">
        <v>44</v>
      </c>
      <c r="P373" s="314" t="s">
        <v>91</v>
      </c>
      <c r="Q373" s="501" t="s">
        <v>435</v>
      </c>
      <c r="R373" s="564" t="s">
        <v>401</v>
      </c>
      <c r="S373" s="176"/>
      <c r="T373" s="145"/>
      <c r="U373" s="145"/>
    </row>
    <row r="374" spans="1:21">
      <c r="A374" s="566">
        <v>865</v>
      </c>
      <c r="B374" s="226" t="s">
        <v>98</v>
      </c>
      <c r="C374" s="226" t="s">
        <v>97</v>
      </c>
      <c r="D374" s="226">
        <v>5</v>
      </c>
      <c r="E374" s="221" t="s">
        <v>116</v>
      </c>
      <c r="F374" s="226">
        <v>105.6</v>
      </c>
      <c r="G374" s="437" t="s">
        <v>196</v>
      </c>
      <c r="H374" s="556">
        <v>56.291580200195313</v>
      </c>
      <c r="I374" s="557">
        <v>-0.76</v>
      </c>
      <c r="J374" s="456">
        <v>-0.89</v>
      </c>
      <c r="K374" s="790">
        <f t="shared" si="6"/>
        <v>15.498321000000002</v>
      </c>
      <c r="L374" s="568" t="s">
        <v>665</v>
      </c>
      <c r="M374" s="399" t="s">
        <v>74</v>
      </c>
      <c r="N374" s="183" t="s">
        <v>95</v>
      </c>
      <c r="O374" s="390" t="s">
        <v>44</v>
      </c>
      <c r="P374" s="388" t="s">
        <v>91</v>
      </c>
      <c r="Q374" s="504" t="s">
        <v>435</v>
      </c>
      <c r="R374" s="564" t="s">
        <v>401</v>
      </c>
      <c r="S374" s="176"/>
      <c r="T374" s="145"/>
      <c r="U374" s="145"/>
    </row>
    <row r="375" spans="1:21">
      <c r="A375" s="560">
        <v>865</v>
      </c>
      <c r="B375" s="196" t="s">
        <v>98</v>
      </c>
      <c r="C375" s="196" t="s">
        <v>97</v>
      </c>
      <c r="D375" s="196">
        <v>4</v>
      </c>
      <c r="E375" s="196" t="s">
        <v>113</v>
      </c>
      <c r="F375" s="196">
        <v>103</v>
      </c>
      <c r="G375" s="196"/>
      <c r="H375" s="502">
        <v>55.972282409667969</v>
      </c>
      <c r="I375" s="243">
        <v>-2.1800000000000002</v>
      </c>
      <c r="J375" s="449">
        <v>-0.89</v>
      </c>
      <c r="K375" s="789">
        <f t="shared" si="6"/>
        <v>22.235368999999999</v>
      </c>
      <c r="L375" s="395" t="s">
        <v>33</v>
      </c>
      <c r="M375" s="563" t="s">
        <v>74</v>
      </c>
      <c r="N375" s="69" t="s">
        <v>95</v>
      </c>
      <c r="O375" s="307" t="s">
        <v>35</v>
      </c>
      <c r="P375" s="314" t="s">
        <v>91</v>
      </c>
      <c r="Q375" s="501" t="s">
        <v>435</v>
      </c>
      <c r="R375" s="564" t="s">
        <v>401</v>
      </c>
      <c r="S375" s="176"/>
      <c r="T375" s="145"/>
      <c r="U375" s="145"/>
    </row>
    <row r="376" spans="1:21">
      <c r="A376" s="167">
        <v>865</v>
      </c>
      <c r="B376" s="196" t="s">
        <v>98</v>
      </c>
      <c r="C376" s="196" t="s">
        <v>97</v>
      </c>
      <c r="D376" s="196">
        <v>4</v>
      </c>
      <c r="E376" s="196" t="s">
        <v>113</v>
      </c>
      <c r="F376" s="196">
        <v>103</v>
      </c>
      <c r="G376" s="196"/>
      <c r="H376" s="502">
        <v>55.972282409667969</v>
      </c>
      <c r="I376" s="243">
        <v>-1.97</v>
      </c>
      <c r="J376" s="449">
        <v>-0.89</v>
      </c>
      <c r="K376" s="789">
        <f t="shared" si="6"/>
        <v>21.216176000000001</v>
      </c>
      <c r="L376" s="395" t="s">
        <v>33</v>
      </c>
      <c r="M376" s="563" t="s">
        <v>74</v>
      </c>
      <c r="N376" s="69" t="s">
        <v>95</v>
      </c>
      <c r="O376" s="307" t="s">
        <v>35</v>
      </c>
      <c r="P376" s="314" t="s">
        <v>91</v>
      </c>
      <c r="Q376" s="501" t="s">
        <v>435</v>
      </c>
      <c r="R376" s="564" t="s">
        <v>401</v>
      </c>
      <c r="S376" s="176"/>
      <c r="T376" s="145"/>
      <c r="U376" s="145"/>
    </row>
    <row r="377" spans="1:21">
      <c r="A377" s="560">
        <v>865</v>
      </c>
      <c r="B377" s="196" t="s">
        <v>98</v>
      </c>
      <c r="C377" s="196" t="s">
        <v>97</v>
      </c>
      <c r="D377" s="196">
        <v>4</v>
      </c>
      <c r="E377" s="196" t="s">
        <v>112</v>
      </c>
      <c r="F377" s="196">
        <v>103.1</v>
      </c>
      <c r="G377" s="196"/>
      <c r="H377" s="502">
        <v>55.984561920166016</v>
      </c>
      <c r="I377" s="243">
        <v>-1.96</v>
      </c>
      <c r="J377" s="449">
        <v>-0.89</v>
      </c>
      <c r="K377" s="789">
        <f t="shared" si="6"/>
        <v>21.167840999999999</v>
      </c>
      <c r="L377" s="395" t="s">
        <v>33</v>
      </c>
      <c r="M377" s="563" t="s">
        <v>74</v>
      </c>
      <c r="N377" s="69" t="s">
        <v>95</v>
      </c>
      <c r="O377" s="307" t="s">
        <v>35</v>
      </c>
      <c r="P377" s="314" t="s">
        <v>91</v>
      </c>
      <c r="Q377" s="501" t="s">
        <v>435</v>
      </c>
      <c r="R377" s="564" t="s">
        <v>401</v>
      </c>
      <c r="S377" s="176"/>
      <c r="T377" s="145"/>
      <c r="U377" s="145"/>
    </row>
    <row r="378" spans="1:21">
      <c r="A378" s="566">
        <v>865</v>
      </c>
      <c r="B378" s="226" t="s">
        <v>98</v>
      </c>
      <c r="C378" s="226" t="s">
        <v>97</v>
      </c>
      <c r="D378" s="226">
        <v>4</v>
      </c>
      <c r="E378" s="226" t="s">
        <v>111</v>
      </c>
      <c r="F378" s="226">
        <v>103.2</v>
      </c>
      <c r="G378" s="226"/>
      <c r="H378" s="503">
        <v>55.996841430664063</v>
      </c>
      <c r="I378" s="557">
        <v>-2.0299999999999998</v>
      </c>
      <c r="J378" s="456">
        <v>-0.89</v>
      </c>
      <c r="K378" s="790">
        <f t="shared" si="6"/>
        <v>21.506564000000001</v>
      </c>
      <c r="L378" s="229" t="s">
        <v>33</v>
      </c>
      <c r="M378" s="399" t="s">
        <v>74</v>
      </c>
      <c r="N378" s="183" t="s">
        <v>95</v>
      </c>
      <c r="O378" s="387" t="s">
        <v>35</v>
      </c>
      <c r="P378" s="388" t="s">
        <v>91</v>
      </c>
      <c r="Q378" s="504" t="s">
        <v>435</v>
      </c>
      <c r="R378" s="564" t="s">
        <v>401</v>
      </c>
      <c r="S378" s="176"/>
      <c r="T378" s="145"/>
      <c r="U378" s="145"/>
    </row>
    <row r="379" spans="1:21">
      <c r="A379" s="167">
        <v>865</v>
      </c>
      <c r="B379" s="196" t="s">
        <v>98</v>
      </c>
      <c r="C379" s="196" t="s">
        <v>97</v>
      </c>
      <c r="D379" s="196">
        <v>2</v>
      </c>
      <c r="E379" s="196" t="s">
        <v>101</v>
      </c>
      <c r="F379" s="156">
        <v>100.5</v>
      </c>
      <c r="G379" s="196"/>
      <c r="H379" s="502">
        <v>55.572307586669922</v>
      </c>
      <c r="I379" s="156" t="s">
        <v>554</v>
      </c>
      <c r="J379" s="449">
        <v>-0.89</v>
      </c>
      <c r="K379" s="789">
        <f t="shared" si="6"/>
        <v>21.603503999999997</v>
      </c>
      <c r="L379" s="395" t="s">
        <v>79</v>
      </c>
      <c r="M379" s="563" t="s">
        <v>74</v>
      </c>
      <c r="N379" s="69" t="s">
        <v>95</v>
      </c>
      <c r="O379" s="307" t="s">
        <v>35</v>
      </c>
      <c r="P379" s="314" t="s">
        <v>91</v>
      </c>
      <c r="Q379" s="501" t="s">
        <v>435</v>
      </c>
      <c r="R379" s="564" t="s">
        <v>400</v>
      </c>
      <c r="S379" s="176"/>
      <c r="T379" s="145"/>
      <c r="U379" s="145"/>
    </row>
    <row r="380" spans="1:21">
      <c r="A380" s="560">
        <v>865</v>
      </c>
      <c r="B380" s="196" t="s">
        <v>98</v>
      </c>
      <c r="C380" s="196" t="s">
        <v>97</v>
      </c>
      <c r="D380" s="196">
        <v>2</v>
      </c>
      <c r="E380" s="196" t="s">
        <v>101</v>
      </c>
      <c r="F380" s="156">
        <v>100.5</v>
      </c>
      <c r="G380" s="196"/>
      <c r="H380" s="502">
        <v>55.572307586669922</v>
      </c>
      <c r="I380" s="156" t="s">
        <v>555</v>
      </c>
      <c r="J380" s="449">
        <v>-0.89</v>
      </c>
      <c r="K380" s="789">
        <f t="shared" si="6"/>
        <v>21.797599999999999</v>
      </c>
      <c r="L380" s="395" t="s">
        <v>79</v>
      </c>
      <c r="M380" s="563" t="s">
        <v>74</v>
      </c>
      <c r="N380" s="69" t="s">
        <v>95</v>
      </c>
      <c r="O380" s="307" t="s">
        <v>35</v>
      </c>
      <c r="P380" s="314" t="s">
        <v>91</v>
      </c>
      <c r="Q380" s="501" t="s">
        <v>435</v>
      </c>
      <c r="R380" s="564" t="s">
        <v>400</v>
      </c>
      <c r="S380" s="176"/>
      <c r="T380" s="145"/>
      <c r="U380" s="145"/>
    </row>
    <row r="381" spans="1:21">
      <c r="A381" s="560">
        <v>865</v>
      </c>
      <c r="B381" s="196" t="s">
        <v>98</v>
      </c>
      <c r="C381" s="196" t="s">
        <v>97</v>
      </c>
      <c r="D381" s="196">
        <v>3</v>
      </c>
      <c r="E381" s="196" t="s">
        <v>106</v>
      </c>
      <c r="F381" s="156">
        <v>101.3</v>
      </c>
      <c r="G381" s="196"/>
      <c r="H381" s="502">
        <v>55.703998565673828</v>
      </c>
      <c r="I381" s="156" t="s">
        <v>556</v>
      </c>
      <c r="J381" s="449">
        <v>-0.89</v>
      </c>
      <c r="K381" s="789">
        <f t="shared" si="6"/>
        <v>22.186655999999999</v>
      </c>
      <c r="L381" s="395" t="s">
        <v>79</v>
      </c>
      <c r="M381" s="563" t="s">
        <v>74</v>
      </c>
      <c r="N381" s="69" t="s">
        <v>95</v>
      </c>
      <c r="O381" s="307" t="s">
        <v>35</v>
      </c>
      <c r="P381" s="314" t="s">
        <v>91</v>
      </c>
      <c r="Q381" s="501" t="s">
        <v>435</v>
      </c>
      <c r="R381" s="564" t="s">
        <v>400</v>
      </c>
      <c r="S381" s="176"/>
      <c r="T381" s="145"/>
      <c r="U381" s="145"/>
    </row>
    <row r="382" spans="1:21">
      <c r="A382" s="167">
        <v>865</v>
      </c>
      <c r="B382" s="196" t="s">
        <v>98</v>
      </c>
      <c r="C382" s="196" t="s">
        <v>97</v>
      </c>
      <c r="D382" s="196">
        <v>3</v>
      </c>
      <c r="E382" s="262" t="s">
        <v>360</v>
      </c>
      <c r="F382" s="156">
        <v>101.4</v>
      </c>
      <c r="G382" s="196"/>
      <c r="H382" s="502">
        <v>55.720001220703125</v>
      </c>
      <c r="I382" s="156" t="s">
        <v>557</v>
      </c>
      <c r="J382" s="449">
        <v>-0.89</v>
      </c>
      <c r="K382" s="789">
        <f t="shared" si="6"/>
        <v>21.458120999999998</v>
      </c>
      <c r="L382" s="395" t="s">
        <v>79</v>
      </c>
      <c r="M382" s="563" t="s">
        <v>74</v>
      </c>
      <c r="N382" s="69" t="s">
        <v>95</v>
      </c>
      <c r="O382" s="307" t="s">
        <v>35</v>
      </c>
      <c r="P382" s="314" t="s">
        <v>91</v>
      </c>
      <c r="Q382" s="501" t="s">
        <v>435</v>
      </c>
      <c r="R382" s="564" t="s">
        <v>400</v>
      </c>
      <c r="S382" s="176"/>
      <c r="T382" s="145"/>
      <c r="U382" s="145"/>
    </row>
    <row r="383" spans="1:21">
      <c r="A383" s="560">
        <v>865</v>
      </c>
      <c r="B383" s="196" t="s">
        <v>98</v>
      </c>
      <c r="C383" s="196" t="s">
        <v>97</v>
      </c>
      <c r="D383" s="196">
        <v>3</v>
      </c>
      <c r="E383" s="196" t="s">
        <v>112</v>
      </c>
      <c r="F383" s="156">
        <v>101.6</v>
      </c>
      <c r="G383" s="196"/>
      <c r="H383" s="502">
        <v>55.751998901367188</v>
      </c>
      <c r="I383" s="156" t="s">
        <v>558</v>
      </c>
      <c r="J383" s="449">
        <v>-0.89</v>
      </c>
      <c r="K383" s="789">
        <f t="shared" si="6"/>
        <v>20.926436000000002</v>
      </c>
      <c r="L383" s="395" t="s">
        <v>79</v>
      </c>
      <c r="M383" s="563" t="s">
        <v>74</v>
      </c>
      <c r="N383" s="69" t="s">
        <v>95</v>
      </c>
      <c r="O383" s="307" t="s">
        <v>35</v>
      </c>
      <c r="P383" s="314" t="s">
        <v>91</v>
      </c>
      <c r="Q383" s="501" t="s">
        <v>435</v>
      </c>
      <c r="R383" s="564" t="s">
        <v>400</v>
      </c>
      <c r="S383" s="176"/>
      <c r="T383" s="145"/>
      <c r="U383" s="145"/>
    </row>
    <row r="384" spans="1:21">
      <c r="A384" s="560">
        <v>865</v>
      </c>
      <c r="B384" s="196" t="s">
        <v>98</v>
      </c>
      <c r="C384" s="196" t="s">
        <v>97</v>
      </c>
      <c r="D384" s="196">
        <v>3</v>
      </c>
      <c r="E384" s="196" t="s">
        <v>110</v>
      </c>
      <c r="F384" s="156">
        <v>101.8</v>
      </c>
      <c r="G384" s="196"/>
      <c r="H384" s="502">
        <v>55.784000396728516</v>
      </c>
      <c r="I384" s="156" t="s">
        <v>559</v>
      </c>
      <c r="J384" s="449">
        <v>-0.89</v>
      </c>
      <c r="K384" s="789">
        <f t="shared" si="6"/>
        <v>21.749048999999999</v>
      </c>
      <c r="L384" s="395" t="s">
        <v>79</v>
      </c>
      <c r="M384" s="563" t="s">
        <v>74</v>
      </c>
      <c r="N384" s="69" t="s">
        <v>95</v>
      </c>
      <c r="O384" s="307" t="s">
        <v>35</v>
      </c>
      <c r="P384" s="314" t="s">
        <v>91</v>
      </c>
      <c r="Q384" s="501" t="s">
        <v>435</v>
      </c>
      <c r="R384" s="564" t="s">
        <v>400</v>
      </c>
      <c r="S384" s="176"/>
      <c r="T384" s="145"/>
      <c r="U384" s="145"/>
    </row>
    <row r="385" spans="1:21">
      <c r="A385" s="167">
        <v>865</v>
      </c>
      <c r="B385" s="196" t="s">
        <v>98</v>
      </c>
      <c r="C385" s="196" t="s">
        <v>97</v>
      </c>
      <c r="D385" s="196">
        <v>3</v>
      </c>
      <c r="E385" s="196" t="s">
        <v>109</v>
      </c>
      <c r="F385" s="156">
        <v>101.9</v>
      </c>
      <c r="G385" s="196"/>
      <c r="H385" s="502">
        <v>55.799999237060547</v>
      </c>
      <c r="I385" s="156" t="s">
        <v>560</v>
      </c>
      <c r="J385" s="449">
        <v>-0.89</v>
      </c>
      <c r="K385" s="789">
        <f t="shared" si="6"/>
        <v>20.830000000000002</v>
      </c>
      <c r="L385" s="395" t="s">
        <v>79</v>
      </c>
      <c r="M385" s="563" t="s">
        <v>74</v>
      </c>
      <c r="N385" s="69" t="s">
        <v>95</v>
      </c>
      <c r="O385" s="307" t="s">
        <v>35</v>
      </c>
      <c r="P385" s="314" t="s">
        <v>91</v>
      </c>
      <c r="Q385" s="501" t="s">
        <v>435</v>
      </c>
      <c r="R385" s="564" t="s">
        <v>400</v>
      </c>
      <c r="S385" s="176"/>
      <c r="T385" s="145"/>
      <c r="U385" s="145"/>
    </row>
    <row r="386" spans="1:21">
      <c r="A386" s="560">
        <v>865</v>
      </c>
      <c r="B386" s="196" t="s">
        <v>98</v>
      </c>
      <c r="C386" s="196" t="s">
        <v>97</v>
      </c>
      <c r="D386" s="196">
        <v>3</v>
      </c>
      <c r="E386" s="196" t="s">
        <v>101</v>
      </c>
      <c r="F386" s="156">
        <v>102</v>
      </c>
      <c r="G386" s="196"/>
      <c r="H386" s="502">
        <v>55.815998077392578</v>
      </c>
      <c r="I386" s="156" t="s">
        <v>555</v>
      </c>
      <c r="J386" s="449">
        <v>-0.89</v>
      </c>
      <c r="K386" s="789">
        <f t="shared" si="6"/>
        <v>21.797599999999999</v>
      </c>
      <c r="L386" s="395" t="s">
        <v>79</v>
      </c>
      <c r="M386" s="563" t="s">
        <v>74</v>
      </c>
      <c r="N386" s="69" t="s">
        <v>95</v>
      </c>
      <c r="O386" s="307" t="s">
        <v>35</v>
      </c>
      <c r="P386" s="314" t="s">
        <v>91</v>
      </c>
      <c r="Q386" s="501" t="s">
        <v>435</v>
      </c>
      <c r="R386" s="564" t="s">
        <v>400</v>
      </c>
      <c r="S386" s="176"/>
      <c r="T386" s="145"/>
      <c r="U386" s="145"/>
    </row>
    <row r="387" spans="1:21">
      <c r="A387" s="560">
        <v>865</v>
      </c>
      <c r="B387" s="196" t="s">
        <v>98</v>
      </c>
      <c r="C387" s="196" t="s">
        <v>97</v>
      </c>
      <c r="D387" s="196">
        <v>3</v>
      </c>
      <c r="E387" s="196" t="s">
        <v>104</v>
      </c>
      <c r="F387" s="156">
        <v>102.1</v>
      </c>
      <c r="G387" s="196"/>
      <c r="H387" s="502">
        <v>55.832000732421875</v>
      </c>
      <c r="I387" s="156" t="s">
        <v>561</v>
      </c>
      <c r="J387" s="449">
        <v>-0.89</v>
      </c>
      <c r="K387" s="789">
        <f t="shared" si="6"/>
        <v>21.555025000000001</v>
      </c>
      <c r="L387" s="395" t="s">
        <v>79</v>
      </c>
      <c r="M387" s="563" t="s">
        <v>74</v>
      </c>
      <c r="N387" s="69" t="s">
        <v>95</v>
      </c>
      <c r="O387" s="307" t="s">
        <v>35</v>
      </c>
      <c r="P387" s="314" t="s">
        <v>91</v>
      </c>
      <c r="Q387" s="501" t="s">
        <v>435</v>
      </c>
      <c r="R387" s="564" t="s">
        <v>400</v>
      </c>
      <c r="S387" s="176"/>
      <c r="T387" s="145"/>
      <c r="U387" s="145"/>
    </row>
    <row r="388" spans="1:21">
      <c r="A388" s="167">
        <v>865</v>
      </c>
      <c r="B388" s="196" t="s">
        <v>98</v>
      </c>
      <c r="C388" s="196" t="s">
        <v>97</v>
      </c>
      <c r="D388" s="196">
        <v>3</v>
      </c>
      <c r="E388" s="196" t="s">
        <v>105</v>
      </c>
      <c r="F388" s="156">
        <v>102.2</v>
      </c>
      <c r="G388" s="196"/>
      <c r="H388" s="502">
        <v>55.847999572753906</v>
      </c>
      <c r="I388" s="156" t="s">
        <v>562</v>
      </c>
      <c r="J388" s="449">
        <v>-0.89</v>
      </c>
      <c r="K388" s="789">
        <f t="shared" si="6"/>
        <v>21.167840999999999</v>
      </c>
      <c r="L388" s="395" t="s">
        <v>79</v>
      </c>
      <c r="M388" s="563" t="s">
        <v>74</v>
      </c>
      <c r="N388" s="69" t="s">
        <v>95</v>
      </c>
      <c r="O388" s="307" t="s">
        <v>35</v>
      </c>
      <c r="P388" s="314" t="s">
        <v>91</v>
      </c>
      <c r="Q388" s="501" t="s">
        <v>435</v>
      </c>
      <c r="R388" s="564" t="s">
        <v>400</v>
      </c>
      <c r="S388" s="176"/>
      <c r="T388" s="145"/>
      <c r="U388" s="145"/>
    </row>
    <row r="389" spans="1:21">
      <c r="A389" s="560">
        <v>865</v>
      </c>
      <c r="B389" s="196" t="s">
        <v>98</v>
      </c>
      <c r="C389" s="196" t="s">
        <v>97</v>
      </c>
      <c r="D389" s="196">
        <v>3</v>
      </c>
      <c r="E389" s="196" t="s">
        <v>108</v>
      </c>
      <c r="F389" s="156">
        <v>102.4</v>
      </c>
      <c r="G389" s="261" t="s">
        <v>587</v>
      </c>
      <c r="H389" s="502">
        <v>55.880001068115234</v>
      </c>
      <c r="I389" s="156" t="s">
        <v>563</v>
      </c>
      <c r="J389" s="449">
        <v>-0.89</v>
      </c>
      <c r="K389" s="66">
        <f t="shared" ref="K389:K450" si="7">16.1-4.64*($I389-J389)+0.09*($I389-J389)^2</f>
        <v>21.312899999999999</v>
      </c>
      <c r="L389" s="395" t="s">
        <v>79</v>
      </c>
      <c r="M389" s="563" t="s">
        <v>74</v>
      </c>
      <c r="N389" s="69" t="s">
        <v>95</v>
      </c>
      <c r="O389" s="307" t="s">
        <v>35</v>
      </c>
      <c r="P389" s="314" t="s">
        <v>91</v>
      </c>
      <c r="Q389" s="501" t="s">
        <v>435</v>
      </c>
      <c r="R389" s="564" t="s">
        <v>400</v>
      </c>
      <c r="S389" s="176"/>
      <c r="T389" s="145"/>
      <c r="U389" s="145"/>
    </row>
    <row r="390" spans="1:21">
      <c r="A390" s="560">
        <v>865</v>
      </c>
      <c r="B390" s="196" t="s">
        <v>98</v>
      </c>
      <c r="C390" s="196" t="s">
        <v>97</v>
      </c>
      <c r="D390" s="196">
        <v>3</v>
      </c>
      <c r="E390" s="196" t="s">
        <v>107</v>
      </c>
      <c r="F390" s="156">
        <v>102.5</v>
      </c>
      <c r="G390" s="261" t="s">
        <v>587</v>
      </c>
      <c r="H390" s="502">
        <v>55.895999908447266</v>
      </c>
      <c r="I390" s="156" t="s">
        <v>564</v>
      </c>
      <c r="J390" s="449">
        <v>-0.89</v>
      </c>
      <c r="K390" s="66">
        <f t="shared" si="7"/>
        <v>21.506564000000001</v>
      </c>
      <c r="L390" s="395" t="s">
        <v>79</v>
      </c>
      <c r="M390" s="563" t="s">
        <v>74</v>
      </c>
      <c r="N390" s="69" t="s">
        <v>95</v>
      </c>
      <c r="O390" s="307" t="s">
        <v>35</v>
      </c>
      <c r="P390" s="314" t="s">
        <v>91</v>
      </c>
      <c r="Q390" s="501" t="s">
        <v>435</v>
      </c>
      <c r="R390" s="564" t="s">
        <v>400</v>
      </c>
      <c r="S390" s="176"/>
      <c r="T390" s="145"/>
      <c r="U390" s="145"/>
    </row>
    <row r="391" spans="1:21">
      <c r="A391" s="167">
        <v>865</v>
      </c>
      <c r="B391" s="196" t="s">
        <v>98</v>
      </c>
      <c r="C391" s="196" t="s">
        <v>97</v>
      </c>
      <c r="D391" s="196">
        <v>3</v>
      </c>
      <c r="E391" s="196" t="s">
        <v>116</v>
      </c>
      <c r="F391" s="156">
        <v>102.6</v>
      </c>
      <c r="G391" s="261" t="s">
        <v>587</v>
      </c>
      <c r="H391" s="502">
        <v>55.911998748779297</v>
      </c>
      <c r="I391" s="156" t="s">
        <v>565</v>
      </c>
      <c r="J391" s="449">
        <v>-0.89</v>
      </c>
      <c r="K391" s="66">
        <f t="shared" si="7"/>
        <v>22.040625000000002</v>
      </c>
      <c r="L391" s="395" t="s">
        <v>79</v>
      </c>
      <c r="M391" s="563" t="s">
        <v>74</v>
      </c>
      <c r="N391" s="69" t="s">
        <v>95</v>
      </c>
      <c r="O391" s="307" t="s">
        <v>35</v>
      </c>
      <c r="P391" s="314" t="s">
        <v>91</v>
      </c>
      <c r="Q391" s="501" t="s">
        <v>435</v>
      </c>
      <c r="R391" s="564" t="s">
        <v>400</v>
      </c>
      <c r="S391" s="176"/>
      <c r="T391" s="145"/>
      <c r="U391" s="145"/>
    </row>
    <row r="392" spans="1:21">
      <c r="A392" s="560">
        <v>865</v>
      </c>
      <c r="B392" s="196" t="s">
        <v>98</v>
      </c>
      <c r="C392" s="196" t="s">
        <v>97</v>
      </c>
      <c r="D392" s="196">
        <v>3</v>
      </c>
      <c r="E392" s="196" t="s">
        <v>115</v>
      </c>
      <c r="F392" s="156">
        <v>102.7</v>
      </c>
      <c r="G392" s="261" t="s">
        <v>587</v>
      </c>
      <c r="H392" s="502">
        <v>55.927997589111328</v>
      </c>
      <c r="I392" s="243" t="s">
        <v>566</v>
      </c>
      <c r="J392" s="449">
        <v>-0.89</v>
      </c>
      <c r="K392" s="66">
        <f t="shared" si="7"/>
        <v>20.781808999999999</v>
      </c>
      <c r="L392" s="395" t="s">
        <v>79</v>
      </c>
      <c r="M392" s="563" t="s">
        <v>74</v>
      </c>
      <c r="N392" s="69" t="s">
        <v>95</v>
      </c>
      <c r="O392" s="307" t="s">
        <v>35</v>
      </c>
      <c r="P392" s="314" t="s">
        <v>91</v>
      </c>
      <c r="Q392" s="501" t="s">
        <v>435</v>
      </c>
      <c r="R392" s="564" t="s">
        <v>400</v>
      </c>
      <c r="S392" s="176"/>
      <c r="T392" s="145"/>
      <c r="U392" s="145"/>
    </row>
    <row r="393" spans="1:21">
      <c r="A393" s="560">
        <v>865</v>
      </c>
      <c r="B393" s="196" t="s">
        <v>98</v>
      </c>
      <c r="C393" s="196" t="s">
        <v>97</v>
      </c>
      <c r="D393" s="196">
        <v>3</v>
      </c>
      <c r="E393" s="196" t="s">
        <v>115</v>
      </c>
      <c r="F393" s="156">
        <v>102.7</v>
      </c>
      <c r="G393" s="261" t="s">
        <v>587</v>
      </c>
      <c r="H393" s="502">
        <v>55.927997589111328</v>
      </c>
      <c r="I393" s="243" t="s">
        <v>567</v>
      </c>
      <c r="J393" s="449">
        <v>-0.89</v>
      </c>
      <c r="K393" s="66">
        <f t="shared" si="7"/>
        <v>20.204921000000002</v>
      </c>
      <c r="L393" s="395" t="s">
        <v>79</v>
      </c>
      <c r="M393" s="563" t="s">
        <v>74</v>
      </c>
      <c r="N393" s="69" t="s">
        <v>95</v>
      </c>
      <c r="O393" s="307" t="s">
        <v>35</v>
      </c>
      <c r="P393" s="314" t="s">
        <v>91</v>
      </c>
      <c r="Q393" s="501" t="s">
        <v>435</v>
      </c>
      <c r="R393" s="564" t="s">
        <v>400</v>
      </c>
      <c r="S393" s="176"/>
      <c r="T393" s="145"/>
      <c r="U393" s="145"/>
    </row>
    <row r="394" spans="1:21">
      <c r="A394" s="167">
        <v>865</v>
      </c>
      <c r="B394" s="196" t="s">
        <v>98</v>
      </c>
      <c r="C394" s="196" t="s">
        <v>97</v>
      </c>
      <c r="D394" s="196">
        <v>4</v>
      </c>
      <c r="E394" s="196" t="s">
        <v>106</v>
      </c>
      <c r="F394" s="156">
        <v>102.8</v>
      </c>
      <c r="G394" s="261" t="s">
        <v>587</v>
      </c>
      <c r="H394" s="502">
        <v>55.944000244140625</v>
      </c>
      <c r="I394" s="243" t="s">
        <v>568</v>
      </c>
      <c r="J394" s="449">
        <v>-0.89</v>
      </c>
      <c r="K394" s="66">
        <f t="shared" si="7"/>
        <v>20.541124</v>
      </c>
      <c r="L394" s="395" t="s">
        <v>79</v>
      </c>
      <c r="M394" s="563" t="s">
        <v>74</v>
      </c>
      <c r="N394" s="69" t="s">
        <v>95</v>
      </c>
      <c r="O394" s="307" t="s">
        <v>35</v>
      </c>
      <c r="P394" s="314" t="s">
        <v>91</v>
      </c>
      <c r="Q394" s="501" t="s">
        <v>435</v>
      </c>
      <c r="R394" s="564" t="s">
        <v>400</v>
      </c>
      <c r="S394" s="176"/>
      <c r="T394" s="145"/>
      <c r="U394" s="145"/>
    </row>
    <row r="395" spans="1:21">
      <c r="A395" s="560">
        <v>865</v>
      </c>
      <c r="B395" s="196" t="s">
        <v>98</v>
      </c>
      <c r="C395" s="196" t="s">
        <v>97</v>
      </c>
      <c r="D395" s="196">
        <v>4</v>
      </c>
      <c r="E395" s="262" t="s">
        <v>360</v>
      </c>
      <c r="F395" s="156">
        <v>102.9</v>
      </c>
      <c r="G395" s="261" t="s">
        <v>587</v>
      </c>
      <c r="H395" s="502">
        <v>55.959999084472656</v>
      </c>
      <c r="I395" s="243" t="s">
        <v>569</v>
      </c>
      <c r="J395" s="449">
        <v>-0.89</v>
      </c>
      <c r="K395" s="66">
        <f t="shared" si="7"/>
        <v>20.300889000000002</v>
      </c>
      <c r="L395" s="395" t="s">
        <v>79</v>
      </c>
      <c r="M395" s="563" t="s">
        <v>74</v>
      </c>
      <c r="N395" s="69" t="s">
        <v>95</v>
      </c>
      <c r="O395" s="307" t="s">
        <v>35</v>
      </c>
      <c r="P395" s="314" t="s">
        <v>91</v>
      </c>
      <c r="Q395" s="501" t="s">
        <v>435</v>
      </c>
      <c r="R395" s="564" t="s">
        <v>400</v>
      </c>
      <c r="S395" s="176"/>
      <c r="T395" s="145"/>
      <c r="U395" s="145"/>
    </row>
    <row r="396" spans="1:21">
      <c r="A396" s="560">
        <v>865</v>
      </c>
      <c r="B396" s="196" t="s">
        <v>98</v>
      </c>
      <c r="C396" s="196" t="s">
        <v>97</v>
      </c>
      <c r="D396" s="196">
        <v>4</v>
      </c>
      <c r="E396" s="196" t="s">
        <v>113</v>
      </c>
      <c r="F396" s="156">
        <v>103</v>
      </c>
      <c r="G396" s="196"/>
      <c r="H396" s="502">
        <v>55.972282409667969</v>
      </c>
      <c r="I396" s="243" t="s">
        <v>570</v>
      </c>
      <c r="J396" s="449">
        <v>-0.89</v>
      </c>
      <c r="K396" s="789">
        <f t="shared" si="7"/>
        <v>21.022944000000003</v>
      </c>
      <c r="L396" s="395" t="s">
        <v>79</v>
      </c>
      <c r="M396" s="563" t="s">
        <v>74</v>
      </c>
      <c r="N396" s="69" t="s">
        <v>95</v>
      </c>
      <c r="O396" s="307" t="s">
        <v>35</v>
      </c>
      <c r="P396" s="314" t="s">
        <v>91</v>
      </c>
      <c r="Q396" s="501" t="s">
        <v>435</v>
      </c>
      <c r="R396" s="564" t="s">
        <v>400</v>
      </c>
      <c r="S396" s="176"/>
      <c r="T396" s="145"/>
      <c r="U396" s="145"/>
    </row>
    <row r="397" spans="1:21">
      <c r="A397" s="167">
        <v>865</v>
      </c>
      <c r="B397" s="196" t="s">
        <v>98</v>
      </c>
      <c r="C397" s="196" t="s">
        <v>97</v>
      </c>
      <c r="D397" s="196">
        <v>4</v>
      </c>
      <c r="E397" s="196" t="s">
        <v>113</v>
      </c>
      <c r="F397" s="156">
        <v>103</v>
      </c>
      <c r="G397" s="196"/>
      <c r="H397" s="502">
        <v>55.972282409667969</v>
      </c>
      <c r="I397" s="243" t="s">
        <v>571</v>
      </c>
      <c r="J397" s="449">
        <v>-0.89</v>
      </c>
      <c r="K397" s="789">
        <f t="shared" si="7"/>
        <v>20.733636000000001</v>
      </c>
      <c r="L397" s="395" t="s">
        <v>79</v>
      </c>
      <c r="M397" s="563" t="s">
        <v>74</v>
      </c>
      <c r="N397" s="69" t="s">
        <v>95</v>
      </c>
      <c r="O397" s="307" t="s">
        <v>35</v>
      </c>
      <c r="P397" s="314" t="s">
        <v>91</v>
      </c>
      <c r="Q397" s="501" t="s">
        <v>435</v>
      </c>
      <c r="R397" s="564" t="s">
        <v>400</v>
      </c>
      <c r="S397" s="176"/>
      <c r="T397" s="145"/>
      <c r="U397" s="145"/>
    </row>
    <row r="398" spans="1:21">
      <c r="A398" s="560">
        <v>865</v>
      </c>
      <c r="B398" s="196" t="s">
        <v>98</v>
      </c>
      <c r="C398" s="196" t="s">
        <v>97</v>
      </c>
      <c r="D398" s="196">
        <v>4</v>
      </c>
      <c r="E398" s="196" t="s">
        <v>112</v>
      </c>
      <c r="F398" s="156">
        <v>103.1</v>
      </c>
      <c r="G398" s="196"/>
      <c r="H398" s="502">
        <v>55.984561920166016</v>
      </c>
      <c r="I398" s="243" t="s">
        <v>572</v>
      </c>
      <c r="J398" s="449">
        <v>-0.89</v>
      </c>
      <c r="K398" s="789">
        <f t="shared" si="7"/>
        <v>20.878209000000002</v>
      </c>
      <c r="L398" s="395" t="s">
        <v>79</v>
      </c>
      <c r="M398" s="563" t="s">
        <v>74</v>
      </c>
      <c r="N398" s="69" t="s">
        <v>95</v>
      </c>
      <c r="O398" s="307" t="s">
        <v>35</v>
      </c>
      <c r="P398" s="314" t="s">
        <v>91</v>
      </c>
      <c r="Q398" s="501" t="s">
        <v>435</v>
      </c>
      <c r="R398" s="564" t="s">
        <v>400</v>
      </c>
      <c r="S398" s="176"/>
      <c r="T398" s="145"/>
      <c r="U398" s="145"/>
    </row>
    <row r="399" spans="1:21">
      <c r="A399" s="167">
        <v>865</v>
      </c>
      <c r="B399" s="196" t="s">
        <v>98</v>
      </c>
      <c r="C399" s="196" t="s">
        <v>97</v>
      </c>
      <c r="D399" s="196">
        <v>4</v>
      </c>
      <c r="E399" s="196" t="s">
        <v>111</v>
      </c>
      <c r="F399" s="156">
        <v>103.2</v>
      </c>
      <c r="G399" s="196"/>
      <c r="H399" s="502">
        <v>55.996841430664063</v>
      </c>
      <c r="I399" s="156">
        <v>-1.89</v>
      </c>
      <c r="J399" s="449">
        <v>-0.89</v>
      </c>
      <c r="K399" s="789">
        <f t="shared" si="7"/>
        <v>20.830000000000002</v>
      </c>
      <c r="L399" s="395" t="s">
        <v>79</v>
      </c>
      <c r="M399" s="563" t="s">
        <v>74</v>
      </c>
      <c r="N399" s="69" t="s">
        <v>95</v>
      </c>
      <c r="O399" s="307" t="s">
        <v>35</v>
      </c>
      <c r="P399" s="314" t="s">
        <v>91</v>
      </c>
      <c r="Q399" s="501" t="s">
        <v>435</v>
      </c>
      <c r="R399" s="564" t="s">
        <v>400</v>
      </c>
      <c r="S399" s="176"/>
      <c r="T399" s="145"/>
      <c r="U399" s="145"/>
    </row>
    <row r="400" spans="1:21">
      <c r="A400" s="560">
        <v>865</v>
      </c>
      <c r="B400" s="196" t="s">
        <v>98</v>
      </c>
      <c r="C400" s="196" t="s">
        <v>97</v>
      </c>
      <c r="D400" s="196">
        <v>4</v>
      </c>
      <c r="E400" s="156" t="s">
        <v>110</v>
      </c>
      <c r="F400" s="156">
        <v>103.3</v>
      </c>
      <c r="G400" s="196"/>
      <c r="H400" s="502">
        <v>56.009124755859375</v>
      </c>
      <c r="I400" s="156">
        <v>-1.94</v>
      </c>
      <c r="J400" s="449">
        <v>-0.89</v>
      </c>
      <c r="K400" s="789">
        <f t="shared" si="7"/>
        <v>21.071225000000002</v>
      </c>
      <c r="L400" s="395" t="s">
        <v>79</v>
      </c>
      <c r="M400" s="563" t="s">
        <v>74</v>
      </c>
      <c r="N400" s="69" t="s">
        <v>95</v>
      </c>
      <c r="O400" s="307" t="s">
        <v>35</v>
      </c>
      <c r="P400" s="314" t="s">
        <v>91</v>
      </c>
      <c r="Q400" s="501" t="s">
        <v>435</v>
      </c>
      <c r="R400" s="564" t="s">
        <v>400</v>
      </c>
      <c r="S400" s="176"/>
      <c r="T400" s="145"/>
      <c r="U400" s="145"/>
    </row>
    <row r="401" spans="1:21">
      <c r="A401" s="560">
        <v>865</v>
      </c>
      <c r="B401" s="196" t="s">
        <v>98</v>
      </c>
      <c r="C401" s="196" t="s">
        <v>97</v>
      </c>
      <c r="D401" s="196">
        <v>4</v>
      </c>
      <c r="E401" s="156" t="s">
        <v>109</v>
      </c>
      <c r="F401" s="156">
        <v>103.4</v>
      </c>
      <c r="G401" s="196"/>
      <c r="H401" s="502">
        <v>56.021404266357422</v>
      </c>
      <c r="I401" s="156">
        <v>-1.79</v>
      </c>
      <c r="J401" s="449">
        <v>-0.89</v>
      </c>
      <c r="K401" s="789">
        <f t="shared" si="7"/>
        <v>20.348900000000004</v>
      </c>
      <c r="L401" s="395" t="s">
        <v>79</v>
      </c>
      <c r="M401" s="563" t="s">
        <v>74</v>
      </c>
      <c r="N401" s="69" t="s">
        <v>95</v>
      </c>
      <c r="O401" s="307" t="s">
        <v>35</v>
      </c>
      <c r="P401" s="314" t="s">
        <v>91</v>
      </c>
      <c r="Q401" s="501" t="s">
        <v>435</v>
      </c>
      <c r="R401" s="564" t="s">
        <v>400</v>
      </c>
      <c r="S401" s="176"/>
      <c r="T401" s="145"/>
      <c r="U401" s="145"/>
    </row>
    <row r="402" spans="1:21">
      <c r="A402" s="167">
        <v>865</v>
      </c>
      <c r="B402" s="196" t="s">
        <v>98</v>
      </c>
      <c r="C402" s="196" t="s">
        <v>97</v>
      </c>
      <c r="D402" s="196">
        <v>4</v>
      </c>
      <c r="E402" s="156" t="s">
        <v>101</v>
      </c>
      <c r="F402" s="156">
        <v>103.5</v>
      </c>
      <c r="G402" s="196" t="s">
        <v>196</v>
      </c>
      <c r="H402" s="502">
        <v>56.033683776855469</v>
      </c>
      <c r="I402" s="156">
        <v>-1.83</v>
      </c>
      <c r="J402" s="449">
        <v>-0.89</v>
      </c>
      <c r="K402" s="65">
        <f t="shared" si="7"/>
        <v>20.541124</v>
      </c>
      <c r="L402" s="395" t="s">
        <v>79</v>
      </c>
      <c r="M402" s="563" t="s">
        <v>74</v>
      </c>
      <c r="N402" s="69" t="s">
        <v>95</v>
      </c>
      <c r="O402" s="307" t="s">
        <v>35</v>
      </c>
      <c r="P402" s="314" t="s">
        <v>91</v>
      </c>
      <c r="Q402" s="501" t="s">
        <v>435</v>
      </c>
      <c r="R402" s="564" t="s">
        <v>400</v>
      </c>
      <c r="S402" s="176"/>
      <c r="T402" s="145"/>
      <c r="U402" s="145"/>
    </row>
    <row r="403" spans="1:21">
      <c r="A403" s="560">
        <v>865</v>
      </c>
      <c r="B403" s="196" t="s">
        <v>98</v>
      </c>
      <c r="C403" s="196" t="s">
        <v>97</v>
      </c>
      <c r="D403" s="196">
        <v>4</v>
      </c>
      <c r="E403" s="156" t="s">
        <v>104</v>
      </c>
      <c r="F403" s="156">
        <v>103.6</v>
      </c>
      <c r="G403" s="196" t="s">
        <v>196</v>
      </c>
      <c r="H403" s="502">
        <v>56.045963287353516</v>
      </c>
      <c r="I403" s="156">
        <v>-1.94</v>
      </c>
      <c r="J403" s="449">
        <v>-0.89</v>
      </c>
      <c r="K403" s="65">
        <f t="shared" si="7"/>
        <v>21.071225000000002</v>
      </c>
      <c r="L403" s="395" t="s">
        <v>79</v>
      </c>
      <c r="M403" s="563" t="s">
        <v>74</v>
      </c>
      <c r="N403" s="69" t="s">
        <v>95</v>
      </c>
      <c r="O403" s="307" t="s">
        <v>35</v>
      </c>
      <c r="P403" s="314" t="s">
        <v>91</v>
      </c>
      <c r="Q403" s="501" t="s">
        <v>435</v>
      </c>
      <c r="R403" s="564" t="s">
        <v>400</v>
      </c>
      <c r="S403" s="176"/>
      <c r="T403" s="145"/>
      <c r="U403" s="145"/>
    </row>
    <row r="404" spans="1:21">
      <c r="A404" s="560">
        <v>865</v>
      </c>
      <c r="B404" s="196" t="s">
        <v>98</v>
      </c>
      <c r="C404" s="196" t="s">
        <v>97</v>
      </c>
      <c r="D404" s="196">
        <v>4</v>
      </c>
      <c r="E404" s="156" t="s">
        <v>105</v>
      </c>
      <c r="F404" s="156">
        <v>103.7</v>
      </c>
      <c r="G404" s="196" t="s">
        <v>196</v>
      </c>
      <c r="H404" s="502">
        <v>56.058246612548828</v>
      </c>
      <c r="I404" s="156">
        <v>-1.8</v>
      </c>
      <c r="J404" s="449">
        <v>-0.89</v>
      </c>
      <c r="K404" s="65">
        <f t="shared" si="7"/>
        <v>20.396929</v>
      </c>
      <c r="L404" s="395" t="s">
        <v>79</v>
      </c>
      <c r="M404" s="563" t="s">
        <v>74</v>
      </c>
      <c r="N404" s="69" t="s">
        <v>95</v>
      </c>
      <c r="O404" s="307" t="s">
        <v>35</v>
      </c>
      <c r="P404" s="314" t="s">
        <v>91</v>
      </c>
      <c r="Q404" s="501" t="s">
        <v>435</v>
      </c>
      <c r="R404" s="564" t="s">
        <v>400</v>
      </c>
      <c r="S404" s="176"/>
      <c r="T404" s="145"/>
      <c r="U404" s="145"/>
    </row>
    <row r="405" spans="1:21">
      <c r="A405" s="167">
        <v>865</v>
      </c>
      <c r="B405" s="196" t="s">
        <v>98</v>
      </c>
      <c r="C405" s="196" t="s">
        <v>97</v>
      </c>
      <c r="D405" s="196">
        <v>4</v>
      </c>
      <c r="E405" s="156" t="s">
        <v>108</v>
      </c>
      <c r="F405" s="156">
        <v>103.89</v>
      </c>
      <c r="G405" s="196" t="s">
        <v>196</v>
      </c>
      <c r="H405" s="502">
        <v>56.081577301025391</v>
      </c>
      <c r="I405" s="156">
        <v>-1.77</v>
      </c>
      <c r="J405" s="449">
        <v>-0.89</v>
      </c>
      <c r="K405" s="65">
        <f t="shared" si="7"/>
        <v>20.252896</v>
      </c>
      <c r="L405" s="395" t="s">
        <v>79</v>
      </c>
      <c r="M405" s="563" t="s">
        <v>74</v>
      </c>
      <c r="N405" s="69" t="s">
        <v>95</v>
      </c>
      <c r="O405" s="307" t="s">
        <v>35</v>
      </c>
      <c r="P405" s="314" t="s">
        <v>91</v>
      </c>
      <c r="Q405" s="501" t="s">
        <v>435</v>
      </c>
      <c r="R405" s="564" t="s">
        <v>400</v>
      </c>
      <c r="S405" s="176"/>
      <c r="T405" s="145"/>
      <c r="U405" s="145"/>
    </row>
    <row r="406" spans="1:21">
      <c r="A406" s="560">
        <v>865</v>
      </c>
      <c r="B406" s="196" t="s">
        <v>98</v>
      </c>
      <c r="C406" s="196" t="s">
        <v>97</v>
      </c>
      <c r="D406" s="196">
        <v>4</v>
      </c>
      <c r="E406" s="156" t="s">
        <v>108</v>
      </c>
      <c r="F406" s="156">
        <v>103.9</v>
      </c>
      <c r="G406" s="196" t="s">
        <v>196</v>
      </c>
      <c r="H406" s="502">
        <v>56.082805633544922</v>
      </c>
      <c r="I406" s="156">
        <v>-1.76</v>
      </c>
      <c r="J406" s="449">
        <v>-0.89</v>
      </c>
      <c r="K406" s="65">
        <f t="shared" si="7"/>
        <v>20.204921000000002</v>
      </c>
      <c r="L406" s="395" t="s">
        <v>79</v>
      </c>
      <c r="M406" s="563" t="s">
        <v>74</v>
      </c>
      <c r="N406" s="69" t="s">
        <v>95</v>
      </c>
      <c r="O406" s="307" t="s">
        <v>35</v>
      </c>
      <c r="P406" s="314" t="s">
        <v>91</v>
      </c>
      <c r="Q406" s="501" t="s">
        <v>435</v>
      </c>
      <c r="R406" s="564" t="s">
        <v>400</v>
      </c>
      <c r="S406" s="176"/>
      <c r="T406" s="145"/>
      <c r="U406" s="145"/>
    </row>
    <row r="407" spans="1:21">
      <c r="A407" s="560">
        <v>865</v>
      </c>
      <c r="B407" s="196" t="s">
        <v>98</v>
      </c>
      <c r="C407" s="196" t="s">
        <v>97</v>
      </c>
      <c r="D407" s="196">
        <v>4</v>
      </c>
      <c r="E407" s="156" t="s">
        <v>107</v>
      </c>
      <c r="F407" s="156">
        <v>104</v>
      </c>
      <c r="G407" s="196" t="s">
        <v>196</v>
      </c>
      <c r="H407" s="502">
        <v>56.095088958740234</v>
      </c>
      <c r="I407" s="156">
        <v>-1.84</v>
      </c>
      <c r="J407" s="449">
        <v>-0.89</v>
      </c>
      <c r="K407" s="65">
        <f t="shared" si="7"/>
        <v>20.589225000000003</v>
      </c>
      <c r="L407" s="395" t="s">
        <v>79</v>
      </c>
      <c r="M407" s="563" t="s">
        <v>74</v>
      </c>
      <c r="N407" s="69" t="s">
        <v>95</v>
      </c>
      <c r="O407" s="307" t="s">
        <v>35</v>
      </c>
      <c r="P407" s="314" t="s">
        <v>91</v>
      </c>
      <c r="Q407" s="501" t="s">
        <v>435</v>
      </c>
      <c r="R407" s="564" t="s">
        <v>400</v>
      </c>
      <c r="S407" s="176"/>
      <c r="T407" s="145"/>
      <c r="U407" s="145"/>
    </row>
    <row r="408" spans="1:21">
      <c r="A408" s="167">
        <v>865</v>
      </c>
      <c r="B408" s="196" t="s">
        <v>98</v>
      </c>
      <c r="C408" s="196" t="s">
        <v>97</v>
      </c>
      <c r="D408" s="156">
        <v>4</v>
      </c>
      <c r="E408" s="156" t="s">
        <v>116</v>
      </c>
      <c r="F408" s="156">
        <v>104.1</v>
      </c>
      <c r="G408" s="196" t="s">
        <v>196</v>
      </c>
      <c r="H408" s="502">
        <v>56.107368469238281</v>
      </c>
      <c r="I408" s="156">
        <v>-1.78</v>
      </c>
      <c r="J408" s="449">
        <v>-0.89</v>
      </c>
      <c r="K408" s="65">
        <f t="shared" si="7"/>
        <v>20.300889000000002</v>
      </c>
      <c r="L408" s="395" t="s">
        <v>79</v>
      </c>
      <c r="M408" s="563" t="s">
        <v>74</v>
      </c>
      <c r="N408" s="69" t="s">
        <v>95</v>
      </c>
      <c r="O408" s="307" t="s">
        <v>35</v>
      </c>
      <c r="P408" s="314" t="s">
        <v>91</v>
      </c>
      <c r="Q408" s="501" t="s">
        <v>435</v>
      </c>
      <c r="R408" s="564" t="s">
        <v>400</v>
      </c>
      <c r="S408" s="176"/>
      <c r="T408" s="145"/>
      <c r="U408" s="145"/>
    </row>
    <row r="409" spans="1:21">
      <c r="A409" s="560">
        <v>865</v>
      </c>
      <c r="B409" s="196" t="s">
        <v>98</v>
      </c>
      <c r="C409" s="196" t="s">
        <v>97</v>
      </c>
      <c r="D409" s="156">
        <v>4</v>
      </c>
      <c r="E409" s="156" t="s">
        <v>115</v>
      </c>
      <c r="F409" s="156">
        <v>104.2</v>
      </c>
      <c r="G409" s="196" t="s">
        <v>196</v>
      </c>
      <c r="H409" s="502">
        <v>56.119647979736328</v>
      </c>
      <c r="I409" s="156">
        <v>-1.84</v>
      </c>
      <c r="J409" s="449">
        <v>-0.89</v>
      </c>
      <c r="K409" s="65">
        <f t="shared" si="7"/>
        <v>20.589225000000003</v>
      </c>
      <c r="L409" s="395" t="s">
        <v>79</v>
      </c>
      <c r="M409" s="563" t="s">
        <v>74</v>
      </c>
      <c r="N409" s="69" t="s">
        <v>95</v>
      </c>
      <c r="O409" s="307" t="s">
        <v>35</v>
      </c>
      <c r="P409" s="314" t="s">
        <v>91</v>
      </c>
      <c r="Q409" s="501" t="s">
        <v>435</v>
      </c>
      <c r="R409" s="564" t="s">
        <v>400</v>
      </c>
      <c r="S409" s="176"/>
      <c r="T409" s="145"/>
      <c r="U409" s="145"/>
    </row>
    <row r="410" spans="1:21">
      <c r="A410" s="560">
        <v>865</v>
      </c>
      <c r="B410" s="196" t="s">
        <v>98</v>
      </c>
      <c r="C410" s="196" t="s">
        <v>97</v>
      </c>
      <c r="D410" s="156">
        <v>5</v>
      </c>
      <c r="E410" s="156" t="s">
        <v>106</v>
      </c>
      <c r="F410" s="156">
        <v>104.3</v>
      </c>
      <c r="G410" s="196" t="s">
        <v>196</v>
      </c>
      <c r="H410" s="502">
        <v>56.131931304931641</v>
      </c>
      <c r="I410" s="156">
        <v>-1.86</v>
      </c>
      <c r="J410" s="449">
        <v>-0.89</v>
      </c>
      <c r="K410" s="65">
        <f t="shared" si="7"/>
        <v>20.685480999999999</v>
      </c>
      <c r="L410" s="395" t="s">
        <v>79</v>
      </c>
      <c r="M410" s="563" t="s">
        <v>74</v>
      </c>
      <c r="N410" s="69" t="s">
        <v>95</v>
      </c>
      <c r="O410" s="307" t="s">
        <v>35</v>
      </c>
      <c r="P410" s="314" t="s">
        <v>91</v>
      </c>
      <c r="Q410" s="501" t="s">
        <v>435</v>
      </c>
      <c r="R410" s="564" t="s">
        <v>400</v>
      </c>
      <c r="S410" s="176"/>
      <c r="T410" s="145"/>
      <c r="U410" s="145"/>
    </row>
    <row r="411" spans="1:21">
      <c r="A411" s="167">
        <v>865</v>
      </c>
      <c r="B411" s="196" t="s">
        <v>98</v>
      </c>
      <c r="C411" s="196" t="s">
        <v>97</v>
      </c>
      <c r="D411" s="156">
        <v>5</v>
      </c>
      <c r="E411" s="156" t="s">
        <v>101</v>
      </c>
      <c r="F411" s="156">
        <v>105</v>
      </c>
      <c r="G411" s="196" t="s">
        <v>196</v>
      </c>
      <c r="H411" s="502">
        <v>56.2178955078125</v>
      </c>
      <c r="I411" s="156">
        <v>-1.84</v>
      </c>
      <c r="J411" s="449">
        <v>-0.89</v>
      </c>
      <c r="K411" s="65">
        <f t="shared" si="7"/>
        <v>20.589225000000003</v>
      </c>
      <c r="L411" s="395" t="s">
        <v>79</v>
      </c>
      <c r="M411" s="563" t="s">
        <v>74</v>
      </c>
      <c r="N411" s="69" t="s">
        <v>95</v>
      </c>
      <c r="O411" s="307" t="s">
        <v>35</v>
      </c>
      <c r="P411" s="314" t="s">
        <v>91</v>
      </c>
      <c r="Q411" s="501" t="s">
        <v>435</v>
      </c>
      <c r="R411" s="564" t="s">
        <v>400</v>
      </c>
      <c r="S411" s="176"/>
      <c r="T411" s="145"/>
      <c r="U411" s="145"/>
    </row>
    <row r="412" spans="1:21">
      <c r="A412" s="560">
        <v>865</v>
      </c>
      <c r="B412" s="196" t="s">
        <v>98</v>
      </c>
      <c r="C412" s="196" t="s">
        <v>97</v>
      </c>
      <c r="D412" s="156">
        <v>5</v>
      </c>
      <c r="E412" s="156" t="s">
        <v>116</v>
      </c>
      <c r="F412" s="156">
        <v>105.6</v>
      </c>
      <c r="G412" s="196" t="s">
        <v>196</v>
      </c>
      <c r="H412" s="502">
        <v>56.291580200195313</v>
      </c>
      <c r="I412" s="156">
        <v>-1.68</v>
      </c>
      <c r="J412" s="449">
        <v>-0.89</v>
      </c>
      <c r="K412" s="65">
        <f t="shared" si="7"/>
        <v>19.821769</v>
      </c>
      <c r="L412" s="395" t="s">
        <v>79</v>
      </c>
      <c r="M412" s="563" t="s">
        <v>74</v>
      </c>
      <c r="N412" s="69" t="s">
        <v>95</v>
      </c>
      <c r="O412" s="307" t="s">
        <v>35</v>
      </c>
      <c r="P412" s="314" t="s">
        <v>91</v>
      </c>
      <c r="Q412" s="501" t="s">
        <v>435</v>
      </c>
      <c r="R412" s="564" t="s">
        <v>400</v>
      </c>
      <c r="S412" s="176"/>
      <c r="T412" s="145"/>
      <c r="U412" s="145"/>
    </row>
    <row r="413" spans="1:21">
      <c r="A413" s="566">
        <v>865</v>
      </c>
      <c r="B413" s="226" t="s">
        <v>98</v>
      </c>
      <c r="C413" s="226" t="s">
        <v>97</v>
      </c>
      <c r="D413" s="226">
        <v>6</v>
      </c>
      <c r="E413" s="226" t="s">
        <v>101</v>
      </c>
      <c r="F413" s="226">
        <v>106.5</v>
      </c>
      <c r="G413" s="226" t="s">
        <v>196</v>
      </c>
      <c r="H413" s="503">
        <v>56.402107238769531</v>
      </c>
      <c r="I413" s="226">
        <v>-1.81</v>
      </c>
      <c r="J413" s="456">
        <v>-0.89</v>
      </c>
      <c r="K413" s="77">
        <f t="shared" si="7"/>
        <v>20.444976</v>
      </c>
      <c r="L413" s="229" t="s">
        <v>79</v>
      </c>
      <c r="M413" s="399" t="s">
        <v>74</v>
      </c>
      <c r="N413" s="183" t="s">
        <v>95</v>
      </c>
      <c r="O413" s="387" t="s">
        <v>35</v>
      </c>
      <c r="P413" s="388" t="s">
        <v>91</v>
      </c>
      <c r="Q413" s="504" t="s">
        <v>435</v>
      </c>
      <c r="R413" s="564" t="s">
        <v>400</v>
      </c>
      <c r="S413" s="176"/>
      <c r="T413" s="145"/>
      <c r="U413" s="145"/>
    </row>
    <row r="414" spans="1:21">
      <c r="A414" s="560">
        <v>865</v>
      </c>
      <c r="B414" s="196" t="s">
        <v>89</v>
      </c>
      <c r="C414" s="196">
        <v>9</v>
      </c>
      <c r="D414" s="196">
        <v>4</v>
      </c>
      <c r="E414" s="262" t="s">
        <v>360</v>
      </c>
      <c r="F414" s="196">
        <v>79.599999999999994</v>
      </c>
      <c r="G414" s="196" t="s">
        <v>21</v>
      </c>
      <c r="H414" s="502">
        <v>49.110000610351563</v>
      </c>
      <c r="I414" s="156">
        <v>-1.66</v>
      </c>
      <c r="J414" s="449">
        <v>-0.89</v>
      </c>
      <c r="K414" s="64">
        <f t="shared" si="7"/>
        <v>19.726161000000001</v>
      </c>
      <c r="L414" s="395" t="s">
        <v>201</v>
      </c>
      <c r="M414" s="563" t="s">
        <v>74</v>
      </c>
      <c r="N414" s="69" t="s">
        <v>95</v>
      </c>
      <c r="O414" s="307" t="s">
        <v>35</v>
      </c>
      <c r="P414" s="314" t="s">
        <v>91</v>
      </c>
      <c r="Q414" s="501" t="s">
        <v>435</v>
      </c>
      <c r="R414" s="564" t="s">
        <v>400</v>
      </c>
      <c r="S414" s="176" t="s">
        <v>740</v>
      </c>
      <c r="T414" s="145"/>
      <c r="U414" s="145"/>
    </row>
    <row r="415" spans="1:21">
      <c r="A415" s="560">
        <v>865</v>
      </c>
      <c r="B415" s="196" t="s">
        <v>89</v>
      </c>
      <c r="C415" s="196">
        <v>9</v>
      </c>
      <c r="D415" s="196">
        <v>4</v>
      </c>
      <c r="E415" s="555" t="s">
        <v>101</v>
      </c>
      <c r="F415" s="196">
        <v>80.2</v>
      </c>
      <c r="G415" s="196" t="s">
        <v>21</v>
      </c>
      <c r="H415" s="502">
        <v>49.385398864746094</v>
      </c>
      <c r="I415" s="156">
        <v>-1.59</v>
      </c>
      <c r="J415" s="449">
        <v>-0.89</v>
      </c>
      <c r="K415" s="64">
        <f t="shared" si="7"/>
        <v>19.392100000000003</v>
      </c>
      <c r="L415" s="395" t="s">
        <v>201</v>
      </c>
      <c r="M415" s="563" t="s">
        <v>74</v>
      </c>
      <c r="N415" s="69" t="s">
        <v>95</v>
      </c>
      <c r="O415" s="307" t="s">
        <v>35</v>
      </c>
      <c r="P415" s="314" t="s">
        <v>91</v>
      </c>
      <c r="Q415" s="501" t="s">
        <v>435</v>
      </c>
      <c r="R415" s="564" t="s">
        <v>400</v>
      </c>
      <c r="S415" s="176" t="s">
        <v>740</v>
      </c>
      <c r="T415" s="145"/>
      <c r="U415" s="145"/>
    </row>
    <row r="416" spans="1:21">
      <c r="A416" s="167">
        <v>865</v>
      </c>
      <c r="B416" s="196" t="s">
        <v>89</v>
      </c>
      <c r="C416" s="196">
        <v>9</v>
      </c>
      <c r="D416" s="196">
        <v>4</v>
      </c>
      <c r="E416" s="555" t="s">
        <v>574</v>
      </c>
      <c r="F416" s="196">
        <v>80.7</v>
      </c>
      <c r="G416" s="196" t="s">
        <v>21</v>
      </c>
      <c r="H416" s="502">
        <v>49.614898681640625</v>
      </c>
      <c r="I416" s="156">
        <v>-1.1399999999999999</v>
      </c>
      <c r="J416" s="449">
        <v>-0.89</v>
      </c>
      <c r="K416" s="64">
        <f t="shared" si="7"/>
        <v>17.265625</v>
      </c>
      <c r="L416" s="395" t="s">
        <v>201</v>
      </c>
      <c r="M416" s="563" t="s">
        <v>74</v>
      </c>
      <c r="N416" s="69" t="s">
        <v>95</v>
      </c>
      <c r="O416" s="307" t="s">
        <v>35</v>
      </c>
      <c r="P416" s="314" t="s">
        <v>91</v>
      </c>
      <c r="Q416" s="501" t="s">
        <v>435</v>
      </c>
      <c r="R416" s="564" t="s">
        <v>400</v>
      </c>
      <c r="S416" s="176" t="s">
        <v>740</v>
      </c>
      <c r="T416" s="145"/>
      <c r="U416" s="145"/>
    </row>
    <row r="417" spans="1:21">
      <c r="A417" s="560">
        <v>865</v>
      </c>
      <c r="B417" s="196" t="s">
        <v>89</v>
      </c>
      <c r="C417" s="196">
        <v>9</v>
      </c>
      <c r="D417" s="196">
        <v>5</v>
      </c>
      <c r="E417" s="156" t="s">
        <v>103</v>
      </c>
      <c r="F417" s="196">
        <v>81.180000000000007</v>
      </c>
      <c r="G417" s="196" t="s">
        <v>21</v>
      </c>
      <c r="H417" s="502">
        <v>49.835220336914063</v>
      </c>
      <c r="I417" s="156">
        <v>-1.51</v>
      </c>
      <c r="J417" s="449">
        <v>-0.89</v>
      </c>
      <c r="K417" s="64">
        <f t="shared" si="7"/>
        <v>19.011396000000001</v>
      </c>
      <c r="L417" s="395" t="s">
        <v>201</v>
      </c>
      <c r="M417" s="563" t="s">
        <v>74</v>
      </c>
      <c r="N417" s="69" t="s">
        <v>95</v>
      </c>
      <c r="O417" s="307" t="s">
        <v>35</v>
      </c>
      <c r="P417" s="314" t="s">
        <v>91</v>
      </c>
      <c r="Q417" s="501" t="s">
        <v>435</v>
      </c>
      <c r="R417" s="564" t="s">
        <v>400</v>
      </c>
      <c r="S417" s="176" t="s">
        <v>740</v>
      </c>
      <c r="T417" s="145"/>
      <c r="U417" s="145"/>
    </row>
    <row r="418" spans="1:21">
      <c r="A418" s="560">
        <v>865</v>
      </c>
      <c r="B418" s="196" t="s">
        <v>89</v>
      </c>
      <c r="C418" s="196">
        <v>9</v>
      </c>
      <c r="D418" s="196">
        <v>5</v>
      </c>
      <c r="E418" s="156" t="s">
        <v>101</v>
      </c>
      <c r="F418" s="196">
        <v>81.7</v>
      </c>
      <c r="G418" s="196" t="s">
        <v>21</v>
      </c>
      <c r="H418" s="502">
        <v>50.073898315429688</v>
      </c>
      <c r="I418" s="156">
        <v>-1.37</v>
      </c>
      <c r="J418" s="449">
        <v>-0.89</v>
      </c>
      <c r="K418" s="64">
        <f t="shared" si="7"/>
        <v>18.347936000000001</v>
      </c>
      <c r="L418" s="395" t="s">
        <v>201</v>
      </c>
      <c r="M418" s="563" t="s">
        <v>74</v>
      </c>
      <c r="N418" s="69" t="s">
        <v>95</v>
      </c>
      <c r="O418" s="307" t="s">
        <v>35</v>
      </c>
      <c r="P418" s="314" t="s">
        <v>91</v>
      </c>
      <c r="Q418" s="501" t="s">
        <v>435</v>
      </c>
      <c r="R418" s="564" t="s">
        <v>400</v>
      </c>
      <c r="S418" s="176" t="s">
        <v>740</v>
      </c>
      <c r="T418" s="145"/>
      <c r="U418" s="145"/>
    </row>
    <row r="419" spans="1:21">
      <c r="A419" s="167">
        <v>865</v>
      </c>
      <c r="B419" s="196" t="s">
        <v>89</v>
      </c>
      <c r="C419" s="196">
        <v>9</v>
      </c>
      <c r="D419" s="196">
        <v>5</v>
      </c>
      <c r="E419" s="156" t="s">
        <v>574</v>
      </c>
      <c r="F419" s="196">
        <v>82.2</v>
      </c>
      <c r="G419" s="196" t="s">
        <v>21</v>
      </c>
      <c r="H419" s="502">
        <v>50.303398132324219</v>
      </c>
      <c r="I419" s="156">
        <v>-1.44</v>
      </c>
      <c r="J419" s="449">
        <v>-0.89</v>
      </c>
      <c r="K419" s="64">
        <f t="shared" si="7"/>
        <v>18.679225000000002</v>
      </c>
      <c r="L419" s="395" t="s">
        <v>201</v>
      </c>
      <c r="M419" s="563" t="s">
        <v>74</v>
      </c>
      <c r="N419" s="69" t="s">
        <v>95</v>
      </c>
      <c r="O419" s="307" t="s">
        <v>35</v>
      </c>
      <c r="P419" s="314" t="s">
        <v>91</v>
      </c>
      <c r="Q419" s="501" t="s">
        <v>435</v>
      </c>
      <c r="R419" s="564" t="s">
        <v>400</v>
      </c>
      <c r="S419" s="176" t="s">
        <v>740</v>
      </c>
      <c r="T419" s="145"/>
      <c r="U419" s="145"/>
    </row>
    <row r="420" spans="1:21">
      <c r="A420" s="560">
        <v>865</v>
      </c>
      <c r="B420" s="196" t="s">
        <v>89</v>
      </c>
      <c r="C420" s="196">
        <v>9</v>
      </c>
      <c r="D420" s="196">
        <v>6</v>
      </c>
      <c r="E420" s="555" t="s">
        <v>575</v>
      </c>
      <c r="F420" s="196">
        <v>82.56</v>
      </c>
      <c r="G420" s="196" t="s">
        <v>21</v>
      </c>
      <c r="H420" s="502">
        <v>50.468639373779297</v>
      </c>
      <c r="I420" s="156">
        <v>-1.87</v>
      </c>
      <c r="J420" s="449">
        <v>-0.89</v>
      </c>
      <c r="K420" s="64">
        <f t="shared" si="7"/>
        <v>20.733636000000001</v>
      </c>
      <c r="L420" s="395" t="s">
        <v>201</v>
      </c>
      <c r="M420" s="563" t="s">
        <v>74</v>
      </c>
      <c r="N420" s="69" t="s">
        <v>95</v>
      </c>
      <c r="O420" s="307" t="s">
        <v>35</v>
      </c>
      <c r="P420" s="314" t="s">
        <v>91</v>
      </c>
      <c r="Q420" s="501" t="s">
        <v>435</v>
      </c>
      <c r="R420" s="564" t="s">
        <v>400</v>
      </c>
      <c r="S420" s="176" t="s">
        <v>740</v>
      </c>
      <c r="T420" s="145"/>
      <c r="U420" s="145"/>
    </row>
    <row r="421" spans="1:21">
      <c r="A421" s="560">
        <v>865</v>
      </c>
      <c r="B421" s="196" t="s">
        <v>89</v>
      </c>
      <c r="C421" s="196">
        <v>9</v>
      </c>
      <c r="D421" s="196">
        <v>6</v>
      </c>
      <c r="E421" s="555" t="s">
        <v>113</v>
      </c>
      <c r="F421" s="196">
        <v>82.7</v>
      </c>
      <c r="G421" s="196" t="s">
        <v>21</v>
      </c>
      <c r="H421" s="502">
        <v>50.53289794921875</v>
      </c>
      <c r="I421" s="156">
        <v>-1.6</v>
      </c>
      <c r="J421" s="449">
        <v>-0.89</v>
      </c>
      <c r="K421" s="64">
        <f t="shared" si="7"/>
        <v>19.439769000000002</v>
      </c>
      <c r="L421" s="395" t="s">
        <v>201</v>
      </c>
      <c r="M421" s="563" t="s">
        <v>74</v>
      </c>
      <c r="N421" s="69" t="s">
        <v>95</v>
      </c>
      <c r="O421" s="307" t="s">
        <v>35</v>
      </c>
      <c r="P421" s="314" t="s">
        <v>91</v>
      </c>
      <c r="Q421" s="501" t="s">
        <v>435</v>
      </c>
      <c r="R421" s="564" t="s">
        <v>400</v>
      </c>
      <c r="S421" s="176" t="s">
        <v>740</v>
      </c>
      <c r="T421" s="145"/>
      <c r="U421" s="145"/>
    </row>
    <row r="422" spans="1:21">
      <c r="A422" s="167">
        <v>865</v>
      </c>
      <c r="B422" s="196" t="s">
        <v>89</v>
      </c>
      <c r="C422" s="196">
        <v>9</v>
      </c>
      <c r="D422" s="196">
        <v>6</v>
      </c>
      <c r="E422" s="555" t="s">
        <v>101</v>
      </c>
      <c r="F422" s="196">
        <v>83.2</v>
      </c>
      <c r="G422" s="196" t="s">
        <v>21</v>
      </c>
      <c r="H422" s="502">
        <v>50.762397766113281</v>
      </c>
      <c r="I422" s="156">
        <v>-1.85</v>
      </c>
      <c r="J422" s="449">
        <v>-0.89</v>
      </c>
      <c r="K422" s="64">
        <f t="shared" si="7"/>
        <v>20.637344000000002</v>
      </c>
      <c r="L422" s="395" t="s">
        <v>201</v>
      </c>
      <c r="M422" s="563" t="s">
        <v>74</v>
      </c>
      <c r="N422" s="69" t="s">
        <v>95</v>
      </c>
      <c r="O422" s="307" t="s">
        <v>35</v>
      </c>
      <c r="P422" s="314" t="s">
        <v>91</v>
      </c>
      <c r="Q422" s="501" t="s">
        <v>435</v>
      </c>
      <c r="R422" s="564" t="s">
        <v>400</v>
      </c>
      <c r="S422" s="176" t="s">
        <v>740</v>
      </c>
      <c r="T422" s="145"/>
      <c r="U422" s="145"/>
    </row>
    <row r="423" spans="1:21">
      <c r="A423" s="560">
        <v>865</v>
      </c>
      <c r="B423" s="196" t="s">
        <v>89</v>
      </c>
      <c r="C423" s="196">
        <v>10</v>
      </c>
      <c r="D423" s="196">
        <v>1</v>
      </c>
      <c r="E423" s="555" t="s">
        <v>206</v>
      </c>
      <c r="F423" s="196">
        <v>84.54</v>
      </c>
      <c r="G423" s="196" t="s">
        <v>21</v>
      </c>
      <c r="H423" s="502">
        <v>51.377460479736328</v>
      </c>
      <c r="I423" s="156">
        <v>-2</v>
      </c>
      <c r="J423" s="449">
        <v>-0.89</v>
      </c>
      <c r="K423" s="64">
        <f t="shared" si="7"/>
        <v>21.361288999999999</v>
      </c>
      <c r="L423" s="395" t="s">
        <v>201</v>
      </c>
      <c r="M423" s="563" t="s">
        <v>74</v>
      </c>
      <c r="N423" s="69" t="s">
        <v>95</v>
      </c>
      <c r="O423" s="307" t="s">
        <v>35</v>
      </c>
      <c r="P423" s="314" t="s">
        <v>91</v>
      </c>
      <c r="Q423" s="501" t="s">
        <v>435</v>
      </c>
      <c r="R423" s="564" t="s">
        <v>400</v>
      </c>
      <c r="S423" s="176" t="s">
        <v>740</v>
      </c>
      <c r="T423" s="145"/>
      <c r="U423" s="145"/>
    </row>
    <row r="424" spans="1:21">
      <c r="A424" s="560">
        <v>865</v>
      </c>
      <c r="B424" s="196" t="s">
        <v>89</v>
      </c>
      <c r="C424" s="196">
        <v>10</v>
      </c>
      <c r="D424" s="196">
        <v>1</v>
      </c>
      <c r="E424" s="555" t="s">
        <v>352</v>
      </c>
      <c r="F424" s="196">
        <v>85.33</v>
      </c>
      <c r="G424" s="196" t="s">
        <v>21</v>
      </c>
      <c r="H424" s="502">
        <v>51.740070343017578</v>
      </c>
      <c r="I424" s="156">
        <v>-2.09</v>
      </c>
      <c r="J424" s="449">
        <v>-0.89</v>
      </c>
      <c r="K424" s="64">
        <f t="shared" si="7"/>
        <v>21.797599999999999</v>
      </c>
      <c r="L424" s="395" t="s">
        <v>201</v>
      </c>
      <c r="M424" s="563" t="s">
        <v>74</v>
      </c>
      <c r="N424" s="69" t="s">
        <v>95</v>
      </c>
      <c r="O424" s="307" t="s">
        <v>35</v>
      </c>
      <c r="P424" s="314" t="s">
        <v>91</v>
      </c>
      <c r="Q424" s="501" t="s">
        <v>435</v>
      </c>
      <c r="R424" s="564" t="s">
        <v>400</v>
      </c>
      <c r="S424" s="176" t="s">
        <v>740</v>
      </c>
      <c r="T424" s="145"/>
      <c r="U424" s="145"/>
    </row>
    <row r="425" spans="1:21">
      <c r="A425" s="167">
        <v>865</v>
      </c>
      <c r="B425" s="196" t="s">
        <v>89</v>
      </c>
      <c r="C425" s="196">
        <v>10</v>
      </c>
      <c r="D425" s="196">
        <v>2</v>
      </c>
      <c r="E425" s="555" t="s">
        <v>206</v>
      </c>
      <c r="F425" s="196">
        <v>86.04</v>
      </c>
      <c r="G425" s="196" t="s">
        <v>21</v>
      </c>
      <c r="H425" s="502">
        <v>52.065959930419922</v>
      </c>
      <c r="I425" s="156">
        <v>-2.2799999999999998</v>
      </c>
      <c r="J425" s="449">
        <v>-0.89</v>
      </c>
      <c r="K425" s="64">
        <f t="shared" si="7"/>
        <v>22.723488999999997</v>
      </c>
      <c r="L425" s="395" t="s">
        <v>201</v>
      </c>
      <c r="M425" s="563" t="s">
        <v>74</v>
      </c>
      <c r="N425" s="69" t="s">
        <v>95</v>
      </c>
      <c r="O425" s="307" t="s">
        <v>35</v>
      </c>
      <c r="P425" s="314" t="s">
        <v>91</v>
      </c>
      <c r="Q425" s="501" t="s">
        <v>435</v>
      </c>
      <c r="R425" s="564" t="s">
        <v>400</v>
      </c>
      <c r="S425" s="176" t="s">
        <v>740</v>
      </c>
      <c r="T425" s="145"/>
      <c r="U425" s="145"/>
    </row>
    <row r="426" spans="1:21">
      <c r="A426" s="560">
        <v>865</v>
      </c>
      <c r="B426" s="196" t="s">
        <v>89</v>
      </c>
      <c r="C426" s="196">
        <v>10</v>
      </c>
      <c r="D426" s="196">
        <v>2</v>
      </c>
      <c r="E426" s="555" t="s">
        <v>109</v>
      </c>
      <c r="F426" s="196">
        <v>86.6</v>
      </c>
      <c r="G426" s="196" t="s">
        <v>21</v>
      </c>
      <c r="H426" s="502">
        <v>52.322998046875</v>
      </c>
      <c r="I426" s="156">
        <v>-2.0499999999999998</v>
      </c>
      <c r="J426" s="449">
        <v>-0.89</v>
      </c>
      <c r="K426" s="64">
        <f t="shared" si="7"/>
        <v>21.603503999999997</v>
      </c>
      <c r="L426" s="395" t="s">
        <v>201</v>
      </c>
      <c r="M426" s="563" t="s">
        <v>74</v>
      </c>
      <c r="N426" s="69" t="s">
        <v>573</v>
      </c>
      <c r="O426" s="307" t="s">
        <v>35</v>
      </c>
      <c r="P426" s="314" t="s">
        <v>91</v>
      </c>
      <c r="Q426" s="501" t="s">
        <v>435</v>
      </c>
      <c r="R426" s="564" t="s">
        <v>400</v>
      </c>
      <c r="S426" s="176" t="s">
        <v>740</v>
      </c>
      <c r="T426" s="145"/>
      <c r="U426" s="145"/>
    </row>
    <row r="427" spans="1:21">
      <c r="A427" s="560">
        <v>865</v>
      </c>
      <c r="B427" s="196" t="s">
        <v>89</v>
      </c>
      <c r="C427" s="196">
        <v>10</v>
      </c>
      <c r="D427" s="196">
        <v>2</v>
      </c>
      <c r="E427" s="555" t="s">
        <v>574</v>
      </c>
      <c r="F427" s="196">
        <v>87.2</v>
      </c>
      <c r="G427" s="196" t="s">
        <v>21</v>
      </c>
      <c r="H427" s="502">
        <v>52.598400115966797</v>
      </c>
      <c r="I427" s="156">
        <v>-1.96</v>
      </c>
      <c r="J427" s="449">
        <v>-0.89</v>
      </c>
      <c r="K427" s="64">
        <f t="shared" si="7"/>
        <v>21.167840999999999</v>
      </c>
      <c r="L427" s="395" t="s">
        <v>201</v>
      </c>
      <c r="M427" s="563" t="s">
        <v>74</v>
      </c>
      <c r="N427" s="69" t="s">
        <v>95</v>
      </c>
      <c r="O427" s="307" t="s">
        <v>35</v>
      </c>
      <c r="P427" s="314" t="s">
        <v>91</v>
      </c>
      <c r="Q427" s="501" t="s">
        <v>435</v>
      </c>
      <c r="R427" s="564" t="s">
        <v>400</v>
      </c>
      <c r="S427" s="176" t="s">
        <v>740</v>
      </c>
      <c r="T427" s="145"/>
      <c r="U427" s="145"/>
    </row>
    <row r="428" spans="1:21">
      <c r="A428" s="177">
        <v>865</v>
      </c>
      <c r="B428" s="226" t="s">
        <v>89</v>
      </c>
      <c r="C428" s="226">
        <v>10</v>
      </c>
      <c r="D428" s="226">
        <v>3</v>
      </c>
      <c r="E428" s="569" t="s">
        <v>206</v>
      </c>
      <c r="F428" s="226">
        <v>87.54</v>
      </c>
      <c r="G428" s="226" t="s">
        <v>21</v>
      </c>
      <c r="H428" s="503">
        <v>52.754459381103516</v>
      </c>
      <c r="I428" s="226">
        <v>-1.91</v>
      </c>
      <c r="J428" s="456">
        <v>-0.89</v>
      </c>
      <c r="K428" s="80">
        <f t="shared" si="7"/>
        <v>20.926436000000002</v>
      </c>
      <c r="L428" s="229" t="s">
        <v>201</v>
      </c>
      <c r="M428" s="399" t="s">
        <v>74</v>
      </c>
      <c r="N428" s="183" t="s">
        <v>573</v>
      </c>
      <c r="O428" s="387" t="s">
        <v>35</v>
      </c>
      <c r="P428" s="388" t="s">
        <v>91</v>
      </c>
      <c r="Q428" s="504" t="s">
        <v>435</v>
      </c>
      <c r="R428" s="564" t="s">
        <v>400</v>
      </c>
      <c r="S428" s="176" t="s">
        <v>740</v>
      </c>
      <c r="T428" s="145"/>
      <c r="U428" s="145"/>
    </row>
    <row r="429" spans="1:21">
      <c r="A429" s="167">
        <v>865</v>
      </c>
      <c r="B429" s="196" t="s">
        <v>89</v>
      </c>
      <c r="C429" s="196">
        <v>10</v>
      </c>
      <c r="D429" s="196">
        <v>2</v>
      </c>
      <c r="E429" s="570" t="s">
        <v>109</v>
      </c>
      <c r="F429" s="144">
        <v>86.6</v>
      </c>
      <c r="G429" s="196" t="s">
        <v>21</v>
      </c>
      <c r="H429" s="502">
        <v>52.322998046875</v>
      </c>
      <c r="I429" s="335">
        <v>-2.21</v>
      </c>
      <c r="J429" s="449">
        <v>-0.89</v>
      </c>
      <c r="K429" s="64">
        <f t="shared" si="7"/>
        <v>22.381616000000001</v>
      </c>
      <c r="L429" s="395" t="s">
        <v>195</v>
      </c>
      <c r="M429" s="563" t="s">
        <v>74</v>
      </c>
      <c r="N429" s="69" t="s">
        <v>95</v>
      </c>
      <c r="O429" s="307" t="s">
        <v>35</v>
      </c>
      <c r="P429" s="314" t="s">
        <v>91</v>
      </c>
      <c r="Q429" s="501" t="s">
        <v>435</v>
      </c>
      <c r="R429" s="564" t="s">
        <v>400</v>
      </c>
      <c r="S429" s="176" t="s">
        <v>740</v>
      </c>
      <c r="T429" s="145"/>
      <c r="U429" s="145"/>
    </row>
    <row r="430" spans="1:21">
      <c r="A430" s="167">
        <v>865</v>
      </c>
      <c r="B430" s="196" t="s">
        <v>89</v>
      </c>
      <c r="C430" s="196">
        <v>10</v>
      </c>
      <c r="D430" s="196">
        <v>2</v>
      </c>
      <c r="E430" s="570" t="s">
        <v>574</v>
      </c>
      <c r="F430" s="144">
        <v>87.2</v>
      </c>
      <c r="G430" s="196" t="s">
        <v>21</v>
      </c>
      <c r="H430" s="502">
        <v>52.598400115966797</v>
      </c>
      <c r="I430" s="335">
        <v>-1.83</v>
      </c>
      <c r="J430" s="449">
        <v>-0.89</v>
      </c>
      <c r="K430" s="64">
        <f t="shared" si="7"/>
        <v>20.541124</v>
      </c>
      <c r="L430" s="395" t="s">
        <v>195</v>
      </c>
      <c r="M430" s="563" t="s">
        <v>74</v>
      </c>
      <c r="N430" s="69" t="s">
        <v>95</v>
      </c>
      <c r="O430" s="307" t="s">
        <v>35</v>
      </c>
      <c r="P430" s="314" t="s">
        <v>91</v>
      </c>
      <c r="Q430" s="501" t="s">
        <v>435</v>
      </c>
      <c r="R430" s="564" t="s">
        <v>400</v>
      </c>
      <c r="S430" s="176" t="s">
        <v>740</v>
      </c>
      <c r="T430" s="145"/>
      <c r="U430" s="145"/>
    </row>
    <row r="431" spans="1:21">
      <c r="A431" s="167">
        <v>865</v>
      </c>
      <c r="B431" s="196" t="s">
        <v>89</v>
      </c>
      <c r="C431" s="196">
        <v>10</v>
      </c>
      <c r="D431" s="196">
        <v>3</v>
      </c>
      <c r="E431" s="570" t="s">
        <v>206</v>
      </c>
      <c r="F431" s="144">
        <v>87.54</v>
      </c>
      <c r="G431" s="196" t="s">
        <v>21</v>
      </c>
      <c r="H431" s="502">
        <v>52.754459381103516</v>
      </c>
      <c r="I431" s="335">
        <v>-2.0499999999999998</v>
      </c>
      <c r="J431" s="449">
        <v>-0.89</v>
      </c>
      <c r="K431" s="64">
        <f t="shared" si="7"/>
        <v>21.603503999999997</v>
      </c>
      <c r="L431" s="395" t="s">
        <v>195</v>
      </c>
      <c r="M431" s="563" t="s">
        <v>74</v>
      </c>
      <c r="N431" s="69" t="s">
        <v>95</v>
      </c>
      <c r="O431" s="307" t="s">
        <v>35</v>
      </c>
      <c r="P431" s="314" t="s">
        <v>91</v>
      </c>
      <c r="Q431" s="501" t="s">
        <v>435</v>
      </c>
      <c r="R431" s="564" t="s">
        <v>400</v>
      </c>
      <c r="S431" s="176" t="s">
        <v>740</v>
      </c>
      <c r="T431" s="145"/>
      <c r="U431" s="145"/>
    </row>
    <row r="432" spans="1:21">
      <c r="A432" s="167">
        <v>865</v>
      </c>
      <c r="B432" s="196" t="s">
        <v>89</v>
      </c>
      <c r="C432" s="196">
        <v>10</v>
      </c>
      <c r="D432" s="196">
        <v>3</v>
      </c>
      <c r="E432" s="570" t="s">
        <v>109</v>
      </c>
      <c r="F432" s="144">
        <v>88.1</v>
      </c>
      <c r="G432" s="196" t="s">
        <v>21</v>
      </c>
      <c r="H432" s="502">
        <v>53.011501312255859</v>
      </c>
      <c r="I432" s="335">
        <v>-1.86</v>
      </c>
      <c r="J432" s="449">
        <v>-0.89</v>
      </c>
      <c r="K432" s="64">
        <f t="shared" si="7"/>
        <v>20.685480999999999</v>
      </c>
      <c r="L432" s="395" t="s">
        <v>195</v>
      </c>
      <c r="M432" s="563" t="s">
        <v>74</v>
      </c>
      <c r="N432" s="69" t="s">
        <v>95</v>
      </c>
      <c r="O432" s="307" t="s">
        <v>35</v>
      </c>
      <c r="P432" s="314" t="s">
        <v>91</v>
      </c>
      <c r="Q432" s="501" t="s">
        <v>435</v>
      </c>
      <c r="R432" s="564" t="s">
        <v>400</v>
      </c>
      <c r="S432" s="176" t="s">
        <v>740</v>
      </c>
      <c r="T432" s="145"/>
      <c r="U432" s="145"/>
    </row>
    <row r="433" spans="1:21">
      <c r="A433" s="167">
        <v>865</v>
      </c>
      <c r="B433" s="196" t="s">
        <v>89</v>
      </c>
      <c r="C433" s="196">
        <v>10</v>
      </c>
      <c r="D433" s="196">
        <v>3</v>
      </c>
      <c r="E433" s="570" t="s">
        <v>574</v>
      </c>
      <c r="F433" s="144">
        <v>88.7</v>
      </c>
      <c r="G433" s="196" t="s">
        <v>21</v>
      </c>
      <c r="H433" s="502">
        <v>53.286899566650391</v>
      </c>
      <c r="I433" s="335">
        <v>-1.92</v>
      </c>
      <c r="J433" s="449">
        <v>-0.89</v>
      </c>
      <c r="K433" s="64">
        <f t="shared" si="7"/>
        <v>20.974681</v>
      </c>
      <c r="L433" s="395" t="s">
        <v>195</v>
      </c>
      <c r="M433" s="563" t="s">
        <v>74</v>
      </c>
      <c r="N433" s="69" t="s">
        <v>95</v>
      </c>
      <c r="O433" s="307" t="s">
        <v>35</v>
      </c>
      <c r="P433" s="314" t="s">
        <v>91</v>
      </c>
      <c r="Q433" s="501" t="s">
        <v>435</v>
      </c>
      <c r="R433" s="564" t="s">
        <v>400</v>
      </c>
      <c r="S433" s="176" t="s">
        <v>740</v>
      </c>
      <c r="T433" s="145"/>
      <c r="U433" s="145"/>
    </row>
    <row r="434" spans="1:21">
      <c r="A434" s="167">
        <v>865</v>
      </c>
      <c r="B434" s="196" t="s">
        <v>89</v>
      </c>
      <c r="C434" s="196">
        <v>10</v>
      </c>
      <c r="D434" s="196">
        <v>4</v>
      </c>
      <c r="E434" s="570" t="s">
        <v>206</v>
      </c>
      <c r="F434" s="144">
        <v>89.04</v>
      </c>
      <c r="G434" s="196" t="s">
        <v>21</v>
      </c>
      <c r="H434" s="502">
        <v>53.442962646484375</v>
      </c>
      <c r="I434" s="335">
        <v>-1.81</v>
      </c>
      <c r="J434" s="449">
        <v>-0.89</v>
      </c>
      <c r="K434" s="64">
        <f t="shared" si="7"/>
        <v>20.444976</v>
      </c>
      <c r="L434" s="395" t="s">
        <v>195</v>
      </c>
      <c r="M434" s="563" t="s">
        <v>74</v>
      </c>
      <c r="N434" s="69" t="s">
        <v>95</v>
      </c>
      <c r="O434" s="307" t="s">
        <v>35</v>
      </c>
      <c r="P434" s="314" t="s">
        <v>91</v>
      </c>
      <c r="Q434" s="501" t="s">
        <v>435</v>
      </c>
      <c r="R434" s="564" t="s">
        <v>400</v>
      </c>
      <c r="S434" s="176" t="s">
        <v>740</v>
      </c>
      <c r="T434" s="145"/>
      <c r="U434" s="145"/>
    </row>
    <row r="435" spans="1:21">
      <c r="A435" s="167">
        <v>865</v>
      </c>
      <c r="B435" s="196" t="s">
        <v>89</v>
      </c>
      <c r="C435" s="196">
        <v>10</v>
      </c>
      <c r="D435" s="196">
        <v>4</v>
      </c>
      <c r="E435" s="570" t="s">
        <v>109</v>
      </c>
      <c r="F435" s="144">
        <v>89.6</v>
      </c>
      <c r="G435" s="196" t="s">
        <v>21</v>
      </c>
      <c r="H435" s="502">
        <v>53.700000762939453</v>
      </c>
      <c r="I435" s="335">
        <v>-2.02</v>
      </c>
      <c r="J435" s="449">
        <v>-0.89</v>
      </c>
      <c r="K435" s="64">
        <f t="shared" si="7"/>
        <v>21.458120999999998</v>
      </c>
      <c r="L435" s="395" t="s">
        <v>195</v>
      </c>
      <c r="M435" s="563" t="s">
        <v>74</v>
      </c>
      <c r="N435" s="69" t="s">
        <v>95</v>
      </c>
      <c r="O435" s="307" t="s">
        <v>35</v>
      </c>
      <c r="P435" s="314" t="s">
        <v>91</v>
      </c>
      <c r="Q435" s="501" t="s">
        <v>435</v>
      </c>
      <c r="R435" s="564" t="s">
        <v>400</v>
      </c>
      <c r="S435" s="176" t="s">
        <v>740</v>
      </c>
      <c r="T435" s="145"/>
      <c r="U435" s="145"/>
    </row>
    <row r="436" spans="1:21">
      <c r="A436" s="167">
        <v>865</v>
      </c>
      <c r="B436" s="196" t="s">
        <v>89</v>
      </c>
      <c r="C436" s="196">
        <v>10</v>
      </c>
      <c r="D436" s="196">
        <v>4</v>
      </c>
      <c r="E436" s="570" t="s">
        <v>574</v>
      </c>
      <c r="F436" s="144">
        <v>90.2</v>
      </c>
      <c r="G436" s="196"/>
      <c r="H436" s="502">
        <v>54</v>
      </c>
      <c r="I436" s="335">
        <v>-1.75</v>
      </c>
      <c r="J436" s="449">
        <v>-0.89</v>
      </c>
      <c r="K436" s="789">
        <f t="shared" si="7"/>
        <v>20.156964000000002</v>
      </c>
      <c r="L436" s="395" t="s">
        <v>195</v>
      </c>
      <c r="M436" s="563" t="s">
        <v>74</v>
      </c>
      <c r="N436" s="69" t="s">
        <v>95</v>
      </c>
      <c r="O436" s="307" t="s">
        <v>35</v>
      </c>
      <c r="P436" s="314" t="s">
        <v>91</v>
      </c>
      <c r="Q436" s="501" t="s">
        <v>435</v>
      </c>
      <c r="R436" s="564" t="s">
        <v>400</v>
      </c>
      <c r="S436" s="176"/>
      <c r="T436" s="145"/>
      <c r="U436" s="145"/>
    </row>
    <row r="437" spans="1:21">
      <c r="A437" s="167">
        <v>865</v>
      </c>
      <c r="B437" s="196" t="s">
        <v>89</v>
      </c>
      <c r="C437" s="196">
        <v>10</v>
      </c>
      <c r="D437" s="196">
        <v>5</v>
      </c>
      <c r="E437" s="570" t="s">
        <v>206</v>
      </c>
      <c r="F437" s="144">
        <v>90.54</v>
      </c>
      <c r="G437" s="196"/>
      <c r="H437" s="502">
        <v>54.170001983642578</v>
      </c>
      <c r="I437" s="335">
        <v>-1.93</v>
      </c>
      <c r="J437" s="449">
        <v>-0.89</v>
      </c>
      <c r="K437" s="789">
        <f t="shared" si="7"/>
        <v>21.022944000000003</v>
      </c>
      <c r="L437" s="395" t="s">
        <v>195</v>
      </c>
      <c r="M437" s="563" t="s">
        <v>74</v>
      </c>
      <c r="N437" s="69" t="s">
        <v>95</v>
      </c>
      <c r="O437" s="307" t="s">
        <v>35</v>
      </c>
      <c r="P437" s="314" t="s">
        <v>91</v>
      </c>
      <c r="Q437" s="501" t="s">
        <v>435</v>
      </c>
      <c r="R437" s="564" t="s">
        <v>400</v>
      </c>
      <c r="S437" s="176"/>
      <c r="T437" s="145"/>
      <c r="U437" s="145"/>
    </row>
    <row r="438" spans="1:21">
      <c r="A438" s="167">
        <v>865</v>
      </c>
      <c r="B438" s="196" t="s">
        <v>89</v>
      </c>
      <c r="C438" s="196">
        <v>10</v>
      </c>
      <c r="D438" s="196">
        <v>5</v>
      </c>
      <c r="E438" s="570" t="s">
        <v>109</v>
      </c>
      <c r="F438" s="144">
        <v>91.1</v>
      </c>
      <c r="G438" s="196"/>
      <c r="H438" s="502">
        <v>54.225673675537109</v>
      </c>
      <c r="I438" s="335">
        <v>-1.88</v>
      </c>
      <c r="J438" s="449">
        <v>-0.89</v>
      </c>
      <c r="K438" s="789">
        <f t="shared" si="7"/>
        <v>20.781808999999999</v>
      </c>
      <c r="L438" s="395" t="s">
        <v>195</v>
      </c>
      <c r="M438" s="563" t="s">
        <v>74</v>
      </c>
      <c r="N438" s="69" t="s">
        <v>95</v>
      </c>
      <c r="O438" s="307" t="s">
        <v>35</v>
      </c>
      <c r="P438" s="314" t="s">
        <v>91</v>
      </c>
      <c r="Q438" s="501" t="s">
        <v>435</v>
      </c>
      <c r="R438" s="564" t="s">
        <v>400</v>
      </c>
      <c r="S438" s="176"/>
      <c r="T438" s="145"/>
      <c r="U438" s="145"/>
    </row>
    <row r="439" spans="1:21">
      <c r="A439" s="167">
        <v>865</v>
      </c>
      <c r="B439" s="196" t="s">
        <v>89</v>
      </c>
      <c r="C439" s="196">
        <v>11</v>
      </c>
      <c r="D439" s="196">
        <v>1</v>
      </c>
      <c r="E439" s="570" t="s">
        <v>113</v>
      </c>
      <c r="F439" s="144">
        <v>94.2</v>
      </c>
      <c r="G439" s="196"/>
      <c r="H439" s="502">
        <v>54.533878326416016</v>
      </c>
      <c r="I439" s="335">
        <v>-1.85</v>
      </c>
      <c r="J439" s="449">
        <v>-0.89</v>
      </c>
      <c r="K439" s="789">
        <f t="shared" si="7"/>
        <v>20.637344000000002</v>
      </c>
      <c r="L439" s="395" t="s">
        <v>195</v>
      </c>
      <c r="M439" s="563" t="s">
        <v>74</v>
      </c>
      <c r="N439" s="69" t="s">
        <v>95</v>
      </c>
      <c r="O439" s="307" t="s">
        <v>35</v>
      </c>
      <c r="P439" s="314" t="s">
        <v>91</v>
      </c>
      <c r="Q439" s="501" t="s">
        <v>435</v>
      </c>
      <c r="R439" s="564" t="s">
        <v>400</v>
      </c>
      <c r="S439" s="176"/>
      <c r="T439" s="145"/>
      <c r="U439" s="145"/>
    </row>
    <row r="440" spans="1:21">
      <c r="A440" s="167">
        <v>865</v>
      </c>
      <c r="B440" s="196" t="s">
        <v>89</v>
      </c>
      <c r="C440" s="196">
        <v>11</v>
      </c>
      <c r="D440" s="196">
        <v>1</v>
      </c>
      <c r="E440" s="570" t="s">
        <v>576</v>
      </c>
      <c r="F440" s="144">
        <v>94.85</v>
      </c>
      <c r="G440" s="196"/>
      <c r="H440" s="502">
        <v>54.598503112792969</v>
      </c>
      <c r="I440" s="335">
        <v>-1.74</v>
      </c>
      <c r="J440" s="449">
        <v>-0.89</v>
      </c>
      <c r="K440" s="789">
        <f t="shared" si="7"/>
        <v>20.109024999999999</v>
      </c>
      <c r="L440" s="395" t="s">
        <v>195</v>
      </c>
      <c r="M440" s="563" t="s">
        <v>74</v>
      </c>
      <c r="N440" s="69" t="s">
        <v>95</v>
      </c>
      <c r="O440" s="307" t="s">
        <v>35</v>
      </c>
      <c r="P440" s="314" t="s">
        <v>91</v>
      </c>
      <c r="Q440" s="501" t="s">
        <v>435</v>
      </c>
      <c r="R440" s="564" t="s">
        <v>400</v>
      </c>
      <c r="S440" s="176"/>
      <c r="T440" s="145"/>
      <c r="U440" s="145"/>
    </row>
    <row r="441" spans="1:21">
      <c r="A441" s="167">
        <v>865</v>
      </c>
      <c r="B441" s="196" t="s">
        <v>89</v>
      </c>
      <c r="C441" s="196">
        <v>11</v>
      </c>
      <c r="D441" s="196">
        <v>1</v>
      </c>
      <c r="E441" s="570" t="s">
        <v>574</v>
      </c>
      <c r="F441" s="144">
        <v>95.2</v>
      </c>
      <c r="G441" s="196"/>
      <c r="H441" s="502">
        <v>54.63330078125</v>
      </c>
      <c r="I441" s="335">
        <v>-1.68</v>
      </c>
      <c r="J441" s="449">
        <v>-0.89</v>
      </c>
      <c r="K441" s="789">
        <f t="shared" si="7"/>
        <v>19.821769</v>
      </c>
      <c r="L441" s="395" t="s">
        <v>195</v>
      </c>
      <c r="M441" s="563" t="s">
        <v>74</v>
      </c>
      <c r="N441" s="69" t="s">
        <v>95</v>
      </c>
      <c r="O441" s="307" t="s">
        <v>35</v>
      </c>
      <c r="P441" s="314" t="s">
        <v>91</v>
      </c>
      <c r="Q441" s="501" t="s">
        <v>435</v>
      </c>
      <c r="R441" s="564" t="s">
        <v>400</v>
      </c>
      <c r="S441" s="176"/>
      <c r="T441" s="145"/>
      <c r="U441" s="145"/>
    </row>
    <row r="442" spans="1:21">
      <c r="A442" s="167">
        <v>865</v>
      </c>
      <c r="B442" s="196" t="s">
        <v>89</v>
      </c>
      <c r="C442" s="196">
        <v>11</v>
      </c>
      <c r="D442" s="196">
        <v>2</v>
      </c>
      <c r="E442" s="570" t="s">
        <v>113</v>
      </c>
      <c r="F442" s="144">
        <v>95.7</v>
      </c>
      <c r="G442" s="196"/>
      <c r="H442" s="502">
        <v>54.683010101318359</v>
      </c>
      <c r="I442" s="335">
        <v>-1.89</v>
      </c>
      <c r="J442" s="449">
        <v>-0.89</v>
      </c>
      <c r="K442" s="789">
        <f t="shared" si="7"/>
        <v>20.830000000000002</v>
      </c>
      <c r="L442" s="395" t="s">
        <v>195</v>
      </c>
      <c r="M442" s="563" t="s">
        <v>74</v>
      </c>
      <c r="N442" s="69" t="s">
        <v>95</v>
      </c>
      <c r="O442" s="307" t="s">
        <v>35</v>
      </c>
      <c r="P442" s="314" t="s">
        <v>91</v>
      </c>
      <c r="Q442" s="501" t="s">
        <v>435</v>
      </c>
      <c r="R442" s="564" t="s">
        <v>400</v>
      </c>
      <c r="S442" s="176"/>
      <c r="T442" s="145"/>
      <c r="U442" s="145"/>
    </row>
    <row r="443" spans="1:21">
      <c r="A443" s="167">
        <v>865</v>
      </c>
      <c r="B443" s="196" t="s">
        <v>89</v>
      </c>
      <c r="C443" s="196">
        <v>11</v>
      </c>
      <c r="D443" s="196">
        <v>2</v>
      </c>
      <c r="E443" s="570" t="s">
        <v>576</v>
      </c>
      <c r="F443" s="144">
        <v>96.35</v>
      </c>
      <c r="G443" s="196"/>
      <c r="H443" s="502">
        <v>54.747634887695313</v>
      </c>
      <c r="I443" s="335">
        <v>-2.09</v>
      </c>
      <c r="J443" s="449">
        <v>-0.89</v>
      </c>
      <c r="K443" s="789">
        <f t="shared" si="7"/>
        <v>21.797599999999999</v>
      </c>
      <c r="L443" s="395" t="s">
        <v>195</v>
      </c>
      <c r="M443" s="563" t="s">
        <v>74</v>
      </c>
      <c r="N443" s="69" t="s">
        <v>95</v>
      </c>
      <c r="O443" s="307" t="s">
        <v>35</v>
      </c>
      <c r="P443" s="314" t="s">
        <v>91</v>
      </c>
      <c r="Q443" s="501" t="s">
        <v>435</v>
      </c>
      <c r="R443" s="564" t="s">
        <v>400</v>
      </c>
      <c r="S443" s="176"/>
      <c r="T443" s="145"/>
      <c r="U443" s="145"/>
    </row>
    <row r="444" spans="1:21">
      <c r="A444" s="167">
        <v>865</v>
      </c>
      <c r="B444" s="196" t="s">
        <v>89</v>
      </c>
      <c r="C444" s="196">
        <v>11</v>
      </c>
      <c r="D444" s="196">
        <v>2</v>
      </c>
      <c r="E444" s="570" t="s">
        <v>574</v>
      </c>
      <c r="F444" s="144">
        <v>96.7</v>
      </c>
      <c r="G444" s="196"/>
      <c r="H444" s="502">
        <v>54.782432556152344</v>
      </c>
      <c r="I444" s="335">
        <v>-1.9</v>
      </c>
      <c r="J444" s="449">
        <v>-0.89</v>
      </c>
      <c r="K444" s="789">
        <f t="shared" si="7"/>
        <v>20.878209000000002</v>
      </c>
      <c r="L444" s="395" t="s">
        <v>195</v>
      </c>
      <c r="M444" s="563" t="s">
        <v>74</v>
      </c>
      <c r="N444" s="69" t="s">
        <v>95</v>
      </c>
      <c r="O444" s="307" t="s">
        <v>35</v>
      </c>
      <c r="P444" s="314" t="s">
        <v>91</v>
      </c>
      <c r="Q444" s="501" t="s">
        <v>435</v>
      </c>
      <c r="R444" s="564" t="s">
        <v>400</v>
      </c>
      <c r="S444" s="176"/>
      <c r="T444" s="145"/>
      <c r="U444" s="145"/>
    </row>
    <row r="445" spans="1:21">
      <c r="A445" s="167">
        <v>865</v>
      </c>
      <c r="B445" s="196" t="s">
        <v>89</v>
      </c>
      <c r="C445" s="196">
        <v>11</v>
      </c>
      <c r="D445" s="196">
        <v>3</v>
      </c>
      <c r="E445" s="571" t="s">
        <v>113</v>
      </c>
      <c r="F445" s="144">
        <v>97.2</v>
      </c>
      <c r="G445" s="196"/>
      <c r="H445" s="502">
        <v>54.832141876220703</v>
      </c>
      <c r="I445" s="335">
        <v>-2.02</v>
      </c>
      <c r="J445" s="449">
        <v>-0.89</v>
      </c>
      <c r="K445" s="789">
        <f t="shared" si="7"/>
        <v>21.458120999999998</v>
      </c>
      <c r="L445" s="395" t="s">
        <v>195</v>
      </c>
      <c r="M445" s="563" t="s">
        <v>74</v>
      </c>
      <c r="N445" s="69" t="s">
        <v>95</v>
      </c>
      <c r="O445" s="307" t="s">
        <v>35</v>
      </c>
      <c r="P445" s="314" t="s">
        <v>91</v>
      </c>
      <c r="Q445" s="501" t="s">
        <v>435</v>
      </c>
      <c r="R445" s="564" t="s">
        <v>400</v>
      </c>
      <c r="S445" s="176"/>
      <c r="T445" s="145"/>
      <c r="U445" s="145"/>
    </row>
    <row r="446" spans="1:21">
      <c r="A446" s="167">
        <v>865</v>
      </c>
      <c r="B446" s="196" t="s">
        <v>89</v>
      </c>
      <c r="C446" s="196">
        <v>11</v>
      </c>
      <c r="D446" s="196">
        <v>3</v>
      </c>
      <c r="E446" s="571" t="s">
        <v>576</v>
      </c>
      <c r="F446" s="144">
        <v>97.85</v>
      </c>
      <c r="G446" s="196"/>
      <c r="H446" s="502">
        <v>54.896766662597656</v>
      </c>
      <c r="I446" s="335">
        <v>-2.06</v>
      </c>
      <c r="J446" s="449">
        <v>-0.89</v>
      </c>
      <c r="K446" s="789">
        <f t="shared" si="7"/>
        <v>21.652001000000002</v>
      </c>
      <c r="L446" s="395" t="s">
        <v>195</v>
      </c>
      <c r="M446" s="563" t="s">
        <v>74</v>
      </c>
      <c r="N446" s="69" t="s">
        <v>95</v>
      </c>
      <c r="O446" s="307" t="s">
        <v>35</v>
      </c>
      <c r="P446" s="314" t="s">
        <v>91</v>
      </c>
      <c r="Q446" s="501" t="s">
        <v>435</v>
      </c>
      <c r="R446" s="564" t="s">
        <v>400</v>
      </c>
      <c r="S446" s="176"/>
      <c r="T446" s="145"/>
      <c r="U446" s="145"/>
    </row>
    <row r="447" spans="1:21">
      <c r="A447" s="167">
        <v>865</v>
      </c>
      <c r="B447" s="196" t="s">
        <v>89</v>
      </c>
      <c r="C447" s="196">
        <v>11</v>
      </c>
      <c r="D447" s="196">
        <v>3</v>
      </c>
      <c r="E447" s="571" t="s">
        <v>574</v>
      </c>
      <c r="F447" s="144">
        <v>98.2</v>
      </c>
      <c r="G447" s="196"/>
      <c r="H447" s="502">
        <v>54.931564331054688</v>
      </c>
      <c r="I447" s="335">
        <v>-2.11</v>
      </c>
      <c r="J447" s="449">
        <v>-0.89</v>
      </c>
      <c r="K447" s="789">
        <f t="shared" si="7"/>
        <v>21.894756000000001</v>
      </c>
      <c r="L447" s="395" t="s">
        <v>195</v>
      </c>
      <c r="M447" s="563" t="s">
        <v>74</v>
      </c>
      <c r="N447" s="69" t="s">
        <v>95</v>
      </c>
      <c r="O447" s="307" t="s">
        <v>35</v>
      </c>
      <c r="P447" s="314" t="s">
        <v>91</v>
      </c>
      <c r="Q447" s="501" t="s">
        <v>435</v>
      </c>
      <c r="R447" s="564" t="s">
        <v>400</v>
      </c>
      <c r="S447" s="176"/>
      <c r="T447" s="145"/>
      <c r="U447" s="145"/>
    </row>
    <row r="448" spans="1:21">
      <c r="A448" s="167">
        <v>865</v>
      </c>
      <c r="B448" s="196" t="s">
        <v>89</v>
      </c>
      <c r="C448" s="196">
        <v>11</v>
      </c>
      <c r="D448" s="196">
        <v>4</v>
      </c>
      <c r="E448" s="570" t="s">
        <v>113</v>
      </c>
      <c r="F448" s="144">
        <v>98.7</v>
      </c>
      <c r="G448" s="196"/>
      <c r="H448" s="502">
        <v>54.981273651123047</v>
      </c>
      <c r="I448" s="335">
        <v>-2.13</v>
      </c>
      <c r="J448" s="449">
        <v>-0.89</v>
      </c>
      <c r="K448" s="789">
        <f t="shared" si="7"/>
        <v>21.991983999999999</v>
      </c>
      <c r="L448" s="395" t="s">
        <v>195</v>
      </c>
      <c r="M448" s="563" t="s">
        <v>74</v>
      </c>
      <c r="N448" s="69" t="s">
        <v>95</v>
      </c>
      <c r="O448" s="307" t="s">
        <v>35</v>
      </c>
      <c r="P448" s="314" t="s">
        <v>91</v>
      </c>
      <c r="Q448" s="501" t="s">
        <v>435</v>
      </c>
      <c r="R448" s="564" t="s">
        <v>400</v>
      </c>
      <c r="S448" s="176"/>
      <c r="T448" s="145"/>
      <c r="U448" s="145"/>
    </row>
    <row r="449" spans="1:21">
      <c r="A449" s="167">
        <v>865</v>
      </c>
      <c r="B449" s="196" t="s">
        <v>89</v>
      </c>
      <c r="C449" s="196">
        <v>11</v>
      </c>
      <c r="D449" s="196">
        <v>4</v>
      </c>
      <c r="E449" s="570" t="s">
        <v>576</v>
      </c>
      <c r="F449" s="144">
        <v>99.35</v>
      </c>
      <c r="G449" s="196"/>
      <c r="H449" s="502">
        <v>55.0458984375</v>
      </c>
      <c r="I449" s="335">
        <v>-1.99</v>
      </c>
      <c r="J449" s="449">
        <v>-0.89</v>
      </c>
      <c r="K449" s="789">
        <f t="shared" si="7"/>
        <v>21.312899999999999</v>
      </c>
      <c r="L449" s="395" t="s">
        <v>195</v>
      </c>
      <c r="M449" s="563" t="s">
        <v>74</v>
      </c>
      <c r="N449" s="69" t="s">
        <v>95</v>
      </c>
      <c r="O449" s="307" t="s">
        <v>35</v>
      </c>
      <c r="P449" s="314" t="s">
        <v>91</v>
      </c>
      <c r="Q449" s="501" t="s">
        <v>435</v>
      </c>
      <c r="R449" s="564" t="s">
        <v>400</v>
      </c>
      <c r="S449" s="176"/>
      <c r="T449" s="145"/>
      <c r="U449" s="145"/>
    </row>
    <row r="450" spans="1:21">
      <c r="A450" s="167">
        <v>865</v>
      </c>
      <c r="B450" s="196" t="s">
        <v>89</v>
      </c>
      <c r="C450" s="196">
        <v>11</v>
      </c>
      <c r="D450" s="196">
        <v>4</v>
      </c>
      <c r="E450" s="570" t="s">
        <v>574</v>
      </c>
      <c r="F450" s="144">
        <v>99.7</v>
      </c>
      <c r="G450" s="196"/>
      <c r="H450" s="502">
        <v>55.080696105957031</v>
      </c>
      <c r="I450" s="335">
        <v>-2.0099999999999998</v>
      </c>
      <c r="J450" s="449">
        <v>-0.89</v>
      </c>
      <c r="K450" s="789">
        <f t="shared" si="7"/>
        <v>21.409695999999997</v>
      </c>
      <c r="L450" s="395" t="s">
        <v>195</v>
      </c>
      <c r="M450" s="563" t="s">
        <v>74</v>
      </c>
      <c r="N450" s="69" t="s">
        <v>95</v>
      </c>
      <c r="O450" s="307" t="s">
        <v>35</v>
      </c>
      <c r="P450" s="314" t="s">
        <v>91</v>
      </c>
      <c r="Q450" s="501" t="s">
        <v>435</v>
      </c>
      <c r="R450" s="564" t="s">
        <v>400</v>
      </c>
      <c r="S450" s="176"/>
      <c r="T450" s="145"/>
      <c r="U450" s="145"/>
    </row>
    <row r="451" spans="1:21">
      <c r="A451" s="167">
        <v>865</v>
      </c>
      <c r="B451" s="196" t="s">
        <v>89</v>
      </c>
      <c r="C451" s="196">
        <v>11</v>
      </c>
      <c r="D451" s="196">
        <v>5</v>
      </c>
      <c r="E451" s="570" t="s">
        <v>113</v>
      </c>
      <c r="F451" s="144">
        <v>100.2</v>
      </c>
      <c r="G451" s="196"/>
      <c r="H451" s="502">
        <v>55.130405426025391</v>
      </c>
      <c r="I451" s="335">
        <v>-2.11</v>
      </c>
      <c r="J451" s="449">
        <v>-0.89</v>
      </c>
      <c r="K451" s="789">
        <f t="shared" ref="K451:K512" si="8">16.1-4.64*($I451-J451)+0.09*($I451-J451)^2</f>
        <v>21.894756000000001</v>
      </c>
      <c r="L451" s="395" t="s">
        <v>195</v>
      </c>
      <c r="M451" s="563" t="s">
        <v>74</v>
      </c>
      <c r="N451" s="69" t="s">
        <v>95</v>
      </c>
      <c r="O451" s="307" t="s">
        <v>35</v>
      </c>
      <c r="P451" s="314" t="s">
        <v>91</v>
      </c>
      <c r="Q451" s="501" t="s">
        <v>435</v>
      </c>
      <c r="R451" s="564" t="s">
        <v>400</v>
      </c>
      <c r="S451" s="176"/>
      <c r="T451" s="145"/>
      <c r="U451" s="145"/>
    </row>
    <row r="452" spans="1:21">
      <c r="A452" s="167">
        <v>865</v>
      </c>
      <c r="B452" s="196" t="s">
        <v>89</v>
      </c>
      <c r="C452" s="196">
        <v>11</v>
      </c>
      <c r="D452" s="196">
        <v>5</v>
      </c>
      <c r="E452" s="570" t="s">
        <v>576</v>
      </c>
      <c r="F452" s="144">
        <v>100.85</v>
      </c>
      <c r="G452" s="196"/>
      <c r="H452" s="502">
        <v>55.195030212402344</v>
      </c>
      <c r="I452" s="335">
        <v>-2.04</v>
      </c>
      <c r="J452" s="449">
        <v>-0.89</v>
      </c>
      <c r="K452" s="789">
        <f t="shared" si="8"/>
        <v>21.555025000000001</v>
      </c>
      <c r="L452" s="395" t="s">
        <v>195</v>
      </c>
      <c r="M452" s="563" t="s">
        <v>74</v>
      </c>
      <c r="N452" s="69" t="s">
        <v>95</v>
      </c>
      <c r="O452" s="307" t="s">
        <v>35</v>
      </c>
      <c r="P452" s="314" t="s">
        <v>91</v>
      </c>
      <c r="Q452" s="501" t="s">
        <v>435</v>
      </c>
      <c r="R452" s="564" t="s">
        <v>400</v>
      </c>
      <c r="S452" s="176"/>
      <c r="T452" s="145"/>
      <c r="U452" s="145"/>
    </row>
    <row r="453" spans="1:21">
      <c r="A453" s="167">
        <v>865</v>
      </c>
      <c r="B453" s="196" t="s">
        <v>89</v>
      </c>
      <c r="C453" s="196">
        <v>11</v>
      </c>
      <c r="D453" s="196">
        <v>5</v>
      </c>
      <c r="E453" s="570" t="s">
        <v>577</v>
      </c>
      <c r="F453" s="144">
        <v>101.11</v>
      </c>
      <c r="G453" s="196"/>
      <c r="H453" s="502">
        <v>55.271076202392578</v>
      </c>
      <c r="I453" s="335">
        <v>-1.97</v>
      </c>
      <c r="J453" s="449">
        <v>-0.89</v>
      </c>
      <c r="K453" s="789">
        <f t="shared" si="8"/>
        <v>21.216176000000001</v>
      </c>
      <c r="L453" s="395" t="s">
        <v>195</v>
      </c>
      <c r="M453" s="563" t="s">
        <v>74</v>
      </c>
      <c r="N453" s="69" t="s">
        <v>95</v>
      </c>
      <c r="O453" s="307" t="s">
        <v>35</v>
      </c>
      <c r="P453" s="314" t="s">
        <v>91</v>
      </c>
      <c r="Q453" s="501" t="s">
        <v>435</v>
      </c>
      <c r="R453" s="564" t="s">
        <v>400</v>
      </c>
      <c r="S453" s="176"/>
      <c r="T453" s="145"/>
      <c r="U453" s="145"/>
    </row>
    <row r="454" spans="1:21">
      <c r="A454" s="167">
        <v>865</v>
      </c>
      <c r="B454" s="196" t="s">
        <v>89</v>
      </c>
      <c r="C454" s="196">
        <v>11</v>
      </c>
      <c r="D454" s="196">
        <v>5</v>
      </c>
      <c r="E454" s="570" t="s">
        <v>574</v>
      </c>
      <c r="F454" s="144">
        <v>101.2</v>
      </c>
      <c r="G454" s="196"/>
      <c r="H454" s="502">
        <v>55.301536560058594</v>
      </c>
      <c r="I454" s="335">
        <v>-2.13</v>
      </c>
      <c r="J454" s="449">
        <v>-0.89</v>
      </c>
      <c r="K454" s="789">
        <f t="shared" si="8"/>
        <v>21.991983999999999</v>
      </c>
      <c r="L454" s="395" t="s">
        <v>195</v>
      </c>
      <c r="M454" s="563" t="s">
        <v>74</v>
      </c>
      <c r="N454" s="69" t="s">
        <v>95</v>
      </c>
      <c r="O454" s="307" t="s">
        <v>35</v>
      </c>
      <c r="P454" s="314" t="s">
        <v>91</v>
      </c>
      <c r="Q454" s="501" t="s">
        <v>435</v>
      </c>
      <c r="R454" s="564" t="s">
        <v>400</v>
      </c>
      <c r="S454" s="176"/>
      <c r="T454" s="145"/>
      <c r="U454" s="145"/>
    </row>
    <row r="455" spans="1:21">
      <c r="A455" s="167">
        <v>865</v>
      </c>
      <c r="B455" s="196" t="s">
        <v>89</v>
      </c>
      <c r="C455" s="196">
        <v>11</v>
      </c>
      <c r="D455" s="196">
        <v>6</v>
      </c>
      <c r="E455" s="570" t="s">
        <v>113</v>
      </c>
      <c r="F455" s="144">
        <v>101.7</v>
      </c>
      <c r="G455" s="196"/>
      <c r="H455" s="502">
        <v>55.470767974853516</v>
      </c>
      <c r="I455" s="335">
        <v>-1.97</v>
      </c>
      <c r="J455" s="449">
        <v>-0.89</v>
      </c>
      <c r="K455" s="789">
        <f t="shared" si="8"/>
        <v>21.216176000000001</v>
      </c>
      <c r="L455" s="395" t="s">
        <v>195</v>
      </c>
      <c r="M455" s="563" t="s">
        <v>74</v>
      </c>
      <c r="N455" s="69" t="s">
        <v>95</v>
      </c>
      <c r="O455" s="307" t="s">
        <v>35</v>
      </c>
      <c r="P455" s="314" t="s">
        <v>91</v>
      </c>
      <c r="Q455" s="501" t="s">
        <v>435</v>
      </c>
      <c r="R455" s="564" t="s">
        <v>400</v>
      </c>
      <c r="S455" s="176"/>
      <c r="T455" s="145"/>
      <c r="U455" s="145"/>
    </row>
    <row r="456" spans="1:21">
      <c r="A456" s="167">
        <v>865</v>
      </c>
      <c r="B456" s="196" t="s">
        <v>89</v>
      </c>
      <c r="C456" s="196">
        <v>11</v>
      </c>
      <c r="D456" s="196">
        <v>6</v>
      </c>
      <c r="E456" s="570" t="s">
        <v>578</v>
      </c>
      <c r="F456" s="144">
        <v>101.93</v>
      </c>
      <c r="G456" s="196"/>
      <c r="H456" s="502">
        <v>55.548614501953125</v>
      </c>
      <c r="I456" s="335">
        <v>-1.98</v>
      </c>
      <c r="J456" s="449">
        <v>-0.89</v>
      </c>
      <c r="K456" s="789">
        <f t="shared" si="8"/>
        <v>21.264529000000003</v>
      </c>
      <c r="L456" s="395" t="s">
        <v>195</v>
      </c>
      <c r="M456" s="563" t="s">
        <v>74</v>
      </c>
      <c r="N456" s="69" t="s">
        <v>95</v>
      </c>
      <c r="O456" s="307" t="s">
        <v>35</v>
      </c>
      <c r="P456" s="314" t="s">
        <v>91</v>
      </c>
      <c r="Q456" s="501" t="s">
        <v>435</v>
      </c>
      <c r="R456" s="564" t="s">
        <v>400</v>
      </c>
      <c r="S456" s="176"/>
      <c r="T456" s="145"/>
      <c r="U456" s="145"/>
    </row>
    <row r="457" spans="1:21">
      <c r="A457" s="167">
        <v>865</v>
      </c>
      <c r="B457" s="196" t="s">
        <v>89</v>
      </c>
      <c r="C457" s="196">
        <v>11</v>
      </c>
      <c r="D457" s="196">
        <v>6</v>
      </c>
      <c r="E457" s="570" t="s">
        <v>576</v>
      </c>
      <c r="F457" s="144">
        <v>102.35</v>
      </c>
      <c r="G457" s="196"/>
      <c r="H457" s="502">
        <v>55.668235778808594</v>
      </c>
      <c r="I457" s="335">
        <v>-2</v>
      </c>
      <c r="J457" s="449">
        <v>-0.89</v>
      </c>
      <c r="K457" s="789">
        <f t="shared" si="8"/>
        <v>21.361288999999999</v>
      </c>
      <c r="L457" s="395" t="s">
        <v>195</v>
      </c>
      <c r="M457" s="563" t="s">
        <v>74</v>
      </c>
      <c r="N457" s="69" t="s">
        <v>95</v>
      </c>
      <c r="O457" s="307" t="s">
        <v>35</v>
      </c>
      <c r="P457" s="314" t="s">
        <v>91</v>
      </c>
      <c r="Q457" s="501" t="s">
        <v>435</v>
      </c>
      <c r="R457" s="564" t="s">
        <v>400</v>
      </c>
      <c r="S457" s="176"/>
      <c r="T457" s="145"/>
      <c r="U457" s="145"/>
    </row>
    <row r="458" spans="1:21">
      <c r="A458" s="167">
        <v>865</v>
      </c>
      <c r="B458" s="196" t="s">
        <v>89</v>
      </c>
      <c r="C458" s="196">
        <v>11</v>
      </c>
      <c r="D458" s="196" t="s">
        <v>284</v>
      </c>
      <c r="E458" s="570" t="s">
        <v>579</v>
      </c>
      <c r="F458" s="144">
        <v>102.53</v>
      </c>
      <c r="G458" s="196"/>
      <c r="H458" s="502">
        <v>55.702117919921875</v>
      </c>
      <c r="I458" s="335">
        <v>-1.97</v>
      </c>
      <c r="J458" s="449">
        <v>-0.89</v>
      </c>
      <c r="K458" s="789">
        <f t="shared" si="8"/>
        <v>21.216176000000001</v>
      </c>
      <c r="L458" s="395" t="s">
        <v>195</v>
      </c>
      <c r="M458" s="563" t="s">
        <v>74</v>
      </c>
      <c r="N458" s="69" t="s">
        <v>95</v>
      </c>
      <c r="O458" s="307" t="s">
        <v>35</v>
      </c>
      <c r="P458" s="314" t="s">
        <v>91</v>
      </c>
      <c r="Q458" s="501" t="s">
        <v>435</v>
      </c>
      <c r="R458" s="564" t="s">
        <v>400</v>
      </c>
      <c r="S458" s="176"/>
      <c r="T458" s="145"/>
      <c r="U458" s="145"/>
    </row>
    <row r="459" spans="1:21">
      <c r="A459" s="177">
        <v>865</v>
      </c>
      <c r="B459" s="226" t="s">
        <v>89</v>
      </c>
      <c r="C459" s="226">
        <v>12</v>
      </c>
      <c r="D459" s="226">
        <v>1</v>
      </c>
      <c r="E459" s="569" t="s">
        <v>101</v>
      </c>
      <c r="F459" s="221">
        <v>104.2</v>
      </c>
      <c r="G459" s="226"/>
      <c r="H459" s="503">
        <v>55.986923217773438</v>
      </c>
      <c r="I459" s="572">
        <v>-1.81</v>
      </c>
      <c r="J459" s="456">
        <v>-0.89</v>
      </c>
      <c r="K459" s="790">
        <f t="shared" si="8"/>
        <v>20.444976</v>
      </c>
      <c r="L459" s="229" t="s">
        <v>195</v>
      </c>
      <c r="M459" s="399" t="s">
        <v>74</v>
      </c>
      <c r="N459" s="183" t="s">
        <v>95</v>
      </c>
      <c r="O459" s="387" t="s">
        <v>35</v>
      </c>
      <c r="P459" s="388" t="s">
        <v>91</v>
      </c>
      <c r="Q459" s="504" t="s">
        <v>435</v>
      </c>
      <c r="R459" s="564" t="s">
        <v>400</v>
      </c>
      <c r="S459" s="176"/>
      <c r="T459" s="145"/>
      <c r="U459" s="145"/>
    </row>
    <row r="460" spans="1:21">
      <c r="A460" s="167">
        <v>865</v>
      </c>
      <c r="B460" s="196" t="s">
        <v>89</v>
      </c>
      <c r="C460" s="196">
        <v>11</v>
      </c>
      <c r="D460" s="196">
        <v>5</v>
      </c>
      <c r="E460" s="570" t="s">
        <v>576</v>
      </c>
      <c r="F460" s="156">
        <v>100.85</v>
      </c>
      <c r="G460" s="196"/>
      <c r="H460" s="502">
        <v>55.195030212402344</v>
      </c>
      <c r="I460" s="323">
        <v>-2.11</v>
      </c>
      <c r="J460" s="449">
        <v>-0.89</v>
      </c>
      <c r="K460" s="789">
        <f t="shared" si="8"/>
        <v>21.894756000000001</v>
      </c>
      <c r="L460" s="395" t="s">
        <v>79</v>
      </c>
      <c r="M460" s="563" t="s">
        <v>74</v>
      </c>
      <c r="N460" s="69" t="s">
        <v>95</v>
      </c>
      <c r="O460" s="307" t="s">
        <v>35</v>
      </c>
      <c r="P460" s="314" t="s">
        <v>91</v>
      </c>
      <c r="Q460" s="501" t="s">
        <v>435</v>
      </c>
      <c r="R460" s="564" t="s">
        <v>400</v>
      </c>
      <c r="S460" s="176"/>
      <c r="T460" s="145"/>
      <c r="U460" s="145"/>
    </row>
    <row r="461" spans="1:21">
      <c r="A461" s="167">
        <v>865</v>
      </c>
      <c r="B461" s="196" t="s">
        <v>89</v>
      </c>
      <c r="C461" s="196">
        <v>11</v>
      </c>
      <c r="D461" s="196">
        <v>6</v>
      </c>
      <c r="E461" s="570" t="s">
        <v>113</v>
      </c>
      <c r="F461" s="156">
        <v>101.7</v>
      </c>
      <c r="G461" s="196"/>
      <c r="H461" s="502">
        <v>55.470767974853516</v>
      </c>
      <c r="I461" s="156">
        <v>-2.1</v>
      </c>
      <c r="J461" s="449">
        <v>-0.89</v>
      </c>
      <c r="K461" s="789">
        <f t="shared" si="8"/>
        <v>21.846169</v>
      </c>
      <c r="L461" s="395" t="s">
        <v>79</v>
      </c>
      <c r="M461" s="563" t="s">
        <v>74</v>
      </c>
      <c r="N461" s="69" t="s">
        <v>95</v>
      </c>
      <c r="O461" s="307" t="s">
        <v>35</v>
      </c>
      <c r="P461" s="314" t="s">
        <v>91</v>
      </c>
      <c r="Q461" s="501" t="s">
        <v>435</v>
      </c>
      <c r="R461" s="564" t="s">
        <v>400</v>
      </c>
      <c r="S461" s="176"/>
      <c r="T461" s="145"/>
      <c r="U461" s="145"/>
    </row>
    <row r="462" spans="1:21">
      <c r="A462" s="167">
        <v>865</v>
      </c>
      <c r="B462" s="196" t="s">
        <v>89</v>
      </c>
      <c r="C462" s="196">
        <v>11</v>
      </c>
      <c r="D462" s="196">
        <v>6</v>
      </c>
      <c r="E462" s="570" t="s">
        <v>113</v>
      </c>
      <c r="F462" s="196">
        <v>101.7</v>
      </c>
      <c r="G462" s="196"/>
      <c r="H462" s="502">
        <v>55.470767974853516</v>
      </c>
      <c r="I462" s="156">
        <v>-2</v>
      </c>
      <c r="J462" s="449">
        <v>-0.89</v>
      </c>
      <c r="K462" s="789">
        <f t="shared" si="8"/>
        <v>21.361288999999999</v>
      </c>
      <c r="L462" s="395" t="s">
        <v>79</v>
      </c>
      <c r="M462" s="563" t="s">
        <v>74</v>
      </c>
      <c r="N462" s="69" t="s">
        <v>95</v>
      </c>
      <c r="O462" s="307" t="s">
        <v>35</v>
      </c>
      <c r="P462" s="314" t="s">
        <v>91</v>
      </c>
      <c r="Q462" s="501" t="s">
        <v>435</v>
      </c>
      <c r="R462" s="564" t="s">
        <v>400</v>
      </c>
      <c r="S462" s="176"/>
      <c r="T462" s="145"/>
      <c r="U462" s="145"/>
    </row>
    <row r="463" spans="1:21">
      <c r="A463" s="167">
        <v>865</v>
      </c>
      <c r="B463" s="196" t="s">
        <v>89</v>
      </c>
      <c r="C463" s="196">
        <v>11</v>
      </c>
      <c r="D463" s="196">
        <v>6</v>
      </c>
      <c r="E463" s="570" t="s">
        <v>576</v>
      </c>
      <c r="F463" s="196">
        <v>102.35</v>
      </c>
      <c r="G463" s="196"/>
      <c r="H463" s="502">
        <v>55.668235778808594</v>
      </c>
      <c r="I463" s="156">
        <v>-2.09</v>
      </c>
      <c r="J463" s="449">
        <v>-0.89</v>
      </c>
      <c r="K463" s="789">
        <f t="shared" si="8"/>
        <v>21.797599999999999</v>
      </c>
      <c r="L463" s="395" t="s">
        <v>79</v>
      </c>
      <c r="M463" s="563" t="s">
        <v>74</v>
      </c>
      <c r="N463" s="69" t="s">
        <v>95</v>
      </c>
      <c r="O463" s="307" t="s">
        <v>35</v>
      </c>
      <c r="P463" s="314" t="s">
        <v>91</v>
      </c>
      <c r="Q463" s="501" t="s">
        <v>435</v>
      </c>
      <c r="R463" s="564" t="s">
        <v>400</v>
      </c>
      <c r="S463" s="176"/>
      <c r="T463" s="145"/>
      <c r="U463" s="145"/>
    </row>
    <row r="464" spans="1:21">
      <c r="A464" s="167">
        <v>865</v>
      </c>
      <c r="B464" s="196" t="s">
        <v>89</v>
      </c>
      <c r="C464" s="196">
        <v>11</v>
      </c>
      <c r="D464" s="196" t="s">
        <v>284</v>
      </c>
      <c r="E464" s="570" t="s">
        <v>579</v>
      </c>
      <c r="F464" s="196">
        <v>102.53</v>
      </c>
      <c r="G464" s="196"/>
      <c r="H464" s="502">
        <v>55.702117919921875</v>
      </c>
      <c r="I464" s="156">
        <v>-1.97</v>
      </c>
      <c r="J464" s="449">
        <v>-0.89</v>
      </c>
      <c r="K464" s="789">
        <f t="shared" si="8"/>
        <v>21.216176000000001</v>
      </c>
      <c r="L464" s="395" t="s">
        <v>79</v>
      </c>
      <c r="M464" s="563" t="s">
        <v>74</v>
      </c>
      <c r="N464" s="69" t="s">
        <v>95</v>
      </c>
      <c r="O464" s="307" t="s">
        <v>35</v>
      </c>
      <c r="P464" s="314" t="s">
        <v>91</v>
      </c>
      <c r="Q464" s="501" t="s">
        <v>435</v>
      </c>
      <c r="R464" s="564" t="s">
        <v>400</v>
      </c>
      <c r="S464" s="176"/>
      <c r="T464" s="145"/>
      <c r="U464" s="145"/>
    </row>
    <row r="465" spans="1:21">
      <c r="A465" s="167">
        <v>865</v>
      </c>
      <c r="B465" s="196" t="s">
        <v>89</v>
      </c>
      <c r="C465" s="196">
        <v>12</v>
      </c>
      <c r="D465" s="196">
        <v>1</v>
      </c>
      <c r="E465" s="570" t="s">
        <v>106</v>
      </c>
      <c r="F465" s="196">
        <v>103.5</v>
      </c>
      <c r="G465" s="400" t="s">
        <v>587</v>
      </c>
      <c r="H465" s="502">
        <v>55.88470458984375</v>
      </c>
      <c r="I465" s="156">
        <v>-2.06</v>
      </c>
      <c r="J465" s="449">
        <v>-0.89</v>
      </c>
      <c r="K465" s="66">
        <f t="shared" si="8"/>
        <v>21.652001000000002</v>
      </c>
      <c r="L465" s="395" t="s">
        <v>79</v>
      </c>
      <c r="M465" s="563" t="s">
        <v>74</v>
      </c>
      <c r="N465" s="69" t="s">
        <v>95</v>
      </c>
      <c r="O465" s="307" t="s">
        <v>35</v>
      </c>
      <c r="P465" s="314" t="s">
        <v>91</v>
      </c>
      <c r="Q465" s="501" t="s">
        <v>435</v>
      </c>
      <c r="R465" s="564" t="s">
        <v>400</v>
      </c>
      <c r="S465" s="176"/>
      <c r="T465" s="145"/>
      <c r="U465" s="145"/>
    </row>
    <row r="466" spans="1:21">
      <c r="A466" s="167">
        <v>865</v>
      </c>
      <c r="B466" s="196" t="s">
        <v>89</v>
      </c>
      <c r="C466" s="196">
        <v>12</v>
      </c>
      <c r="D466" s="196">
        <v>1</v>
      </c>
      <c r="E466" s="570" t="s">
        <v>357</v>
      </c>
      <c r="F466" s="196">
        <v>103.52</v>
      </c>
      <c r="G466" s="400" t="s">
        <v>587</v>
      </c>
      <c r="H466" s="502">
        <v>55.888469696044922</v>
      </c>
      <c r="I466" s="156">
        <v>-1.91</v>
      </c>
      <c r="J466" s="449">
        <v>-0.89</v>
      </c>
      <c r="K466" s="66">
        <f t="shared" si="8"/>
        <v>20.926436000000002</v>
      </c>
      <c r="L466" s="395" t="s">
        <v>79</v>
      </c>
      <c r="M466" s="563" t="s">
        <v>74</v>
      </c>
      <c r="N466" s="69" t="s">
        <v>95</v>
      </c>
      <c r="O466" s="307" t="s">
        <v>35</v>
      </c>
      <c r="P466" s="314" t="s">
        <v>91</v>
      </c>
      <c r="Q466" s="501" t="s">
        <v>435</v>
      </c>
      <c r="R466" s="564" t="s">
        <v>400</v>
      </c>
      <c r="S466" s="176"/>
      <c r="T466" s="145"/>
      <c r="U466" s="145"/>
    </row>
    <row r="467" spans="1:21">
      <c r="A467" s="167">
        <v>865</v>
      </c>
      <c r="B467" s="196" t="s">
        <v>89</v>
      </c>
      <c r="C467" s="196">
        <v>12</v>
      </c>
      <c r="D467" s="196">
        <v>1</v>
      </c>
      <c r="E467" s="570" t="s">
        <v>360</v>
      </c>
      <c r="F467" s="196">
        <v>103.6</v>
      </c>
      <c r="G467" s="400" t="s">
        <v>587</v>
      </c>
      <c r="H467" s="502">
        <v>55.903530120849609</v>
      </c>
      <c r="I467" s="156">
        <v>-1.66</v>
      </c>
      <c r="J467" s="449">
        <v>-0.89</v>
      </c>
      <c r="K467" s="66">
        <f t="shared" si="8"/>
        <v>19.726161000000001</v>
      </c>
      <c r="L467" s="395" t="s">
        <v>79</v>
      </c>
      <c r="M467" s="563" t="s">
        <v>74</v>
      </c>
      <c r="N467" s="69" t="s">
        <v>95</v>
      </c>
      <c r="O467" s="307" t="s">
        <v>35</v>
      </c>
      <c r="P467" s="314" t="s">
        <v>91</v>
      </c>
      <c r="Q467" s="501" t="s">
        <v>435</v>
      </c>
      <c r="R467" s="564" t="s">
        <v>400</v>
      </c>
      <c r="S467" s="176"/>
      <c r="T467" s="145"/>
      <c r="U467" s="145"/>
    </row>
    <row r="468" spans="1:21">
      <c r="A468" s="167">
        <v>865</v>
      </c>
      <c r="B468" s="196" t="s">
        <v>89</v>
      </c>
      <c r="C468" s="196">
        <v>12</v>
      </c>
      <c r="D468" s="196">
        <v>1</v>
      </c>
      <c r="E468" s="570" t="s">
        <v>147</v>
      </c>
      <c r="F468" s="196">
        <v>103.62</v>
      </c>
      <c r="G468" s="400" t="s">
        <v>587</v>
      </c>
      <c r="H468" s="502">
        <v>55.907295227050781</v>
      </c>
      <c r="I468" s="156">
        <v>-1.85</v>
      </c>
      <c r="J468" s="449">
        <v>-0.89</v>
      </c>
      <c r="K468" s="66">
        <f t="shared" si="8"/>
        <v>20.637344000000002</v>
      </c>
      <c r="L468" s="395" t="s">
        <v>79</v>
      </c>
      <c r="M468" s="563" t="s">
        <v>74</v>
      </c>
      <c r="N468" s="69" t="s">
        <v>95</v>
      </c>
      <c r="O468" s="307" t="s">
        <v>35</v>
      </c>
      <c r="P468" s="314" t="s">
        <v>91</v>
      </c>
      <c r="Q468" s="501" t="s">
        <v>435</v>
      </c>
      <c r="R468" s="564" t="s">
        <v>400</v>
      </c>
      <c r="S468" s="176"/>
      <c r="T468" s="145"/>
      <c r="U468" s="145"/>
    </row>
    <row r="469" spans="1:21">
      <c r="A469" s="167">
        <v>865</v>
      </c>
      <c r="B469" s="196" t="s">
        <v>89</v>
      </c>
      <c r="C469" s="196">
        <v>12</v>
      </c>
      <c r="D469" s="196">
        <v>1</v>
      </c>
      <c r="E469" s="570" t="s">
        <v>113</v>
      </c>
      <c r="F469" s="196">
        <v>103.7</v>
      </c>
      <c r="G469" s="400" t="s">
        <v>587</v>
      </c>
      <c r="H469" s="502">
        <v>55.922351837158203</v>
      </c>
      <c r="I469" s="156">
        <v>-2.0099999999999998</v>
      </c>
      <c r="J469" s="449">
        <v>-0.89</v>
      </c>
      <c r="K469" s="66">
        <f t="shared" si="8"/>
        <v>21.409695999999997</v>
      </c>
      <c r="L469" s="395" t="s">
        <v>79</v>
      </c>
      <c r="M469" s="563" t="s">
        <v>74</v>
      </c>
      <c r="N469" s="69" t="s">
        <v>95</v>
      </c>
      <c r="O469" s="307" t="s">
        <v>35</v>
      </c>
      <c r="P469" s="314" t="s">
        <v>91</v>
      </c>
      <c r="Q469" s="501" t="s">
        <v>435</v>
      </c>
      <c r="R469" s="564" t="s">
        <v>400</v>
      </c>
      <c r="S469" s="176"/>
      <c r="T469" s="145"/>
      <c r="U469" s="145"/>
    </row>
    <row r="470" spans="1:21">
      <c r="A470" s="167">
        <v>865</v>
      </c>
      <c r="B470" s="196" t="s">
        <v>89</v>
      </c>
      <c r="C470" s="196">
        <v>12</v>
      </c>
      <c r="D470" s="196">
        <v>1</v>
      </c>
      <c r="E470" s="570" t="s">
        <v>113</v>
      </c>
      <c r="F470" s="196">
        <v>103.7</v>
      </c>
      <c r="G470" s="400" t="s">
        <v>587</v>
      </c>
      <c r="H470" s="502">
        <v>55.922351837158203</v>
      </c>
      <c r="I470" s="156">
        <v>-1.92</v>
      </c>
      <c r="J470" s="449">
        <v>-0.89</v>
      </c>
      <c r="K470" s="66">
        <f t="shared" si="8"/>
        <v>20.974681</v>
      </c>
      <c r="L470" s="395" t="s">
        <v>79</v>
      </c>
      <c r="M470" s="563" t="s">
        <v>74</v>
      </c>
      <c r="N470" s="69" t="s">
        <v>95</v>
      </c>
      <c r="O470" s="307" t="s">
        <v>35</v>
      </c>
      <c r="P470" s="314" t="s">
        <v>91</v>
      </c>
      <c r="Q470" s="501" t="s">
        <v>435</v>
      </c>
      <c r="R470" s="564" t="s">
        <v>400</v>
      </c>
      <c r="S470" s="176"/>
      <c r="T470" s="145"/>
      <c r="U470" s="145"/>
    </row>
    <row r="471" spans="1:21">
      <c r="A471" s="167">
        <v>865</v>
      </c>
      <c r="B471" s="196" t="s">
        <v>89</v>
      </c>
      <c r="C471" s="196">
        <v>12</v>
      </c>
      <c r="D471" s="196">
        <v>1</v>
      </c>
      <c r="E471" s="570" t="s">
        <v>113</v>
      </c>
      <c r="F471" s="196">
        <v>103.7</v>
      </c>
      <c r="G471" s="400" t="s">
        <v>587</v>
      </c>
      <c r="H471" s="502">
        <v>55.922351837158203</v>
      </c>
      <c r="I471" s="156">
        <v>-1.87</v>
      </c>
      <c r="J471" s="449">
        <v>-0.89</v>
      </c>
      <c r="K471" s="66">
        <f t="shared" si="8"/>
        <v>20.733636000000001</v>
      </c>
      <c r="L471" s="395" t="s">
        <v>79</v>
      </c>
      <c r="M471" s="563" t="s">
        <v>74</v>
      </c>
      <c r="N471" s="69" t="s">
        <v>95</v>
      </c>
      <c r="O471" s="307" t="s">
        <v>35</v>
      </c>
      <c r="P471" s="314" t="s">
        <v>91</v>
      </c>
      <c r="Q471" s="501" t="s">
        <v>435</v>
      </c>
      <c r="R471" s="564" t="s">
        <v>400</v>
      </c>
      <c r="S471" s="176"/>
      <c r="T471" s="145"/>
      <c r="U471" s="145"/>
    </row>
    <row r="472" spans="1:21">
      <c r="A472" s="167">
        <v>865</v>
      </c>
      <c r="B472" s="196" t="s">
        <v>89</v>
      </c>
      <c r="C472" s="196">
        <v>12</v>
      </c>
      <c r="D472" s="196">
        <v>1</v>
      </c>
      <c r="E472" s="570" t="s">
        <v>112</v>
      </c>
      <c r="F472" s="196">
        <v>103.8</v>
      </c>
      <c r="G472" s="400" t="s">
        <v>587</v>
      </c>
      <c r="H472" s="502">
        <v>55.941177368164063</v>
      </c>
      <c r="I472" s="156">
        <v>-1.97</v>
      </c>
      <c r="J472" s="449">
        <v>-0.89</v>
      </c>
      <c r="K472" s="66">
        <f t="shared" si="8"/>
        <v>21.216176000000001</v>
      </c>
      <c r="L472" s="395" t="s">
        <v>79</v>
      </c>
      <c r="M472" s="563" t="s">
        <v>74</v>
      </c>
      <c r="N472" s="69" t="s">
        <v>95</v>
      </c>
      <c r="O472" s="307" t="s">
        <v>35</v>
      </c>
      <c r="P472" s="314" t="s">
        <v>91</v>
      </c>
      <c r="Q472" s="501" t="s">
        <v>435</v>
      </c>
      <c r="R472" s="564" t="s">
        <v>400</v>
      </c>
      <c r="S472" s="176"/>
      <c r="T472" s="145"/>
      <c r="U472" s="145"/>
    </row>
    <row r="473" spans="1:21">
      <c r="A473" s="167">
        <v>865</v>
      </c>
      <c r="B473" s="196" t="s">
        <v>89</v>
      </c>
      <c r="C473" s="196">
        <v>12</v>
      </c>
      <c r="D473" s="196">
        <v>1</v>
      </c>
      <c r="E473" s="570" t="s">
        <v>112</v>
      </c>
      <c r="F473" s="196">
        <v>103.8</v>
      </c>
      <c r="G473" s="400" t="s">
        <v>587</v>
      </c>
      <c r="H473" s="502">
        <v>55.941177368164063</v>
      </c>
      <c r="I473" s="156">
        <v>-1.85</v>
      </c>
      <c r="J473" s="449">
        <v>-0.89</v>
      </c>
      <c r="K473" s="66">
        <f t="shared" si="8"/>
        <v>20.637344000000002</v>
      </c>
      <c r="L473" s="395" t="s">
        <v>79</v>
      </c>
      <c r="M473" s="563" t="s">
        <v>74</v>
      </c>
      <c r="N473" s="69" t="s">
        <v>95</v>
      </c>
      <c r="O473" s="307" t="s">
        <v>35</v>
      </c>
      <c r="P473" s="314" t="s">
        <v>91</v>
      </c>
      <c r="Q473" s="501" t="s">
        <v>435</v>
      </c>
      <c r="R473" s="564" t="s">
        <v>400</v>
      </c>
      <c r="S473" s="176"/>
      <c r="T473" s="145"/>
      <c r="U473" s="145"/>
    </row>
    <row r="474" spans="1:21">
      <c r="A474" s="167">
        <v>865</v>
      </c>
      <c r="B474" s="196" t="s">
        <v>89</v>
      </c>
      <c r="C474" s="196">
        <v>12</v>
      </c>
      <c r="D474" s="196">
        <v>1</v>
      </c>
      <c r="E474" s="570" t="s">
        <v>111</v>
      </c>
      <c r="F474" s="196">
        <v>103.9</v>
      </c>
      <c r="G474" s="400" t="s">
        <v>587</v>
      </c>
      <c r="H474" s="502">
        <v>55.959999084472656</v>
      </c>
      <c r="I474" s="156">
        <v>-1.96</v>
      </c>
      <c r="J474" s="449">
        <v>-0.89</v>
      </c>
      <c r="K474" s="66">
        <f t="shared" si="8"/>
        <v>21.167840999999999</v>
      </c>
      <c r="L474" s="395" t="s">
        <v>79</v>
      </c>
      <c r="M474" s="563" t="s">
        <v>74</v>
      </c>
      <c r="N474" s="69" t="s">
        <v>95</v>
      </c>
      <c r="O474" s="307" t="s">
        <v>35</v>
      </c>
      <c r="P474" s="314" t="s">
        <v>91</v>
      </c>
      <c r="Q474" s="501" t="s">
        <v>435</v>
      </c>
      <c r="R474" s="564" t="s">
        <v>400</v>
      </c>
      <c r="S474" s="176"/>
      <c r="T474" s="145"/>
      <c r="U474" s="145"/>
    </row>
    <row r="475" spans="1:21">
      <c r="A475" s="167">
        <v>865</v>
      </c>
      <c r="B475" s="196" t="s">
        <v>89</v>
      </c>
      <c r="C475" s="196">
        <v>12</v>
      </c>
      <c r="D475" s="196">
        <v>1</v>
      </c>
      <c r="E475" s="570" t="s">
        <v>111</v>
      </c>
      <c r="F475" s="196">
        <v>103.9</v>
      </c>
      <c r="G475" s="400" t="s">
        <v>587</v>
      </c>
      <c r="H475" s="502">
        <v>55.959999084472656</v>
      </c>
      <c r="I475" s="156">
        <v>-1.86</v>
      </c>
      <c r="J475" s="449">
        <v>-0.89</v>
      </c>
      <c r="K475" s="66">
        <f t="shared" si="8"/>
        <v>20.685480999999999</v>
      </c>
      <c r="L475" s="395" t="s">
        <v>79</v>
      </c>
      <c r="M475" s="563" t="s">
        <v>74</v>
      </c>
      <c r="N475" s="69" t="s">
        <v>95</v>
      </c>
      <c r="O475" s="307" t="s">
        <v>35</v>
      </c>
      <c r="P475" s="314" t="s">
        <v>91</v>
      </c>
      <c r="Q475" s="501" t="s">
        <v>435</v>
      </c>
      <c r="R475" s="564" t="s">
        <v>400</v>
      </c>
      <c r="S475" s="176"/>
      <c r="T475" s="145"/>
      <c r="U475" s="145"/>
    </row>
    <row r="476" spans="1:21">
      <c r="A476" s="167">
        <v>865</v>
      </c>
      <c r="B476" s="196" t="s">
        <v>89</v>
      </c>
      <c r="C476" s="196">
        <v>12</v>
      </c>
      <c r="D476" s="196">
        <v>1</v>
      </c>
      <c r="E476" s="570" t="s">
        <v>101</v>
      </c>
      <c r="F476" s="196">
        <v>104.2</v>
      </c>
      <c r="G476" s="196"/>
      <c r="H476" s="502">
        <v>55.986923217773438</v>
      </c>
      <c r="I476" s="156">
        <v>-1.93</v>
      </c>
      <c r="J476" s="449">
        <v>-0.89</v>
      </c>
      <c r="K476" s="789">
        <f t="shared" si="8"/>
        <v>21.022944000000003</v>
      </c>
      <c r="L476" s="395" t="s">
        <v>79</v>
      </c>
      <c r="M476" s="563" t="s">
        <v>74</v>
      </c>
      <c r="N476" s="69" t="s">
        <v>95</v>
      </c>
      <c r="O476" s="307" t="s">
        <v>35</v>
      </c>
      <c r="P476" s="314" t="s">
        <v>91</v>
      </c>
      <c r="Q476" s="501" t="s">
        <v>435</v>
      </c>
      <c r="R476" s="564" t="s">
        <v>400</v>
      </c>
      <c r="S476" s="176"/>
      <c r="T476" s="145"/>
      <c r="U476" s="145"/>
    </row>
    <row r="477" spans="1:21">
      <c r="A477" s="167">
        <v>865</v>
      </c>
      <c r="B477" s="196" t="s">
        <v>89</v>
      </c>
      <c r="C477" s="196">
        <v>12</v>
      </c>
      <c r="D477" s="196">
        <v>1</v>
      </c>
      <c r="E477" s="570" t="s">
        <v>101</v>
      </c>
      <c r="F477" s="196">
        <v>104.2</v>
      </c>
      <c r="G477" s="196"/>
      <c r="H477" s="502">
        <v>55.986923217773438</v>
      </c>
      <c r="I477" s="156">
        <v>-1.78</v>
      </c>
      <c r="J477" s="449">
        <v>-0.89</v>
      </c>
      <c r="K477" s="789">
        <f t="shared" si="8"/>
        <v>20.300889000000002</v>
      </c>
      <c r="L477" s="395" t="s">
        <v>79</v>
      </c>
      <c r="M477" s="563" t="s">
        <v>74</v>
      </c>
      <c r="N477" s="69" t="s">
        <v>95</v>
      </c>
      <c r="O477" s="307" t="s">
        <v>35</v>
      </c>
      <c r="P477" s="314" t="s">
        <v>91</v>
      </c>
      <c r="Q477" s="501" t="s">
        <v>435</v>
      </c>
      <c r="R477" s="564" t="s">
        <v>400</v>
      </c>
      <c r="S477" s="176"/>
      <c r="T477" s="145"/>
      <c r="U477" s="145"/>
    </row>
    <row r="478" spans="1:21">
      <c r="A478" s="167">
        <v>865</v>
      </c>
      <c r="B478" s="196" t="s">
        <v>89</v>
      </c>
      <c r="C478" s="196">
        <v>12</v>
      </c>
      <c r="D478" s="196">
        <v>1</v>
      </c>
      <c r="E478" s="570" t="s">
        <v>101</v>
      </c>
      <c r="F478" s="196">
        <v>104.2</v>
      </c>
      <c r="G478" s="196"/>
      <c r="H478" s="502">
        <v>55.986923217773438</v>
      </c>
      <c r="I478" s="156">
        <v>-1.84</v>
      </c>
      <c r="J478" s="449">
        <v>-0.89</v>
      </c>
      <c r="K478" s="789">
        <f t="shared" si="8"/>
        <v>20.589225000000003</v>
      </c>
      <c r="L478" s="395" t="s">
        <v>79</v>
      </c>
      <c r="M478" s="563" t="s">
        <v>74</v>
      </c>
      <c r="N478" s="69" t="s">
        <v>95</v>
      </c>
      <c r="O478" s="307" t="s">
        <v>35</v>
      </c>
      <c r="P478" s="314" t="s">
        <v>91</v>
      </c>
      <c r="Q478" s="501" t="s">
        <v>435</v>
      </c>
      <c r="R478" s="564" t="s">
        <v>400</v>
      </c>
      <c r="S478" s="176"/>
      <c r="T478" s="145"/>
      <c r="U478" s="145"/>
    </row>
    <row r="479" spans="1:21">
      <c r="A479" s="167">
        <v>865</v>
      </c>
      <c r="B479" s="196" t="s">
        <v>89</v>
      </c>
      <c r="C479" s="196">
        <v>12</v>
      </c>
      <c r="D479" s="196">
        <v>1</v>
      </c>
      <c r="E479" s="570" t="s">
        <v>574</v>
      </c>
      <c r="F479" s="196">
        <v>104.7</v>
      </c>
      <c r="G479" s="196"/>
      <c r="H479" s="502">
        <v>56.031795501708984</v>
      </c>
      <c r="I479" s="156">
        <v>-1.75</v>
      </c>
      <c r="J479" s="449">
        <v>-0.89</v>
      </c>
      <c r="K479" s="789">
        <f t="shared" si="8"/>
        <v>20.156964000000002</v>
      </c>
      <c r="L479" s="395" t="s">
        <v>79</v>
      </c>
      <c r="M479" s="563" t="s">
        <v>74</v>
      </c>
      <c r="N479" s="69" t="s">
        <v>95</v>
      </c>
      <c r="O479" s="307" t="s">
        <v>35</v>
      </c>
      <c r="P479" s="314" t="s">
        <v>91</v>
      </c>
      <c r="Q479" s="501" t="s">
        <v>435</v>
      </c>
      <c r="R479" s="564" t="s">
        <v>400</v>
      </c>
      <c r="S479" s="176"/>
      <c r="T479" s="145"/>
      <c r="U479" s="145"/>
    </row>
    <row r="480" spans="1:21">
      <c r="A480" s="167">
        <v>865</v>
      </c>
      <c r="B480" s="196" t="s">
        <v>89</v>
      </c>
      <c r="C480" s="196">
        <v>12</v>
      </c>
      <c r="D480" s="196">
        <v>1</v>
      </c>
      <c r="E480" s="570" t="s">
        <v>574</v>
      </c>
      <c r="F480" s="196">
        <v>104.7</v>
      </c>
      <c r="G480" s="196"/>
      <c r="H480" s="502">
        <v>56.031795501708984</v>
      </c>
      <c r="I480" s="156">
        <v>-1.85</v>
      </c>
      <c r="J480" s="449">
        <v>-0.89</v>
      </c>
      <c r="K480" s="789">
        <f t="shared" si="8"/>
        <v>20.637344000000002</v>
      </c>
      <c r="L480" s="395" t="s">
        <v>79</v>
      </c>
      <c r="M480" s="563" t="s">
        <v>74</v>
      </c>
      <c r="N480" s="69" t="s">
        <v>95</v>
      </c>
      <c r="O480" s="307" t="s">
        <v>35</v>
      </c>
      <c r="P480" s="314" t="s">
        <v>91</v>
      </c>
      <c r="Q480" s="501" t="s">
        <v>435</v>
      </c>
      <c r="R480" s="564" t="s">
        <v>400</v>
      </c>
      <c r="S480" s="176"/>
      <c r="T480" s="145"/>
      <c r="U480" s="145"/>
    </row>
    <row r="481" spans="1:21">
      <c r="A481" s="167">
        <v>865</v>
      </c>
      <c r="B481" s="196" t="s">
        <v>89</v>
      </c>
      <c r="C481" s="196">
        <v>12</v>
      </c>
      <c r="D481" s="196">
        <v>2</v>
      </c>
      <c r="E481" s="196" t="s">
        <v>113</v>
      </c>
      <c r="F481" s="156">
        <v>105.2</v>
      </c>
      <c r="G481" s="196" t="s">
        <v>196</v>
      </c>
      <c r="H481" s="502">
        <v>56.076667785644531</v>
      </c>
      <c r="I481" s="243">
        <v>-1.75</v>
      </c>
      <c r="J481" s="449">
        <v>-0.89</v>
      </c>
      <c r="K481" s="65">
        <f t="shared" si="8"/>
        <v>20.156964000000002</v>
      </c>
      <c r="L481" s="395" t="s">
        <v>79</v>
      </c>
      <c r="M481" s="563" t="s">
        <v>74</v>
      </c>
      <c r="N481" s="69" t="s">
        <v>95</v>
      </c>
      <c r="O481" s="307" t="s">
        <v>35</v>
      </c>
      <c r="P481" s="314" t="s">
        <v>91</v>
      </c>
      <c r="Q481" s="501" t="s">
        <v>435</v>
      </c>
      <c r="R481" s="564" t="s">
        <v>400</v>
      </c>
      <c r="S481" s="176" t="s">
        <v>741</v>
      </c>
      <c r="T481" s="145"/>
      <c r="U481" s="145"/>
    </row>
    <row r="482" spans="1:21">
      <c r="A482" s="167">
        <v>865</v>
      </c>
      <c r="B482" s="196" t="s">
        <v>89</v>
      </c>
      <c r="C482" s="196">
        <v>12</v>
      </c>
      <c r="D482" s="196">
        <v>2</v>
      </c>
      <c r="E482" s="196" t="s">
        <v>101</v>
      </c>
      <c r="F482" s="156">
        <v>105.7</v>
      </c>
      <c r="G482" s="196" t="s">
        <v>196</v>
      </c>
      <c r="H482" s="502">
        <v>56.121540069580078</v>
      </c>
      <c r="I482" s="243">
        <v>-1.81</v>
      </c>
      <c r="J482" s="449">
        <v>-0.89</v>
      </c>
      <c r="K482" s="65">
        <f t="shared" si="8"/>
        <v>20.444976</v>
      </c>
      <c r="L482" s="395" t="s">
        <v>79</v>
      </c>
      <c r="M482" s="563" t="s">
        <v>74</v>
      </c>
      <c r="N482" s="69" t="s">
        <v>95</v>
      </c>
      <c r="O482" s="307" t="s">
        <v>35</v>
      </c>
      <c r="P482" s="314" t="s">
        <v>91</v>
      </c>
      <c r="Q482" s="501" t="s">
        <v>435</v>
      </c>
      <c r="R482" s="564" t="s">
        <v>400</v>
      </c>
      <c r="S482" s="176" t="s">
        <v>741</v>
      </c>
      <c r="T482" s="145"/>
      <c r="U482" s="145"/>
    </row>
    <row r="483" spans="1:21">
      <c r="A483" s="167">
        <v>865</v>
      </c>
      <c r="B483" s="196" t="s">
        <v>89</v>
      </c>
      <c r="C483" s="196">
        <v>12</v>
      </c>
      <c r="D483" s="196">
        <v>2</v>
      </c>
      <c r="E483" s="196" t="s">
        <v>101</v>
      </c>
      <c r="F483" s="156">
        <v>105.7</v>
      </c>
      <c r="G483" s="196" t="s">
        <v>196</v>
      </c>
      <c r="H483" s="502">
        <v>56.121540069580078</v>
      </c>
      <c r="I483" s="243">
        <v>-1.8</v>
      </c>
      <c r="J483" s="449">
        <v>-0.89</v>
      </c>
      <c r="K483" s="65">
        <f t="shared" si="8"/>
        <v>20.396929</v>
      </c>
      <c r="L483" s="395" t="s">
        <v>79</v>
      </c>
      <c r="M483" s="563" t="s">
        <v>74</v>
      </c>
      <c r="N483" s="69" t="s">
        <v>95</v>
      </c>
      <c r="O483" s="307" t="s">
        <v>35</v>
      </c>
      <c r="P483" s="314" t="s">
        <v>91</v>
      </c>
      <c r="Q483" s="501" t="s">
        <v>435</v>
      </c>
      <c r="R483" s="564" t="s">
        <v>400</v>
      </c>
      <c r="S483" s="176" t="s">
        <v>741</v>
      </c>
      <c r="T483" s="145"/>
      <c r="U483" s="145"/>
    </row>
    <row r="484" spans="1:21">
      <c r="A484" s="167">
        <v>865</v>
      </c>
      <c r="B484" s="196" t="s">
        <v>89</v>
      </c>
      <c r="C484" s="196">
        <v>12</v>
      </c>
      <c r="D484" s="196">
        <v>2</v>
      </c>
      <c r="E484" s="196" t="s">
        <v>574</v>
      </c>
      <c r="F484" s="156">
        <v>106.2</v>
      </c>
      <c r="G484" s="196" t="s">
        <v>196</v>
      </c>
      <c r="H484" s="502">
        <v>56.166408538818359</v>
      </c>
      <c r="I484" s="243">
        <v>-1.96</v>
      </c>
      <c r="J484" s="449">
        <v>-0.89</v>
      </c>
      <c r="K484" s="65">
        <f t="shared" si="8"/>
        <v>21.167840999999999</v>
      </c>
      <c r="L484" s="395" t="s">
        <v>79</v>
      </c>
      <c r="M484" s="563" t="s">
        <v>74</v>
      </c>
      <c r="N484" s="69" t="s">
        <v>95</v>
      </c>
      <c r="O484" s="307" t="s">
        <v>35</v>
      </c>
      <c r="P484" s="314" t="s">
        <v>91</v>
      </c>
      <c r="Q484" s="501" t="s">
        <v>435</v>
      </c>
      <c r="R484" s="564" t="s">
        <v>400</v>
      </c>
      <c r="S484" s="176" t="s">
        <v>741</v>
      </c>
      <c r="T484" s="145"/>
      <c r="U484" s="145"/>
    </row>
    <row r="485" spans="1:21">
      <c r="A485" s="167">
        <v>865</v>
      </c>
      <c r="B485" s="196" t="s">
        <v>89</v>
      </c>
      <c r="C485" s="196">
        <v>12</v>
      </c>
      <c r="D485" s="196">
        <v>3</v>
      </c>
      <c r="E485" s="196" t="s">
        <v>113</v>
      </c>
      <c r="F485" s="156">
        <v>106.7</v>
      </c>
      <c r="G485" s="196" t="s">
        <v>196</v>
      </c>
      <c r="H485" s="502">
        <v>56.211280822753906</v>
      </c>
      <c r="I485" s="243">
        <v>-1.75</v>
      </c>
      <c r="J485" s="449">
        <v>-0.89</v>
      </c>
      <c r="K485" s="65">
        <f t="shared" si="8"/>
        <v>20.156964000000002</v>
      </c>
      <c r="L485" s="395" t="s">
        <v>79</v>
      </c>
      <c r="M485" s="563" t="s">
        <v>74</v>
      </c>
      <c r="N485" s="69" t="s">
        <v>95</v>
      </c>
      <c r="O485" s="307" t="s">
        <v>35</v>
      </c>
      <c r="P485" s="314" t="s">
        <v>91</v>
      </c>
      <c r="Q485" s="501" t="s">
        <v>435</v>
      </c>
      <c r="R485" s="564" t="s">
        <v>400</v>
      </c>
      <c r="S485" s="176" t="s">
        <v>741</v>
      </c>
      <c r="T485" s="145"/>
      <c r="U485" s="145"/>
    </row>
    <row r="486" spans="1:21">
      <c r="A486" s="167">
        <v>865</v>
      </c>
      <c r="B486" s="196" t="s">
        <v>89</v>
      </c>
      <c r="C486" s="196">
        <v>12</v>
      </c>
      <c r="D486" s="196">
        <v>3</v>
      </c>
      <c r="E486" s="196" t="s">
        <v>101</v>
      </c>
      <c r="F486" s="156">
        <v>107.2</v>
      </c>
      <c r="G486" s="196" t="s">
        <v>196</v>
      </c>
      <c r="H486" s="502">
        <v>56.256153106689453</v>
      </c>
      <c r="I486" s="243">
        <v>-1.73</v>
      </c>
      <c r="J486" s="449">
        <v>-0.89</v>
      </c>
      <c r="K486" s="65">
        <f t="shared" si="8"/>
        <v>20.061104</v>
      </c>
      <c r="L486" s="395" t="s">
        <v>79</v>
      </c>
      <c r="M486" s="563" t="s">
        <v>74</v>
      </c>
      <c r="N486" s="69" t="s">
        <v>95</v>
      </c>
      <c r="O486" s="307" t="s">
        <v>35</v>
      </c>
      <c r="P486" s="314" t="s">
        <v>91</v>
      </c>
      <c r="Q486" s="501" t="s">
        <v>435</v>
      </c>
      <c r="R486" s="564" t="s">
        <v>400</v>
      </c>
      <c r="S486" s="176" t="s">
        <v>741</v>
      </c>
      <c r="T486" s="145"/>
      <c r="U486" s="145"/>
    </row>
    <row r="487" spans="1:21">
      <c r="A487" s="167">
        <v>865</v>
      </c>
      <c r="B487" s="196" t="s">
        <v>89</v>
      </c>
      <c r="C487" s="196">
        <v>12</v>
      </c>
      <c r="D487" s="196">
        <v>3</v>
      </c>
      <c r="E487" s="196" t="s">
        <v>574</v>
      </c>
      <c r="F487" s="156">
        <v>107.7</v>
      </c>
      <c r="G487" s="196" t="s">
        <v>196</v>
      </c>
      <c r="H487" s="502">
        <v>56.301025390625</v>
      </c>
      <c r="I487" s="243">
        <v>-1.81</v>
      </c>
      <c r="J487" s="449">
        <v>-0.89</v>
      </c>
      <c r="K487" s="65">
        <f t="shared" si="8"/>
        <v>20.444976</v>
      </c>
      <c r="L487" s="395" t="s">
        <v>79</v>
      </c>
      <c r="M487" s="563" t="s">
        <v>74</v>
      </c>
      <c r="N487" s="69" t="s">
        <v>95</v>
      </c>
      <c r="O487" s="307" t="s">
        <v>35</v>
      </c>
      <c r="P487" s="314" t="s">
        <v>91</v>
      </c>
      <c r="Q487" s="501" t="s">
        <v>435</v>
      </c>
      <c r="R487" s="564" t="s">
        <v>400</v>
      </c>
      <c r="S487" s="176" t="s">
        <v>741</v>
      </c>
      <c r="T487" s="145"/>
      <c r="U487" s="145"/>
    </row>
    <row r="488" spans="1:21">
      <c r="A488" s="167">
        <v>865</v>
      </c>
      <c r="B488" s="196" t="s">
        <v>89</v>
      </c>
      <c r="C488" s="196">
        <v>12</v>
      </c>
      <c r="D488" s="196">
        <v>4</v>
      </c>
      <c r="E488" s="196" t="s">
        <v>101</v>
      </c>
      <c r="F488" s="156">
        <v>108.7</v>
      </c>
      <c r="G488" s="196" t="s">
        <v>196</v>
      </c>
      <c r="H488" s="502">
        <v>56.390769958496094</v>
      </c>
      <c r="I488" s="243">
        <v>-1.82</v>
      </c>
      <c r="J488" s="449">
        <v>-0.89</v>
      </c>
      <c r="K488" s="65">
        <f t="shared" si="8"/>
        <v>20.493041000000002</v>
      </c>
      <c r="L488" s="395" t="s">
        <v>79</v>
      </c>
      <c r="M488" s="563" t="s">
        <v>74</v>
      </c>
      <c r="N488" s="69" t="s">
        <v>95</v>
      </c>
      <c r="O488" s="307" t="s">
        <v>35</v>
      </c>
      <c r="P488" s="314" t="s">
        <v>91</v>
      </c>
      <c r="Q488" s="501" t="s">
        <v>435</v>
      </c>
      <c r="R488" s="564" t="s">
        <v>400</v>
      </c>
      <c r="S488" s="176" t="s">
        <v>741</v>
      </c>
      <c r="T488" s="145"/>
      <c r="U488" s="145"/>
    </row>
    <row r="489" spans="1:21">
      <c r="A489" s="167">
        <v>865</v>
      </c>
      <c r="B489" s="196" t="s">
        <v>89</v>
      </c>
      <c r="C489" s="196">
        <v>12</v>
      </c>
      <c r="D489" s="196">
        <v>4</v>
      </c>
      <c r="E489" s="196" t="s">
        <v>580</v>
      </c>
      <c r="F489" s="156">
        <v>109.2</v>
      </c>
      <c r="G489" s="196" t="s">
        <v>196</v>
      </c>
      <c r="H489" s="502">
        <v>56.435642242431641</v>
      </c>
      <c r="I489" s="243">
        <v>-1.91</v>
      </c>
      <c r="J489" s="449">
        <v>-0.89</v>
      </c>
      <c r="K489" s="65">
        <f t="shared" si="8"/>
        <v>20.926436000000002</v>
      </c>
      <c r="L489" s="395" t="s">
        <v>79</v>
      </c>
      <c r="M489" s="563" t="s">
        <v>74</v>
      </c>
      <c r="N489" s="69" t="s">
        <v>95</v>
      </c>
      <c r="O489" s="307" t="s">
        <v>35</v>
      </c>
      <c r="P489" s="314" t="s">
        <v>91</v>
      </c>
      <c r="Q489" s="501" t="s">
        <v>435</v>
      </c>
      <c r="R489" s="564" t="s">
        <v>400</v>
      </c>
      <c r="S489" s="176" t="s">
        <v>741</v>
      </c>
      <c r="T489" s="145"/>
      <c r="U489" s="145"/>
    </row>
    <row r="490" spans="1:21">
      <c r="A490" s="167">
        <v>865</v>
      </c>
      <c r="B490" s="196" t="s">
        <v>89</v>
      </c>
      <c r="C490" s="196">
        <v>12</v>
      </c>
      <c r="D490" s="196">
        <v>5</v>
      </c>
      <c r="E490" s="196" t="s">
        <v>113</v>
      </c>
      <c r="F490" s="156">
        <v>109.7</v>
      </c>
      <c r="G490" s="196" t="s">
        <v>196</v>
      </c>
      <c r="H490" s="502">
        <v>56.480514526367188</v>
      </c>
      <c r="I490" s="243">
        <v>-1.76</v>
      </c>
      <c r="J490" s="449">
        <v>-0.89</v>
      </c>
      <c r="K490" s="65">
        <f t="shared" si="8"/>
        <v>20.204921000000002</v>
      </c>
      <c r="L490" s="395" t="s">
        <v>79</v>
      </c>
      <c r="M490" s="563" t="s">
        <v>74</v>
      </c>
      <c r="N490" s="69" t="s">
        <v>95</v>
      </c>
      <c r="O490" s="307" t="s">
        <v>35</v>
      </c>
      <c r="P490" s="314" t="s">
        <v>91</v>
      </c>
      <c r="Q490" s="501" t="s">
        <v>435</v>
      </c>
      <c r="R490" s="564" t="s">
        <v>400</v>
      </c>
      <c r="S490" s="176" t="s">
        <v>741</v>
      </c>
      <c r="T490" s="145"/>
      <c r="U490" s="145"/>
    </row>
    <row r="491" spans="1:21">
      <c r="A491" s="167">
        <v>865</v>
      </c>
      <c r="B491" s="196" t="s">
        <v>89</v>
      </c>
      <c r="C491" s="196">
        <v>12</v>
      </c>
      <c r="D491" s="196">
        <v>5</v>
      </c>
      <c r="E491" s="196" t="s">
        <v>101</v>
      </c>
      <c r="F491" s="156">
        <v>110.2</v>
      </c>
      <c r="G491" s="196" t="s">
        <v>196</v>
      </c>
      <c r="H491" s="502">
        <v>56.525382995605469</v>
      </c>
      <c r="I491" s="243">
        <v>-2.31</v>
      </c>
      <c r="J491" s="449">
        <v>-0.89</v>
      </c>
      <c r="K491" s="65">
        <f t="shared" si="8"/>
        <v>22.870276</v>
      </c>
      <c r="L491" s="395" t="s">
        <v>79</v>
      </c>
      <c r="M491" s="563" t="s">
        <v>74</v>
      </c>
      <c r="N491" s="69" t="s">
        <v>95</v>
      </c>
      <c r="O491" s="307" t="s">
        <v>35</v>
      </c>
      <c r="P491" s="314" t="s">
        <v>91</v>
      </c>
      <c r="Q491" s="501" t="s">
        <v>435</v>
      </c>
      <c r="R491" s="564" t="s">
        <v>400</v>
      </c>
      <c r="S491" s="176" t="s">
        <v>741</v>
      </c>
      <c r="T491" s="145"/>
      <c r="U491" s="145"/>
    </row>
    <row r="492" spans="1:21">
      <c r="A492" s="167">
        <v>865</v>
      </c>
      <c r="B492" s="196" t="s">
        <v>89</v>
      </c>
      <c r="C492" s="196">
        <v>12</v>
      </c>
      <c r="D492" s="196">
        <v>5</v>
      </c>
      <c r="E492" s="196" t="s">
        <v>574</v>
      </c>
      <c r="F492" s="156">
        <v>110.7</v>
      </c>
      <c r="G492" s="196" t="s">
        <v>196</v>
      </c>
      <c r="H492" s="502">
        <v>56.570255279541016</v>
      </c>
      <c r="I492" s="243">
        <v>-1.81</v>
      </c>
      <c r="J492" s="449">
        <v>-0.89</v>
      </c>
      <c r="K492" s="65">
        <f t="shared" si="8"/>
        <v>20.444976</v>
      </c>
      <c r="L492" s="395" t="s">
        <v>79</v>
      </c>
      <c r="M492" s="563" t="s">
        <v>74</v>
      </c>
      <c r="N492" s="69" t="s">
        <v>95</v>
      </c>
      <c r="O492" s="307" t="s">
        <v>35</v>
      </c>
      <c r="P492" s="314" t="s">
        <v>91</v>
      </c>
      <c r="Q492" s="501" t="s">
        <v>435</v>
      </c>
      <c r="R492" s="564" t="s">
        <v>400</v>
      </c>
      <c r="S492" s="176" t="s">
        <v>741</v>
      </c>
      <c r="T492" s="145"/>
      <c r="U492" s="145"/>
    </row>
    <row r="493" spans="1:21">
      <c r="A493" s="167">
        <v>865</v>
      </c>
      <c r="B493" s="196" t="s">
        <v>89</v>
      </c>
      <c r="C493" s="196">
        <v>12</v>
      </c>
      <c r="D493" s="196">
        <v>6</v>
      </c>
      <c r="E493" s="196" t="s">
        <v>113</v>
      </c>
      <c r="F493" s="156">
        <v>111.2</v>
      </c>
      <c r="G493" s="196" t="s">
        <v>196</v>
      </c>
      <c r="H493" s="502">
        <v>56.615127563476563</v>
      </c>
      <c r="I493" s="243">
        <v>-1.87</v>
      </c>
      <c r="J493" s="449">
        <v>-0.89</v>
      </c>
      <c r="K493" s="65">
        <f t="shared" si="8"/>
        <v>20.733636000000001</v>
      </c>
      <c r="L493" s="395" t="s">
        <v>79</v>
      </c>
      <c r="M493" s="563" t="s">
        <v>74</v>
      </c>
      <c r="N493" s="69" t="s">
        <v>95</v>
      </c>
      <c r="O493" s="307" t="s">
        <v>35</v>
      </c>
      <c r="P493" s="314" t="s">
        <v>91</v>
      </c>
      <c r="Q493" s="501" t="s">
        <v>435</v>
      </c>
      <c r="R493" s="564" t="s">
        <v>400</v>
      </c>
      <c r="S493" s="176" t="s">
        <v>741</v>
      </c>
      <c r="T493" s="145"/>
      <c r="U493" s="145"/>
    </row>
    <row r="494" spans="1:21">
      <c r="A494" s="167">
        <v>865</v>
      </c>
      <c r="B494" s="196" t="s">
        <v>89</v>
      </c>
      <c r="C494" s="196">
        <v>12</v>
      </c>
      <c r="D494" s="196">
        <v>6</v>
      </c>
      <c r="E494" s="196" t="s">
        <v>101</v>
      </c>
      <c r="F494" s="156">
        <v>111.7</v>
      </c>
      <c r="G494" s="196" t="s">
        <v>196</v>
      </c>
      <c r="H494" s="502">
        <v>56.659999847412109</v>
      </c>
      <c r="I494" s="243">
        <v>-1.75</v>
      </c>
      <c r="J494" s="449">
        <v>-0.89</v>
      </c>
      <c r="K494" s="65">
        <f t="shared" si="8"/>
        <v>20.156964000000002</v>
      </c>
      <c r="L494" s="395" t="s">
        <v>79</v>
      </c>
      <c r="M494" s="563" t="s">
        <v>74</v>
      </c>
      <c r="N494" s="69" t="s">
        <v>95</v>
      </c>
      <c r="O494" s="307" t="s">
        <v>35</v>
      </c>
      <c r="P494" s="314" t="s">
        <v>91</v>
      </c>
      <c r="Q494" s="501" t="s">
        <v>435</v>
      </c>
      <c r="R494" s="564" t="s">
        <v>400</v>
      </c>
      <c r="S494" s="176" t="s">
        <v>741</v>
      </c>
      <c r="T494" s="145"/>
      <c r="U494" s="145"/>
    </row>
    <row r="495" spans="1:21">
      <c r="A495" s="167">
        <v>865</v>
      </c>
      <c r="B495" s="196" t="s">
        <v>89</v>
      </c>
      <c r="C495" s="196">
        <v>12</v>
      </c>
      <c r="D495" s="196">
        <v>6</v>
      </c>
      <c r="E495" s="196" t="s">
        <v>581</v>
      </c>
      <c r="F495" s="156">
        <v>112.02</v>
      </c>
      <c r="G495" s="196" t="s">
        <v>196</v>
      </c>
      <c r="H495" s="502">
        <v>56.706829071044922</v>
      </c>
      <c r="I495" s="243">
        <v>-1.7</v>
      </c>
      <c r="J495" s="449">
        <v>-0.89</v>
      </c>
      <c r="K495" s="65">
        <f t="shared" si="8"/>
        <v>19.917449000000001</v>
      </c>
      <c r="L495" s="395" t="s">
        <v>79</v>
      </c>
      <c r="M495" s="563" t="s">
        <v>74</v>
      </c>
      <c r="N495" s="69" t="s">
        <v>95</v>
      </c>
      <c r="O495" s="307" t="s">
        <v>35</v>
      </c>
      <c r="P495" s="314" t="s">
        <v>91</v>
      </c>
      <c r="Q495" s="501" t="s">
        <v>435</v>
      </c>
      <c r="R495" s="564" t="s">
        <v>400</v>
      </c>
      <c r="S495" s="176" t="s">
        <v>741</v>
      </c>
      <c r="T495" s="145"/>
      <c r="U495" s="145"/>
    </row>
    <row r="496" spans="1:21">
      <c r="A496" s="167">
        <v>865</v>
      </c>
      <c r="B496" s="196" t="s">
        <v>89</v>
      </c>
      <c r="C496" s="196">
        <v>13</v>
      </c>
      <c r="D496" s="196">
        <v>1</v>
      </c>
      <c r="E496" s="196" t="s">
        <v>128</v>
      </c>
      <c r="F496" s="156">
        <v>113.21</v>
      </c>
      <c r="G496" s="196" t="s">
        <v>196</v>
      </c>
      <c r="H496" s="502">
        <v>56.880973815917969</v>
      </c>
      <c r="I496" s="243">
        <v>-1.87</v>
      </c>
      <c r="J496" s="449">
        <v>-0.89</v>
      </c>
      <c r="K496" s="65">
        <f t="shared" si="8"/>
        <v>20.733636000000001</v>
      </c>
      <c r="L496" s="395" t="s">
        <v>79</v>
      </c>
      <c r="M496" s="563" t="s">
        <v>74</v>
      </c>
      <c r="N496" s="69" t="s">
        <v>95</v>
      </c>
      <c r="O496" s="307" t="s">
        <v>35</v>
      </c>
      <c r="P496" s="314" t="s">
        <v>91</v>
      </c>
      <c r="Q496" s="501" t="s">
        <v>435</v>
      </c>
      <c r="R496" s="564" t="s">
        <v>400</v>
      </c>
      <c r="S496" s="176" t="s">
        <v>741</v>
      </c>
      <c r="T496" s="145"/>
      <c r="U496" s="145"/>
    </row>
    <row r="497" spans="1:21">
      <c r="A497" s="167">
        <v>865</v>
      </c>
      <c r="B497" s="196" t="s">
        <v>89</v>
      </c>
      <c r="C497" s="196">
        <v>13</v>
      </c>
      <c r="D497" s="196">
        <v>1</v>
      </c>
      <c r="E497" s="196" t="s">
        <v>128</v>
      </c>
      <c r="F497" s="156">
        <v>113.21</v>
      </c>
      <c r="G497" s="196" t="s">
        <v>196</v>
      </c>
      <c r="H497" s="502">
        <v>56.880973815917969</v>
      </c>
      <c r="I497" s="243">
        <v>-1.82</v>
      </c>
      <c r="J497" s="449">
        <v>-0.89</v>
      </c>
      <c r="K497" s="65">
        <f t="shared" si="8"/>
        <v>20.493041000000002</v>
      </c>
      <c r="L497" s="395" t="s">
        <v>79</v>
      </c>
      <c r="M497" s="563" t="s">
        <v>74</v>
      </c>
      <c r="N497" s="69" t="s">
        <v>95</v>
      </c>
      <c r="O497" s="307" t="s">
        <v>35</v>
      </c>
      <c r="P497" s="314" t="s">
        <v>91</v>
      </c>
      <c r="Q497" s="501" t="s">
        <v>435</v>
      </c>
      <c r="R497" s="564" t="s">
        <v>400</v>
      </c>
      <c r="S497" s="176" t="s">
        <v>741</v>
      </c>
      <c r="T497" s="145"/>
      <c r="U497" s="145"/>
    </row>
    <row r="498" spans="1:21">
      <c r="A498" s="167">
        <v>865</v>
      </c>
      <c r="B498" s="196" t="s">
        <v>89</v>
      </c>
      <c r="C498" s="196">
        <v>13</v>
      </c>
      <c r="D498" s="196">
        <v>1</v>
      </c>
      <c r="E498" s="196" t="s">
        <v>128</v>
      </c>
      <c r="F498" s="156">
        <v>113.21</v>
      </c>
      <c r="G498" s="196" t="s">
        <v>196</v>
      </c>
      <c r="H498" s="502">
        <v>56.880973815917969</v>
      </c>
      <c r="I498" s="243">
        <v>-1.76</v>
      </c>
      <c r="J498" s="449">
        <v>-0.89</v>
      </c>
      <c r="K498" s="65">
        <f t="shared" si="8"/>
        <v>20.204921000000002</v>
      </c>
      <c r="L498" s="395" t="s">
        <v>79</v>
      </c>
      <c r="M498" s="563" t="s">
        <v>74</v>
      </c>
      <c r="N498" s="69" t="s">
        <v>95</v>
      </c>
      <c r="O498" s="307" t="s">
        <v>35</v>
      </c>
      <c r="P498" s="314" t="s">
        <v>91</v>
      </c>
      <c r="Q498" s="501" t="s">
        <v>435</v>
      </c>
      <c r="R498" s="564" t="s">
        <v>400</v>
      </c>
      <c r="S498" s="176" t="s">
        <v>741</v>
      </c>
      <c r="T498" s="145"/>
      <c r="U498" s="145"/>
    </row>
    <row r="499" spans="1:21">
      <c r="A499" s="167">
        <v>865</v>
      </c>
      <c r="B499" s="196" t="s">
        <v>89</v>
      </c>
      <c r="C499" s="196">
        <v>13</v>
      </c>
      <c r="D499" s="196">
        <v>1</v>
      </c>
      <c r="E499" s="196" t="s">
        <v>101</v>
      </c>
      <c r="F499" s="156">
        <v>113.7</v>
      </c>
      <c r="G499" s="196" t="s">
        <v>196</v>
      </c>
      <c r="H499" s="502">
        <v>56.952682495117188</v>
      </c>
      <c r="I499" s="243">
        <v>-1.8</v>
      </c>
      <c r="J499" s="449">
        <v>-0.89</v>
      </c>
      <c r="K499" s="65">
        <f t="shared" si="8"/>
        <v>20.396929</v>
      </c>
      <c r="L499" s="395" t="s">
        <v>79</v>
      </c>
      <c r="M499" s="563" t="s">
        <v>74</v>
      </c>
      <c r="N499" s="69" t="s">
        <v>95</v>
      </c>
      <c r="O499" s="307" t="s">
        <v>35</v>
      </c>
      <c r="P499" s="314" t="s">
        <v>91</v>
      </c>
      <c r="Q499" s="501" t="s">
        <v>435</v>
      </c>
      <c r="R499" s="564" t="s">
        <v>400</v>
      </c>
      <c r="S499" s="176" t="s">
        <v>741</v>
      </c>
      <c r="T499" s="145"/>
      <c r="U499" s="145"/>
    </row>
    <row r="500" spans="1:21">
      <c r="A500" s="167">
        <v>865</v>
      </c>
      <c r="B500" s="196" t="s">
        <v>89</v>
      </c>
      <c r="C500" s="196">
        <v>13</v>
      </c>
      <c r="D500" s="196">
        <v>1</v>
      </c>
      <c r="E500" s="196" t="s">
        <v>582</v>
      </c>
      <c r="F500" s="156">
        <v>114.17</v>
      </c>
      <c r="G500" s="196"/>
      <c r="H500" s="502">
        <v>57.021461486816406</v>
      </c>
      <c r="I500" s="243">
        <v>-1.71</v>
      </c>
      <c r="J500" s="449">
        <v>-0.89</v>
      </c>
      <c r="K500" s="789">
        <f t="shared" si="8"/>
        <v>19.965316000000001</v>
      </c>
      <c r="L500" s="395" t="s">
        <v>79</v>
      </c>
      <c r="M500" s="563" t="s">
        <v>74</v>
      </c>
      <c r="N500" s="69" t="s">
        <v>95</v>
      </c>
      <c r="O500" s="307" t="s">
        <v>35</v>
      </c>
      <c r="P500" s="314" t="s">
        <v>91</v>
      </c>
      <c r="Q500" s="501" t="s">
        <v>435</v>
      </c>
      <c r="R500" s="564" t="s">
        <v>400</v>
      </c>
      <c r="S500" s="176"/>
      <c r="T500" s="145"/>
      <c r="U500" s="145"/>
    </row>
    <row r="501" spans="1:21">
      <c r="A501" s="167">
        <v>865</v>
      </c>
      <c r="B501" s="196" t="s">
        <v>89</v>
      </c>
      <c r="C501" s="196">
        <v>13</v>
      </c>
      <c r="D501" s="196">
        <v>2</v>
      </c>
      <c r="E501" s="196" t="s">
        <v>343</v>
      </c>
      <c r="F501" s="156">
        <v>114.67</v>
      </c>
      <c r="G501" s="196"/>
      <c r="H501" s="502">
        <v>57.094635009765625</v>
      </c>
      <c r="I501" s="243">
        <v>-1.66</v>
      </c>
      <c r="J501" s="449">
        <v>-0.89</v>
      </c>
      <c r="K501" s="789">
        <f t="shared" si="8"/>
        <v>19.726161000000001</v>
      </c>
      <c r="L501" s="395" t="s">
        <v>79</v>
      </c>
      <c r="M501" s="563" t="s">
        <v>74</v>
      </c>
      <c r="N501" s="69" t="s">
        <v>95</v>
      </c>
      <c r="O501" s="307" t="s">
        <v>35</v>
      </c>
      <c r="P501" s="314" t="s">
        <v>91</v>
      </c>
      <c r="Q501" s="501" t="s">
        <v>435</v>
      </c>
      <c r="R501" s="564" t="s">
        <v>400</v>
      </c>
      <c r="S501" s="176"/>
      <c r="T501" s="145"/>
      <c r="U501" s="145"/>
    </row>
    <row r="502" spans="1:21">
      <c r="A502" s="167">
        <v>865</v>
      </c>
      <c r="B502" s="196" t="s">
        <v>89</v>
      </c>
      <c r="C502" s="196">
        <v>13</v>
      </c>
      <c r="D502" s="196">
        <v>2</v>
      </c>
      <c r="E502" s="196" t="s">
        <v>343</v>
      </c>
      <c r="F502" s="156">
        <v>114.67</v>
      </c>
      <c r="G502" s="196"/>
      <c r="H502" s="502">
        <v>57.094635009765625</v>
      </c>
      <c r="I502" s="243">
        <v>-1.57</v>
      </c>
      <c r="J502" s="449">
        <v>-0.89</v>
      </c>
      <c r="K502" s="789">
        <f t="shared" si="8"/>
        <v>19.296816000000003</v>
      </c>
      <c r="L502" s="395" t="s">
        <v>79</v>
      </c>
      <c r="M502" s="563" t="s">
        <v>74</v>
      </c>
      <c r="N502" s="69" t="s">
        <v>95</v>
      </c>
      <c r="O502" s="307" t="s">
        <v>35</v>
      </c>
      <c r="P502" s="314" t="s">
        <v>91</v>
      </c>
      <c r="Q502" s="501" t="s">
        <v>435</v>
      </c>
      <c r="R502" s="564" t="s">
        <v>400</v>
      </c>
      <c r="S502" s="176"/>
      <c r="T502" s="145"/>
      <c r="U502" s="145"/>
    </row>
    <row r="503" spans="1:21">
      <c r="A503" s="167">
        <v>865</v>
      </c>
      <c r="B503" s="196" t="s">
        <v>89</v>
      </c>
      <c r="C503" s="196">
        <v>13</v>
      </c>
      <c r="D503" s="196">
        <v>2</v>
      </c>
      <c r="E503" s="196" t="s">
        <v>101</v>
      </c>
      <c r="F503" s="156">
        <v>115.2</v>
      </c>
      <c r="G503" s="196"/>
      <c r="H503" s="502">
        <v>57.172195434570313</v>
      </c>
      <c r="I503" s="243">
        <v>-1.59</v>
      </c>
      <c r="J503" s="449">
        <v>-0.89</v>
      </c>
      <c r="K503" s="789">
        <f t="shared" si="8"/>
        <v>19.392100000000003</v>
      </c>
      <c r="L503" s="395" t="s">
        <v>79</v>
      </c>
      <c r="M503" s="563" t="s">
        <v>74</v>
      </c>
      <c r="N503" s="69" t="s">
        <v>95</v>
      </c>
      <c r="O503" s="307" t="s">
        <v>35</v>
      </c>
      <c r="P503" s="314" t="s">
        <v>91</v>
      </c>
      <c r="Q503" s="501" t="s">
        <v>435</v>
      </c>
      <c r="R503" s="564" t="s">
        <v>400</v>
      </c>
      <c r="S503" s="176"/>
      <c r="T503" s="145"/>
      <c r="U503" s="145"/>
    </row>
    <row r="504" spans="1:21">
      <c r="A504" s="167">
        <v>865</v>
      </c>
      <c r="B504" s="196" t="s">
        <v>89</v>
      </c>
      <c r="C504" s="196">
        <v>13</v>
      </c>
      <c r="D504" s="196">
        <v>2</v>
      </c>
      <c r="E504" s="196" t="s">
        <v>583</v>
      </c>
      <c r="F504" s="156">
        <v>115.73</v>
      </c>
      <c r="G504" s="196"/>
      <c r="H504" s="502">
        <v>57.249755859375</v>
      </c>
      <c r="I504" s="243">
        <v>-1.73</v>
      </c>
      <c r="J504" s="449">
        <v>-0.89</v>
      </c>
      <c r="K504" s="789">
        <f t="shared" si="8"/>
        <v>20.061104</v>
      </c>
      <c r="L504" s="395" t="s">
        <v>79</v>
      </c>
      <c r="M504" s="563" t="s">
        <v>74</v>
      </c>
      <c r="N504" s="69" t="s">
        <v>95</v>
      </c>
      <c r="O504" s="307" t="s">
        <v>35</v>
      </c>
      <c r="P504" s="314" t="s">
        <v>91</v>
      </c>
      <c r="Q504" s="501" t="s">
        <v>435</v>
      </c>
      <c r="R504" s="564" t="s">
        <v>400</v>
      </c>
      <c r="S504" s="176"/>
      <c r="T504" s="145"/>
      <c r="U504" s="145"/>
    </row>
    <row r="505" spans="1:21">
      <c r="A505" s="177">
        <v>865</v>
      </c>
      <c r="B505" s="226" t="s">
        <v>89</v>
      </c>
      <c r="C505" s="226">
        <v>13</v>
      </c>
      <c r="D505" s="226">
        <v>3</v>
      </c>
      <c r="E505" s="226" t="s">
        <v>128</v>
      </c>
      <c r="F505" s="226">
        <v>116.21</v>
      </c>
      <c r="G505" s="226"/>
      <c r="H505" s="503">
        <v>57.319999694824219</v>
      </c>
      <c r="I505" s="557">
        <v>-1.92</v>
      </c>
      <c r="J505" s="456">
        <v>-0.89</v>
      </c>
      <c r="K505" s="790">
        <f t="shared" si="8"/>
        <v>20.974681</v>
      </c>
      <c r="L505" s="229" t="s">
        <v>79</v>
      </c>
      <c r="M505" s="399" t="s">
        <v>74</v>
      </c>
      <c r="N505" s="183" t="s">
        <v>95</v>
      </c>
      <c r="O505" s="387" t="s">
        <v>35</v>
      </c>
      <c r="P505" s="388" t="s">
        <v>91</v>
      </c>
      <c r="Q505" s="504" t="s">
        <v>435</v>
      </c>
      <c r="R505" s="564" t="s">
        <v>400</v>
      </c>
      <c r="S505" s="176"/>
      <c r="T505" s="145"/>
      <c r="U505" s="145"/>
    </row>
    <row r="506" spans="1:21">
      <c r="A506" s="167">
        <v>865</v>
      </c>
      <c r="B506" s="196" t="s">
        <v>89</v>
      </c>
      <c r="C506" s="196">
        <v>9</v>
      </c>
      <c r="D506" s="196">
        <v>4</v>
      </c>
      <c r="E506" s="555" t="s">
        <v>360</v>
      </c>
      <c r="F506" s="156">
        <v>79.599999999999994</v>
      </c>
      <c r="G506" s="196" t="s">
        <v>21</v>
      </c>
      <c r="H506" s="502">
        <v>49.110000610351563</v>
      </c>
      <c r="I506" s="243">
        <v>-0.57999999999999996</v>
      </c>
      <c r="J506" s="449">
        <v>-0.89</v>
      </c>
      <c r="K506" s="789">
        <f t="shared" si="8"/>
        <v>14.670249000000002</v>
      </c>
      <c r="L506" s="562" t="s">
        <v>665</v>
      </c>
      <c r="M506" s="563" t="s">
        <v>74</v>
      </c>
      <c r="N506" s="69" t="s">
        <v>95</v>
      </c>
      <c r="O506" s="307" t="s">
        <v>44</v>
      </c>
      <c r="P506" s="314" t="s">
        <v>91</v>
      </c>
      <c r="Q506" s="501" t="s">
        <v>435</v>
      </c>
      <c r="R506" s="564" t="s">
        <v>400</v>
      </c>
      <c r="S506" s="176" t="s">
        <v>742</v>
      </c>
      <c r="T506" s="145"/>
      <c r="U506" s="145"/>
    </row>
    <row r="507" spans="1:21">
      <c r="A507" s="167">
        <v>865</v>
      </c>
      <c r="B507" s="196" t="s">
        <v>89</v>
      </c>
      <c r="C507" s="196">
        <v>9</v>
      </c>
      <c r="D507" s="196">
        <v>4</v>
      </c>
      <c r="E507" s="555" t="s">
        <v>101</v>
      </c>
      <c r="F507" s="156">
        <v>80.2</v>
      </c>
      <c r="G507" s="196" t="s">
        <v>21</v>
      </c>
      <c r="H507" s="502">
        <v>49.385398864746094</v>
      </c>
      <c r="I507" s="243">
        <v>-0.42</v>
      </c>
      <c r="J507" s="449">
        <v>-0.89</v>
      </c>
      <c r="K507" s="789">
        <f t="shared" si="8"/>
        <v>13.939081000000002</v>
      </c>
      <c r="L507" s="562" t="s">
        <v>665</v>
      </c>
      <c r="M507" s="563" t="s">
        <v>74</v>
      </c>
      <c r="N507" s="69" t="s">
        <v>95</v>
      </c>
      <c r="O507" s="307" t="s">
        <v>44</v>
      </c>
      <c r="P507" s="314" t="s">
        <v>91</v>
      </c>
      <c r="Q507" s="501" t="s">
        <v>435</v>
      </c>
      <c r="R507" s="564" t="s">
        <v>400</v>
      </c>
      <c r="S507" s="176" t="s">
        <v>742</v>
      </c>
      <c r="T507" s="145"/>
      <c r="U507" s="145"/>
    </row>
    <row r="508" spans="1:21">
      <c r="A508" s="167">
        <v>865</v>
      </c>
      <c r="B508" s="196" t="s">
        <v>89</v>
      </c>
      <c r="C508" s="196">
        <v>9</v>
      </c>
      <c r="D508" s="196">
        <v>4</v>
      </c>
      <c r="E508" s="555" t="s">
        <v>574</v>
      </c>
      <c r="F508" s="156">
        <v>80.7</v>
      </c>
      <c r="G508" s="196" t="s">
        <v>21</v>
      </c>
      <c r="H508" s="502">
        <v>49.614898681640625</v>
      </c>
      <c r="I508" s="243">
        <v>-0.28999999999999998</v>
      </c>
      <c r="J508" s="449">
        <v>-0.89</v>
      </c>
      <c r="K508" s="789">
        <f t="shared" si="8"/>
        <v>13.348400000000002</v>
      </c>
      <c r="L508" s="562" t="s">
        <v>665</v>
      </c>
      <c r="M508" s="563" t="s">
        <v>74</v>
      </c>
      <c r="N508" s="69" t="s">
        <v>95</v>
      </c>
      <c r="O508" s="307" t="s">
        <v>44</v>
      </c>
      <c r="P508" s="314" t="s">
        <v>91</v>
      </c>
      <c r="Q508" s="501" t="s">
        <v>435</v>
      </c>
      <c r="R508" s="564" t="s">
        <v>400</v>
      </c>
      <c r="S508" s="176" t="s">
        <v>742</v>
      </c>
      <c r="T508" s="145"/>
      <c r="U508" s="145"/>
    </row>
    <row r="509" spans="1:21">
      <c r="A509" s="167">
        <v>865</v>
      </c>
      <c r="B509" s="196" t="s">
        <v>89</v>
      </c>
      <c r="C509" s="196">
        <v>9</v>
      </c>
      <c r="D509" s="196">
        <v>5</v>
      </c>
      <c r="E509" s="555" t="s">
        <v>103</v>
      </c>
      <c r="F509" s="156">
        <v>81.180000000000007</v>
      </c>
      <c r="G509" s="196" t="s">
        <v>21</v>
      </c>
      <c r="H509" s="502">
        <v>49.835220336914063</v>
      </c>
      <c r="I509" s="243">
        <v>-0.21</v>
      </c>
      <c r="J509" s="449">
        <v>-0.89</v>
      </c>
      <c r="K509" s="789">
        <f t="shared" si="8"/>
        <v>12.986416</v>
      </c>
      <c r="L509" s="562" t="s">
        <v>665</v>
      </c>
      <c r="M509" s="563" t="s">
        <v>74</v>
      </c>
      <c r="N509" s="69" t="s">
        <v>95</v>
      </c>
      <c r="O509" s="307" t="s">
        <v>44</v>
      </c>
      <c r="P509" s="314" t="s">
        <v>91</v>
      </c>
      <c r="Q509" s="501" t="s">
        <v>435</v>
      </c>
      <c r="R509" s="564" t="s">
        <v>400</v>
      </c>
      <c r="S509" s="176" t="s">
        <v>742</v>
      </c>
      <c r="T509" s="145"/>
      <c r="U509" s="145"/>
    </row>
    <row r="510" spans="1:21">
      <c r="A510" s="167">
        <v>865</v>
      </c>
      <c r="B510" s="196" t="s">
        <v>89</v>
      </c>
      <c r="C510" s="196">
        <v>9</v>
      </c>
      <c r="D510" s="196">
        <v>5</v>
      </c>
      <c r="E510" s="555" t="s">
        <v>101</v>
      </c>
      <c r="F510" s="156">
        <v>81.7</v>
      </c>
      <c r="G510" s="196" t="s">
        <v>21</v>
      </c>
      <c r="H510" s="502">
        <v>50.073898315429688</v>
      </c>
      <c r="I510" s="243">
        <v>-0.48</v>
      </c>
      <c r="J510" s="449">
        <v>-0.89</v>
      </c>
      <c r="K510" s="789">
        <f t="shared" si="8"/>
        <v>14.212729000000001</v>
      </c>
      <c r="L510" s="562" t="s">
        <v>665</v>
      </c>
      <c r="M510" s="563" t="s">
        <v>74</v>
      </c>
      <c r="N510" s="69" t="s">
        <v>95</v>
      </c>
      <c r="O510" s="307" t="s">
        <v>44</v>
      </c>
      <c r="P510" s="314" t="s">
        <v>91</v>
      </c>
      <c r="Q510" s="501" t="s">
        <v>435</v>
      </c>
      <c r="R510" s="564" t="s">
        <v>400</v>
      </c>
      <c r="S510" s="176" t="s">
        <v>742</v>
      </c>
      <c r="T510" s="145"/>
      <c r="U510" s="145"/>
    </row>
    <row r="511" spans="1:21">
      <c r="A511" s="167">
        <v>865</v>
      </c>
      <c r="B511" s="196" t="s">
        <v>89</v>
      </c>
      <c r="C511" s="196">
        <v>9</v>
      </c>
      <c r="D511" s="196">
        <v>5</v>
      </c>
      <c r="E511" s="555" t="s">
        <v>101</v>
      </c>
      <c r="F511" s="156">
        <v>81.7</v>
      </c>
      <c r="G511" s="196" t="s">
        <v>21</v>
      </c>
      <c r="H511" s="502">
        <v>50.073898315429688</v>
      </c>
      <c r="I511" s="243">
        <v>-0.69</v>
      </c>
      <c r="J511" s="449">
        <v>-0.89</v>
      </c>
      <c r="K511" s="789">
        <f t="shared" si="8"/>
        <v>15.175600000000001</v>
      </c>
      <c r="L511" s="562" t="s">
        <v>665</v>
      </c>
      <c r="M511" s="563" t="s">
        <v>74</v>
      </c>
      <c r="N511" s="69" t="s">
        <v>95</v>
      </c>
      <c r="O511" s="307" t="s">
        <v>44</v>
      </c>
      <c r="P511" s="314" t="s">
        <v>91</v>
      </c>
      <c r="Q511" s="501" t="s">
        <v>435</v>
      </c>
      <c r="R511" s="564" t="s">
        <v>400</v>
      </c>
      <c r="S511" s="176" t="s">
        <v>742</v>
      </c>
      <c r="T511" s="145"/>
      <c r="U511" s="145"/>
    </row>
    <row r="512" spans="1:21">
      <c r="A512" s="167">
        <v>865</v>
      </c>
      <c r="B512" s="196" t="s">
        <v>89</v>
      </c>
      <c r="C512" s="196">
        <v>9</v>
      </c>
      <c r="D512" s="196">
        <v>5</v>
      </c>
      <c r="E512" s="555" t="s">
        <v>574</v>
      </c>
      <c r="F512" s="156">
        <v>82.2</v>
      </c>
      <c r="G512" s="196" t="s">
        <v>21</v>
      </c>
      <c r="H512" s="502">
        <v>50.303398132324219</v>
      </c>
      <c r="I512" s="243">
        <v>-0.6</v>
      </c>
      <c r="J512" s="449">
        <v>-0.89</v>
      </c>
      <c r="K512" s="789">
        <f t="shared" si="8"/>
        <v>14.761969000000001</v>
      </c>
      <c r="L512" s="562" t="s">
        <v>665</v>
      </c>
      <c r="M512" s="563" t="s">
        <v>74</v>
      </c>
      <c r="N512" s="69" t="s">
        <v>95</v>
      </c>
      <c r="O512" s="307" t="s">
        <v>44</v>
      </c>
      <c r="P512" s="314" t="s">
        <v>91</v>
      </c>
      <c r="Q512" s="501" t="s">
        <v>435</v>
      </c>
      <c r="R512" s="564" t="s">
        <v>400</v>
      </c>
      <c r="S512" s="176" t="s">
        <v>742</v>
      </c>
      <c r="T512" s="145"/>
      <c r="U512" s="145"/>
    </row>
    <row r="513" spans="1:21">
      <c r="A513" s="167">
        <v>865</v>
      </c>
      <c r="B513" s="196" t="s">
        <v>89</v>
      </c>
      <c r="C513" s="196">
        <v>9</v>
      </c>
      <c r="D513" s="196">
        <v>6</v>
      </c>
      <c r="E513" s="555" t="s">
        <v>113</v>
      </c>
      <c r="F513" s="156">
        <v>82.7</v>
      </c>
      <c r="G513" s="196" t="s">
        <v>21</v>
      </c>
      <c r="H513" s="502">
        <v>50.53289794921875</v>
      </c>
      <c r="I513" s="243">
        <v>-0.87</v>
      </c>
      <c r="J513" s="449">
        <v>-0.89</v>
      </c>
      <c r="K513" s="789">
        <f t="shared" ref="K513:K574" si="9">16.1-4.64*($I513-J513)+0.09*($I513-J513)^2</f>
        <v>16.007236000000002</v>
      </c>
      <c r="L513" s="562" t="s">
        <v>665</v>
      </c>
      <c r="M513" s="563" t="s">
        <v>74</v>
      </c>
      <c r="N513" s="69" t="s">
        <v>95</v>
      </c>
      <c r="O513" s="307" t="s">
        <v>44</v>
      </c>
      <c r="P513" s="314" t="s">
        <v>91</v>
      </c>
      <c r="Q513" s="501" t="s">
        <v>435</v>
      </c>
      <c r="R513" s="564" t="s">
        <v>400</v>
      </c>
      <c r="S513" s="176" t="s">
        <v>742</v>
      </c>
      <c r="T513" s="145"/>
      <c r="U513" s="145"/>
    </row>
    <row r="514" spans="1:21">
      <c r="A514" s="167">
        <v>865</v>
      </c>
      <c r="B514" s="196" t="s">
        <v>89</v>
      </c>
      <c r="C514" s="196">
        <v>9</v>
      </c>
      <c r="D514" s="196">
        <v>6</v>
      </c>
      <c r="E514" s="555" t="s">
        <v>101</v>
      </c>
      <c r="F514" s="156">
        <v>83.2</v>
      </c>
      <c r="G514" s="196" t="s">
        <v>21</v>
      </c>
      <c r="H514" s="502">
        <v>50.762397766113281</v>
      </c>
      <c r="I514" s="243">
        <v>-0.87</v>
      </c>
      <c r="J514" s="449">
        <v>-0.89</v>
      </c>
      <c r="K514" s="789">
        <f t="shared" si="9"/>
        <v>16.007236000000002</v>
      </c>
      <c r="L514" s="562" t="s">
        <v>665</v>
      </c>
      <c r="M514" s="563" t="s">
        <v>74</v>
      </c>
      <c r="N514" s="69" t="s">
        <v>95</v>
      </c>
      <c r="O514" s="307" t="s">
        <v>44</v>
      </c>
      <c r="P514" s="314" t="s">
        <v>91</v>
      </c>
      <c r="Q514" s="501" t="s">
        <v>435</v>
      </c>
      <c r="R514" s="564" t="s">
        <v>400</v>
      </c>
      <c r="S514" s="176" t="s">
        <v>742</v>
      </c>
      <c r="T514" s="145"/>
      <c r="U514" s="145"/>
    </row>
    <row r="515" spans="1:21">
      <c r="A515" s="167">
        <v>865</v>
      </c>
      <c r="B515" s="196" t="s">
        <v>89</v>
      </c>
      <c r="C515" s="196">
        <v>10</v>
      </c>
      <c r="D515" s="196">
        <v>1</v>
      </c>
      <c r="E515" s="555" t="s">
        <v>206</v>
      </c>
      <c r="F515" s="156">
        <v>84.54</v>
      </c>
      <c r="G515" s="196" t="s">
        <v>21</v>
      </c>
      <c r="H515" s="502">
        <v>51.377460479736328</v>
      </c>
      <c r="I515" s="243">
        <v>-0.5</v>
      </c>
      <c r="J515" s="449">
        <v>-0.89</v>
      </c>
      <c r="K515" s="789">
        <f t="shared" si="9"/>
        <v>14.304089000000001</v>
      </c>
      <c r="L515" s="562" t="s">
        <v>665</v>
      </c>
      <c r="M515" s="563" t="s">
        <v>74</v>
      </c>
      <c r="N515" s="69" t="s">
        <v>95</v>
      </c>
      <c r="O515" s="307" t="s">
        <v>44</v>
      </c>
      <c r="P515" s="314" t="s">
        <v>91</v>
      </c>
      <c r="Q515" s="501" t="s">
        <v>435</v>
      </c>
      <c r="R515" s="564" t="s">
        <v>400</v>
      </c>
      <c r="S515" s="176" t="s">
        <v>742</v>
      </c>
      <c r="T515" s="145"/>
      <c r="U515" s="145"/>
    </row>
    <row r="516" spans="1:21">
      <c r="A516" s="167">
        <v>865</v>
      </c>
      <c r="B516" s="196" t="s">
        <v>89</v>
      </c>
      <c r="C516" s="196">
        <v>10</v>
      </c>
      <c r="D516" s="196">
        <v>1</v>
      </c>
      <c r="E516" s="555" t="s">
        <v>352</v>
      </c>
      <c r="F516" s="156">
        <v>85.33</v>
      </c>
      <c r="G516" s="196" t="s">
        <v>21</v>
      </c>
      <c r="H516" s="502">
        <v>51.740070343017578</v>
      </c>
      <c r="I516" s="243">
        <v>-0.89</v>
      </c>
      <c r="J516" s="449">
        <v>-0.89</v>
      </c>
      <c r="K516" s="789">
        <f t="shared" si="9"/>
        <v>16.100000000000001</v>
      </c>
      <c r="L516" s="562" t="s">
        <v>665</v>
      </c>
      <c r="M516" s="563" t="s">
        <v>74</v>
      </c>
      <c r="N516" s="69" t="s">
        <v>95</v>
      </c>
      <c r="O516" s="307" t="s">
        <v>44</v>
      </c>
      <c r="P516" s="314" t="s">
        <v>91</v>
      </c>
      <c r="Q516" s="501" t="s">
        <v>435</v>
      </c>
      <c r="R516" s="564" t="s">
        <v>400</v>
      </c>
      <c r="S516" s="176" t="s">
        <v>742</v>
      </c>
      <c r="T516" s="145"/>
      <c r="U516" s="145"/>
    </row>
    <row r="517" spans="1:21">
      <c r="A517" s="167">
        <v>865</v>
      </c>
      <c r="B517" s="196" t="s">
        <v>89</v>
      </c>
      <c r="C517" s="196">
        <v>10</v>
      </c>
      <c r="D517" s="196">
        <v>1</v>
      </c>
      <c r="E517" s="555" t="s">
        <v>574</v>
      </c>
      <c r="F517" s="156">
        <v>85.7</v>
      </c>
      <c r="G517" s="196" t="s">
        <v>21</v>
      </c>
      <c r="H517" s="502">
        <v>51.909900665283203</v>
      </c>
      <c r="I517" s="243">
        <v>-0.73</v>
      </c>
      <c r="J517" s="449">
        <v>-0.89</v>
      </c>
      <c r="K517" s="789">
        <f t="shared" si="9"/>
        <v>15.359904000000002</v>
      </c>
      <c r="L517" s="562" t="s">
        <v>665</v>
      </c>
      <c r="M517" s="563" t="s">
        <v>74</v>
      </c>
      <c r="N517" s="69" t="s">
        <v>95</v>
      </c>
      <c r="O517" s="307" t="s">
        <v>44</v>
      </c>
      <c r="P517" s="314" t="s">
        <v>91</v>
      </c>
      <c r="Q517" s="501" t="s">
        <v>435</v>
      </c>
      <c r="R517" s="564" t="s">
        <v>400</v>
      </c>
      <c r="S517" s="176" t="s">
        <v>742</v>
      </c>
      <c r="T517" s="145"/>
      <c r="U517" s="145"/>
    </row>
    <row r="518" spans="1:21">
      <c r="A518" s="167">
        <v>865</v>
      </c>
      <c r="B518" s="196" t="s">
        <v>89</v>
      </c>
      <c r="C518" s="196">
        <v>10</v>
      </c>
      <c r="D518" s="196">
        <v>2</v>
      </c>
      <c r="E518" s="555" t="s">
        <v>206</v>
      </c>
      <c r="F518" s="156">
        <v>86.04</v>
      </c>
      <c r="G518" s="196" t="s">
        <v>21</v>
      </c>
      <c r="H518" s="502">
        <v>52.065959930419922</v>
      </c>
      <c r="I518" s="243">
        <v>-1.2</v>
      </c>
      <c r="J518" s="449">
        <v>-0.89</v>
      </c>
      <c r="K518" s="789">
        <f t="shared" si="9"/>
        <v>17.547049000000001</v>
      </c>
      <c r="L518" s="562" t="s">
        <v>665</v>
      </c>
      <c r="M518" s="563" t="s">
        <v>74</v>
      </c>
      <c r="N518" s="69" t="s">
        <v>95</v>
      </c>
      <c r="O518" s="307" t="s">
        <v>44</v>
      </c>
      <c r="P518" s="314" t="s">
        <v>91</v>
      </c>
      <c r="Q518" s="501" t="s">
        <v>435</v>
      </c>
      <c r="R518" s="564" t="s">
        <v>400</v>
      </c>
      <c r="S518" s="176" t="s">
        <v>742</v>
      </c>
      <c r="T518" s="145"/>
      <c r="U518" s="145"/>
    </row>
    <row r="519" spans="1:21">
      <c r="A519" s="167">
        <v>865</v>
      </c>
      <c r="B519" s="196" t="s">
        <v>89</v>
      </c>
      <c r="C519" s="196">
        <v>10</v>
      </c>
      <c r="D519" s="196">
        <v>2</v>
      </c>
      <c r="E519" s="555" t="s">
        <v>109</v>
      </c>
      <c r="F519" s="156">
        <v>86.6</v>
      </c>
      <c r="G519" s="196" t="s">
        <v>21</v>
      </c>
      <c r="H519" s="502">
        <v>52.322998046875</v>
      </c>
      <c r="I519" s="243">
        <v>-1.79</v>
      </c>
      <c r="J519" s="449">
        <v>-0.89</v>
      </c>
      <c r="K519" s="789">
        <f t="shared" si="9"/>
        <v>20.348900000000004</v>
      </c>
      <c r="L519" s="562" t="s">
        <v>665</v>
      </c>
      <c r="M519" s="563" t="s">
        <v>74</v>
      </c>
      <c r="N519" s="69" t="s">
        <v>95</v>
      </c>
      <c r="O519" s="307" t="s">
        <v>44</v>
      </c>
      <c r="P519" s="314" t="s">
        <v>91</v>
      </c>
      <c r="Q519" s="501" t="s">
        <v>435</v>
      </c>
      <c r="R519" s="564" t="s">
        <v>400</v>
      </c>
      <c r="S519" s="176" t="s">
        <v>742</v>
      </c>
      <c r="T519" s="145"/>
      <c r="U519" s="145"/>
    </row>
    <row r="520" spans="1:21">
      <c r="A520" s="167">
        <v>865</v>
      </c>
      <c r="B520" s="196" t="s">
        <v>89</v>
      </c>
      <c r="C520" s="196">
        <v>10</v>
      </c>
      <c r="D520" s="196">
        <v>2</v>
      </c>
      <c r="E520" s="555" t="s">
        <v>574</v>
      </c>
      <c r="F520" s="156">
        <v>87.2</v>
      </c>
      <c r="G520" s="196" t="s">
        <v>21</v>
      </c>
      <c r="H520" s="502">
        <v>52.598400115966797</v>
      </c>
      <c r="I520" s="243">
        <v>-1.23</v>
      </c>
      <c r="J520" s="449">
        <v>-0.89</v>
      </c>
      <c r="K520" s="789">
        <f t="shared" si="9"/>
        <v>17.688004000000003</v>
      </c>
      <c r="L520" s="562" t="s">
        <v>665</v>
      </c>
      <c r="M520" s="563" t="s">
        <v>74</v>
      </c>
      <c r="N520" s="69" t="s">
        <v>95</v>
      </c>
      <c r="O520" s="307" t="s">
        <v>44</v>
      </c>
      <c r="P520" s="314" t="s">
        <v>91</v>
      </c>
      <c r="Q520" s="501" t="s">
        <v>435</v>
      </c>
      <c r="R520" s="564" t="s">
        <v>400</v>
      </c>
      <c r="S520" s="176" t="s">
        <v>742</v>
      </c>
      <c r="T520" s="145"/>
      <c r="U520" s="145"/>
    </row>
    <row r="521" spans="1:21">
      <c r="A521" s="167">
        <v>865</v>
      </c>
      <c r="B521" s="196" t="s">
        <v>89</v>
      </c>
      <c r="C521" s="196">
        <v>10</v>
      </c>
      <c r="D521" s="196">
        <v>3</v>
      </c>
      <c r="E521" s="555" t="s">
        <v>206</v>
      </c>
      <c r="F521" s="156">
        <v>87.54</v>
      </c>
      <c r="G521" s="196" t="s">
        <v>21</v>
      </c>
      <c r="H521" s="502">
        <v>52.754459381103516</v>
      </c>
      <c r="I521" s="243">
        <v>-1.7</v>
      </c>
      <c r="J521" s="449">
        <v>-0.89</v>
      </c>
      <c r="K521" s="789">
        <f t="shared" si="9"/>
        <v>19.917449000000001</v>
      </c>
      <c r="L521" s="562" t="s">
        <v>665</v>
      </c>
      <c r="M521" s="563" t="s">
        <v>74</v>
      </c>
      <c r="N521" s="69" t="s">
        <v>95</v>
      </c>
      <c r="O521" s="307" t="s">
        <v>44</v>
      </c>
      <c r="P521" s="314" t="s">
        <v>91</v>
      </c>
      <c r="Q521" s="501" t="s">
        <v>435</v>
      </c>
      <c r="R521" s="564" t="s">
        <v>400</v>
      </c>
      <c r="S521" s="176" t="s">
        <v>742</v>
      </c>
      <c r="T521" s="145"/>
      <c r="U521" s="145"/>
    </row>
    <row r="522" spans="1:21">
      <c r="A522" s="167">
        <v>865</v>
      </c>
      <c r="B522" s="196" t="s">
        <v>89</v>
      </c>
      <c r="C522" s="196">
        <v>10</v>
      </c>
      <c r="D522" s="196">
        <v>3</v>
      </c>
      <c r="E522" s="555" t="s">
        <v>109</v>
      </c>
      <c r="F522" s="156">
        <v>88.1</v>
      </c>
      <c r="G522" s="196" t="s">
        <v>21</v>
      </c>
      <c r="H522" s="502">
        <v>53.011501312255859</v>
      </c>
      <c r="I522" s="243">
        <v>-1.37</v>
      </c>
      <c r="J522" s="449">
        <v>-0.89</v>
      </c>
      <c r="K522" s="789">
        <f t="shared" si="9"/>
        <v>18.347936000000001</v>
      </c>
      <c r="L522" s="562" t="s">
        <v>665</v>
      </c>
      <c r="M522" s="563" t="s">
        <v>74</v>
      </c>
      <c r="N522" s="69" t="s">
        <v>95</v>
      </c>
      <c r="O522" s="307" t="s">
        <v>44</v>
      </c>
      <c r="P522" s="314" t="s">
        <v>91</v>
      </c>
      <c r="Q522" s="501" t="s">
        <v>435</v>
      </c>
      <c r="R522" s="564" t="s">
        <v>400</v>
      </c>
      <c r="S522" s="176" t="s">
        <v>742</v>
      </c>
      <c r="T522" s="145"/>
      <c r="U522" s="145"/>
    </row>
    <row r="523" spans="1:21">
      <c r="A523" s="167">
        <v>865</v>
      </c>
      <c r="B523" s="196" t="s">
        <v>89</v>
      </c>
      <c r="C523" s="196">
        <v>10</v>
      </c>
      <c r="D523" s="196">
        <v>3</v>
      </c>
      <c r="E523" s="555" t="s">
        <v>574</v>
      </c>
      <c r="F523" s="156">
        <v>88.7</v>
      </c>
      <c r="G523" s="196" t="s">
        <v>21</v>
      </c>
      <c r="H523" s="502">
        <v>53.286899566650391</v>
      </c>
      <c r="I523" s="243">
        <v>-0.93</v>
      </c>
      <c r="J523" s="449">
        <v>-0.89</v>
      </c>
      <c r="K523" s="789">
        <f t="shared" si="9"/>
        <v>16.285744000000001</v>
      </c>
      <c r="L523" s="562" t="s">
        <v>665</v>
      </c>
      <c r="M523" s="563" t="s">
        <v>74</v>
      </c>
      <c r="N523" s="69" t="s">
        <v>95</v>
      </c>
      <c r="O523" s="307" t="s">
        <v>44</v>
      </c>
      <c r="P523" s="314" t="s">
        <v>91</v>
      </c>
      <c r="Q523" s="501" t="s">
        <v>435</v>
      </c>
      <c r="R523" s="564" t="s">
        <v>400</v>
      </c>
      <c r="S523" s="176" t="s">
        <v>742</v>
      </c>
      <c r="T523" s="145"/>
      <c r="U523" s="145"/>
    </row>
    <row r="524" spans="1:21">
      <c r="A524" s="167">
        <v>865</v>
      </c>
      <c r="B524" s="196" t="s">
        <v>89</v>
      </c>
      <c r="C524" s="196">
        <v>10</v>
      </c>
      <c r="D524" s="196">
        <v>4</v>
      </c>
      <c r="E524" s="555" t="s">
        <v>206</v>
      </c>
      <c r="F524" s="156">
        <v>89.04</v>
      </c>
      <c r="G524" s="196" t="s">
        <v>21</v>
      </c>
      <c r="H524" s="502">
        <v>53.442962646484375</v>
      </c>
      <c r="I524" s="243">
        <v>-0.79</v>
      </c>
      <c r="J524" s="449">
        <v>-0.89</v>
      </c>
      <c r="K524" s="789">
        <f t="shared" si="9"/>
        <v>15.636900000000001</v>
      </c>
      <c r="L524" s="562" t="s">
        <v>665</v>
      </c>
      <c r="M524" s="563" t="s">
        <v>74</v>
      </c>
      <c r="N524" s="69" t="s">
        <v>95</v>
      </c>
      <c r="O524" s="307" t="s">
        <v>44</v>
      </c>
      <c r="P524" s="314" t="s">
        <v>91</v>
      </c>
      <c r="Q524" s="501" t="s">
        <v>435</v>
      </c>
      <c r="R524" s="564" t="s">
        <v>400</v>
      </c>
      <c r="S524" s="176" t="s">
        <v>742</v>
      </c>
      <c r="T524" s="145"/>
      <c r="U524" s="145"/>
    </row>
    <row r="525" spans="1:21">
      <c r="A525" s="167">
        <v>865</v>
      </c>
      <c r="B525" s="196" t="s">
        <v>89</v>
      </c>
      <c r="C525" s="196">
        <v>10</v>
      </c>
      <c r="D525" s="196">
        <v>4</v>
      </c>
      <c r="E525" s="555" t="s">
        <v>109</v>
      </c>
      <c r="F525" s="156">
        <v>89.6</v>
      </c>
      <c r="G525" s="196" t="s">
        <v>21</v>
      </c>
      <c r="H525" s="502">
        <v>53.700000762939453</v>
      </c>
      <c r="I525" s="243">
        <v>-0.69</v>
      </c>
      <c r="J525" s="449">
        <v>-0.89</v>
      </c>
      <c r="K525" s="789">
        <f t="shared" si="9"/>
        <v>15.175600000000001</v>
      </c>
      <c r="L525" s="562" t="s">
        <v>665</v>
      </c>
      <c r="M525" s="563" t="s">
        <v>74</v>
      </c>
      <c r="N525" s="69" t="s">
        <v>95</v>
      </c>
      <c r="O525" s="307" t="s">
        <v>44</v>
      </c>
      <c r="P525" s="314" t="s">
        <v>91</v>
      </c>
      <c r="Q525" s="501" t="s">
        <v>435</v>
      </c>
      <c r="R525" s="564" t="s">
        <v>400</v>
      </c>
      <c r="S525" s="176" t="s">
        <v>742</v>
      </c>
      <c r="T525" s="145"/>
      <c r="U525" s="145"/>
    </row>
    <row r="526" spans="1:21">
      <c r="A526" s="167">
        <v>865</v>
      </c>
      <c r="B526" s="196" t="s">
        <v>89</v>
      </c>
      <c r="C526" s="196">
        <v>10</v>
      </c>
      <c r="D526" s="196">
        <v>4</v>
      </c>
      <c r="E526" s="555" t="s">
        <v>574</v>
      </c>
      <c r="F526" s="156">
        <v>90.2</v>
      </c>
      <c r="G526" s="196"/>
      <c r="H526" s="502">
        <v>54</v>
      </c>
      <c r="I526" s="243">
        <v>-0.83</v>
      </c>
      <c r="J526" s="449">
        <v>-0.89</v>
      </c>
      <c r="K526" s="789">
        <f t="shared" si="9"/>
        <v>15.821924000000003</v>
      </c>
      <c r="L526" s="562" t="s">
        <v>665</v>
      </c>
      <c r="M526" s="563" t="s">
        <v>74</v>
      </c>
      <c r="N526" s="69" t="s">
        <v>95</v>
      </c>
      <c r="O526" s="307" t="s">
        <v>44</v>
      </c>
      <c r="P526" s="314" t="s">
        <v>91</v>
      </c>
      <c r="Q526" s="501" t="s">
        <v>435</v>
      </c>
      <c r="R526" s="564" t="s">
        <v>400</v>
      </c>
      <c r="S526" s="176"/>
      <c r="T526" s="145"/>
      <c r="U526" s="145"/>
    </row>
    <row r="527" spans="1:21">
      <c r="A527" s="167">
        <v>865</v>
      </c>
      <c r="B527" s="196" t="s">
        <v>89</v>
      </c>
      <c r="C527" s="196">
        <v>10</v>
      </c>
      <c r="D527" s="196">
        <v>5</v>
      </c>
      <c r="E527" s="555" t="s">
        <v>206</v>
      </c>
      <c r="F527" s="156">
        <v>90.54</v>
      </c>
      <c r="G527" s="196"/>
      <c r="H527" s="502">
        <v>54.170001983642578</v>
      </c>
      <c r="I527" s="243">
        <v>-0.75</v>
      </c>
      <c r="J527" s="449">
        <v>-0.89</v>
      </c>
      <c r="K527" s="789">
        <f t="shared" si="9"/>
        <v>15.452164000000002</v>
      </c>
      <c r="L527" s="562" t="s">
        <v>665</v>
      </c>
      <c r="M527" s="563" t="s">
        <v>74</v>
      </c>
      <c r="N527" s="69" t="s">
        <v>95</v>
      </c>
      <c r="O527" s="307" t="s">
        <v>44</v>
      </c>
      <c r="P527" s="314" t="s">
        <v>91</v>
      </c>
      <c r="Q527" s="501" t="s">
        <v>435</v>
      </c>
      <c r="R527" s="564" t="s">
        <v>400</v>
      </c>
      <c r="S527" s="176"/>
      <c r="T527" s="145"/>
      <c r="U527" s="145"/>
    </row>
    <row r="528" spans="1:21">
      <c r="A528" s="167">
        <v>865</v>
      </c>
      <c r="B528" s="196" t="s">
        <v>89</v>
      </c>
      <c r="C528" s="196">
        <v>10</v>
      </c>
      <c r="D528" s="196">
        <v>5</v>
      </c>
      <c r="E528" s="555" t="s">
        <v>109</v>
      </c>
      <c r="F528" s="156">
        <v>91.1</v>
      </c>
      <c r="G528" s="196"/>
      <c r="H528" s="502">
        <v>54.225673675537109</v>
      </c>
      <c r="I528" s="243">
        <v>-0.53</v>
      </c>
      <c r="J528" s="449">
        <v>-0.89</v>
      </c>
      <c r="K528" s="789">
        <f t="shared" si="9"/>
        <v>14.441264</v>
      </c>
      <c r="L528" s="562" t="s">
        <v>665</v>
      </c>
      <c r="M528" s="563" t="s">
        <v>74</v>
      </c>
      <c r="N528" s="69" t="s">
        <v>95</v>
      </c>
      <c r="O528" s="307" t="s">
        <v>44</v>
      </c>
      <c r="P528" s="314" t="s">
        <v>91</v>
      </c>
      <c r="Q528" s="501" t="s">
        <v>435</v>
      </c>
      <c r="R528" s="564" t="s">
        <v>400</v>
      </c>
      <c r="S528" s="176"/>
      <c r="T528" s="145"/>
      <c r="U528" s="145"/>
    </row>
    <row r="529" spans="1:21">
      <c r="A529" s="167">
        <v>865</v>
      </c>
      <c r="B529" s="196" t="s">
        <v>89</v>
      </c>
      <c r="C529" s="196">
        <v>10</v>
      </c>
      <c r="D529" s="196">
        <v>5</v>
      </c>
      <c r="E529" s="555" t="s">
        <v>577</v>
      </c>
      <c r="F529" s="156">
        <v>91.61</v>
      </c>
      <c r="G529" s="196"/>
      <c r="H529" s="502">
        <v>54.276378631591797</v>
      </c>
      <c r="I529" s="243">
        <v>-0.73</v>
      </c>
      <c r="J529" s="449">
        <v>-0.89</v>
      </c>
      <c r="K529" s="789">
        <f t="shared" si="9"/>
        <v>15.359904000000002</v>
      </c>
      <c r="L529" s="562" t="s">
        <v>665</v>
      </c>
      <c r="M529" s="563" t="s">
        <v>74</v>
      </c>
      <c r="N529" s="69" t="s">
        <v>95</v>
      </c>
      <c r="O529" s="307" t="s">
        <v>44</v>
      </c>
      <c r="P529" s="314" t="s">
        <v>91</v>
      </c>
      <c r="Q529" s="501" t="s">
        <v>435</v>
      </c>
      <c r="R529" s="564" t="s">
        <v>400</v>
      </c>
      <c r="S529" s="176"/>
      <c r="T529" s="145"/>
      <c r="U529" s="145"/>
    </row>
    <row r="530" spans="1:21">
      <c r="A530" s="167">
        <v>865</v>
      </c>
      <c r="B530" s="196" t="s">
        <v>89</v>
      </c>
      <c r="C530" s="196">
        <v>11</v>
      </c>
      <c r="D530" s="196">
        <v>1</v>
      </c>
      <c r="E530" s="555" t="s">
        <v>113</v>
      </c>
      <c r="F530" s="156">
        <v>94.2</v>
      </c>
      <c r="G530" s="196"/>
      <c r="H530" s="502">
        <v>54.533878326416016</v>
      </c>
      <c r="I530" s="243">
        <v>-1.01</v>
      </c>
      <c r="J530" s="449">
        <v>-0.89</v>
      </c>
      <c r="K530" s="789">
        <f t="shared" si="9"/>
        <v>16.658096</v>
      </c>
      <c r="L530" s="562" t="s">
        <v>665</v>
      </c>
      <c r="M530" s="563" t="s">
        <v>74</v>
      </c>
      <c r="N530" s="69" t="s">
        <v>95</v>
      </c>
      <c r="O530" s="307" t="s">
        <v>44</v>
      </c>
      <c r="P530" s="314" t="s">
        <v>91</v>
      </c>
      <c r="Q530" s="501" t="s">
        <v>435</v>
      </c>
      <c r="R530" s="564" t="s">
        <v>400</v>
      </c>
      <c r="S530" s="176"/>
      <c r="T530" s="145"/>
      <c r="U530" s="145"/>
    </row>
    <row r="531" spans="1:21">
      <c r="A531" s="167">
        <v>865</v>
      </c>
      <c r="B531" s="196" t="s">
        <v>89</v>
      </c>
      <c r="C531" s="196">
        <v>11</v>
      </c>
      <c r="D531" s="196">
        <v>1</v>
      </c>
      <c r="E531" s="555" t="s">
        <v>576</v>
      </c>
      <c r="F531" s="156">
        <v>94.85</v>
      </c>
      <c r="G531" s="196"/>
      <c r="H531" s="502">
        <v>54.598503112792969</v>
      </c>
      <c r="I531" s="243">
        <v>-0.79</v>
      </c>
      <c r="J531" s="449">
        <v>-0.89</v>
      </c>
      <c r="K531" s="789">
        <f t="shared" si="9"/>
        <v>15.636900000000001</v>
      </c>
      <c r="L531" s="562" t="s">
        <v>665</v>
      </c>
      <c r="M531" s="563" t="s">
        <v>74</v>
      </c>
      <c r="N531" s="69" t="s">
        <v>95</v>
      </c>
      <c r="O531" s="307" t="s">
        <v>44</v>
      </c>
      <c r="P531" s="314" t="s">
        <v>91</v>
      </c>
      <c r="Q531" s="501" t="s">
        <v>435</v>
      </c>
      <c r="R531" s="564" t="s">
        <v>400</v>
      </c>
      <c r="S531" s="176"/>
      <c r="T531" s="145"/>
      <c r="U531" s="145"/>
    </row>
    <row r="532" spans="1:21">
      <c r="A532" s="167">
        <v>865</v>
      </c>
      <c r="B532" s="196" t="s">
        <v>89</v>
      </c>
      <c r="C532" s="196">
        <v>11</v>
      </c>
      <c r="D532" s="196">
        <v>2</v>
      </c>
      <c r="E532" s="555" t="s">
        <v>113</v>
      </c>
      <c r="F532" s="156">
        <v>95.7</v>
      </c>
      <c r="G532" s="196"/>
      <c r="H532" s="502">
        <v>54.683010101318359</v>
      </c>
      <c r="I532" s="243">
        <v>-0.9</v>
      </c>
      <c r="J532" s="449">
        <v>-0.89</v>
      </c>
      <c r="K532" s="789">
        <f t="shared" si="9"/>
        <v>16.146408999999998</v>
      </c>
      <c r="L532" s="562" t="s">
        <v>665</v>
      </c>
      <c r="M532" s="563" t="s">
        <v>74</v>
      </c>
      <c r="N532" s="69" t="s">
        <v>95</v>
      </c>
      <c r="O532" s="307" t="s">
        <v>44</v>
      </c>
      <c r="P532" s="314" t="s">
        <v>91</v>
      </c>
      <c r="Q532" s="501" t="s">
        <v>435</v>
      </c>
      <c r="R532" s="564" t="s">
        <v>400</v>
      </c>
      <c r="S532" s="176"/>
      <c r="T532" s="145"/>
      <c r="U532" s="145"/>
    </row>
    <row r="533" spans="1:21">
      <c r="A533" s="167">
        <v>865</v>
      </c>
      <c r="B533" s="196" t="s">
        <v>89</v>
      </c>
      <c r="C533" s="196">
        <v>11</v>
      </c>
      <c r="D533" s="196">
        <v>2</v>
      </c>
      <c r="E533" s="555" t="s">
        <v>576</v>
      </c>
      <c r="F533" s="156">
        <v>96.35</v>
      </c>
      <c r="G533" s="196"/>
      <c r="H533" s="502">
        <v>54.747634887695313</v>
      </c>
      <c r="I533" s="243">
        <v>-1.21</v>
      </c>
      <c r="J533" s="449">
        <v>-0.89</v>
      </c>
      <c r="K533" s="789">
        <f t="shared" si="9"/>
        <v>17.594016</v>
      </c>
      <c r="L533" s="562" t="s">
        <v>665</v>
      </c>
      <c r="M533" s="563" t="s">
        <v>74</v>
      </c>
      <c r="N533" s="69" t="s">
        <v>95</v>
      </c>
      <c r="O533" s="307" t="s">
        <v>44</v>
      </c>
      <c r="P533" s="314" t="s">
        <v>91</v>
      </c>
      <c r="Q533" s="501" t="s">
        <v>435</v>
      </c>
      <c r="R533" s="564" t="s">
        <v>400</v>
      </c>
      <c r="S533" s="176"/>
      <c r="T533" s="145"/>
      <c r="U533" s="145"/>
    </row>
    <row r="534" spans="1:21">
      <c r="A534" s="167">
        <v>865</v>
      </c>
      <c r="B534" s="196" t="s">
        <v>89</v>
      </c>
      <c r="C534" s="196">
        <v>11</v>
      </c>
      <c r="D534" s="196">
        <v>3</v>
      </c>
      <c r="E534" s="555" t="s">
        <v>113</v>
      </c>
      <c r="F534" s="156">
        <v>97.2</v>
      </c>
      <c r="G534" s="196"/>
      <c r="H534" s="502">
        <v>54.832141876220703</v>
      </c>
      <c r="I534" s="243">
        <v>-1.39</v>
      </c>
      <c r="J534" s="449">
        <v>-0.89</v>
      </c>
      <c r="K534" s="789">
        <f t="shared" si="9"/>
        <v>18.442500000000003</v>
      </c>
      <c r="L534" s="562" t="s">
        <v>665</v>
      </c>
      <c r="M534" s="563" t="s">
        <v>74</v>
      </c>
      <c r="N534" s="69" t="s">
        <v>95</v>
      </c>
      <c r="O534" s="307" t="s">
        <v>44</v>
      </c>
      <c r="P534" s="314" t="s">
        <v>91</v>
      </c>
      <c r="Q534" s="501" t="s">
        <v>435</v>
      </c>
      <c r="R534" s="564" t="s">
        <v>400</v>
      </c>
      <c r="S534" s="176"/>
      <c r="T534" s="145"/>
      <c r="U534" s="145"/>
    </row>
    <row r="535" spans="1:21">
      <c r="A535" s="167">
        <v>865</v>
      </c>
      <c r="B535" s="196" t="s">
        <v>89</v>
      </c>
      <c r="C535" s="196">
        <v>11</v>
      </c>
      <c r="D535" s="196">
        <v>3</v>
      </c>
      <c r="E535" s="555" t="s">
        <v>576</v>
      </c>
      <c r="F535" s="156">
        <v>97.85</v>
      </c>
      <c r="G535" s="196"/>
      <c r="H535" s="502">
        <v>54.896766662597656</v>
      </c>
      <c r="I535" s="243">
        <v>-1.18</v>
      </c>
      <c r="J535" s="449">
        <v>-0.89</v>
      </c>
      <c r="K535" s="789">
        <f t="shared" si="9"/>
        <v>17.453169000000003</v>
      </c>
      <c r="L535" s="562" t="s">
        <v>665</v>
      </c>
      <c r="M535" s="563" t="s">
        <v>74</v>
      </c>
      <c r="N535" s="69" t="s">
        <v>95</v>
      </c>
      <c r="O535" s="307" t="s">
        <v>44</v>
      </c>
      <c r="P535" s="314" t="s">
        <v>91</v>
      </c>
      <c r="Q535" s="501" t="s">
        <v>435</v>
      </c>
      <c r="R535" s="564" t="s">
        <v>400</v>
      </c>
      <c r="S535" s="176"/>
      <c r="T535" s="145"/>
      <c r="U535" s="145"/>
    </row>
    <row r="536" spans="1:21">
      <c r="A536" s="167">
        <v>865</v>
      </c>
      <c r="B536" s="196" t="s">
        <v>89</v>
      </c>
      <c r="C536" s="196">
        <v>11</v>
      </c>
      <c r="D536" s="196">
        <v>4</v>
      </c>
      <c r="E536" s="555" t="s">
        <v>113</v>
      </c>
      <c r="F536" s="156">
        <v>98.7</v>
      </c>
      <c r="G536" s="196"/>
      <c r="H536" s="502">
        <v>54.981273651123047</v>
      </c>
      <c r="I536" s="243">
        <v>-1.01</v>
      </c>
      <c r="J536" s="449">
        <v>-0.89</v>
      </c>
      <c r="K536" s="789">
        <f t="shared" si="9"/>
        <v>16.658096</v>
      </c>
      <c r="L536" s="562" t="s">
        <v>665</v>
      </c>
      <c r="M536" s="563" t="s">
        <v>74</v>
      </c>
      <c r="N536" s="69" t="s">
        <v>95</v>
      </c>
      <c r="O536" s="307" t="s">
        <v>44</v>
      </c>
      <c r="P536" s="314" t="s">
        <v>91</v>
      </c>
      <c r="Q536" s="501" t="s">
        <v>435</v>
      </c>
      <c r="R536" s="564" t="s">
        <v>400</v>
      </c>
      <c r="S536" s="176"/>
      <c r="T536" s="145"/>
      <c r="U536" s="145"/>
    </row>
    <row r="537" spans="1:21">
      <c r="A537" s="167">
        <v>865</v>
      </c>
      <c r="B537" s="196" t="s">
        <v>89</v>
      </c>
      <c r="C537" s="196">
        <v>11</v>
      </c>
      <c r="D537" s="196">
        <v>4</v>
      </c>
      <c r="E537" s="555" t="s">
        <v>576</v>
      </c>
      <c r="F537" s="156">
        <v>99.35</v>
      </c>
      <c r="G537" s="196"/>
      <c r="H537" s="502">
        <v>55.0458984375</v>
      </c>
      <c r="I537" s="243">
        <v>-1.23</v>
      </c>
      <c r="J537" s="449">
        <v>-0.89</v>
      </c>
      <c r="K537" s="789">
        <f t="shared" si="9"/>
        <v>17.688004000000003</v>
      </c>
      <c r="L537" s="562" t="s">
        <v>665</v>
      </c>
      <c r="M537" s="563" t="s">
        <v>74</v>
      </c>
      <c r="N537" s="69" t="s">
        <v>95</v>
      </c>
      <c r="O537" s="307" t="s">
        <v>44</v>
      </c>
      <c r="P537" s="314" t="s">
        <v>91</v>
      </c>
      <c r="Q537" s="501" t="s">
        <v>435</v>
      </c>
      <c r="R537" s="564" t="s">
        <v>400</v>
      </c>
      <c r="S537" s="176"/>
      <c r="T537" s="145"/>
      <c r="U537" s="145"/>
    </row>
    <row r="538" spans="1:21">
      <c r="A538" s="167">
        <v>865</v>
      </c>
      <c r="B538" s="196" t="s">
        <v>89</v>
      </c>
      <c r="C538" s="196">
        <v>11</v>
      </c>
      <c r="D538" s="196">
        <v>5</v>
      </c>
      <c r="E538" s="555" t="s">
        <v>113</v>
      </c>
      <c r="F538" s="156">
        <v>100.2</v>
      </c>
      <c r="G538" s="196"/>
      <c r="H538" s="502">
        <v>55.130405426025391</v>
      </c>
      <c r="I538" s="243">
        <v>-1.51</v>
      </c>
      <c r="J538" s="449">
        <v>-0.89</v>
      </c>
      <c r="K538" s="789">
        <f t="shared" si="9"/>
        <v>19.011396000000001</v>
      </c>
      <c r="L538" s="562" t="s">
        <v>665</v>
      </c>
      <c r="M538" s="563" t="s">
        <v>74</v>
      </c>
      <c r="N538" s="69" t="s">
        <v>95</v>
      </c>
      <c r="O538" s="307" t="s">
        <v>44</v>
      </c>
      <c r="P538" s="314" t="s">
        <v>91</v>
      </c>
      <c r="Q538" s="501" t="s">
        <v>435</v>
      </c>
      <c r="R538" s="564" t="s">
        <v>400</v>
      </c>
      <c r="S538" s="176"/>
      <c r="T538" s="145"/>
      <c r="U538" s="145"/>
    </row>
    <row r="539" spans="1:21">
      <c r="A539" s="167">
        <v>865</v>
      </c>
      <c r="B539" s="196" t="s">
        <v>89</v>
      </c>
      <c r="C539" s="196">
        <v>11</v>
      </c>
      <c r="D539" s="196">
        <v>5</v>
      </c>
      <c r="E539" s="555" t="s">
        <v>576</v>
      </c>
      <c r="F539" s="156">
        <v>100.85</v>
      </c>
      <c r="G539" s="196"/>
      <c r="H539" s="502">
        <v>55.195030212402344</v>
      </c>
      <c r="I539" s="243">
        <v>-1.0900000000000001</v>
      </c>
      <c r="J539" s="449">
        <v>-0.89</v>
      </c>
      <c r="K539" s="789">
        <f t="shared" si="9"/>
        <v>17.031600000000001</v>
      </c>
      <c r="L539" s="562" t="s">
        <v>665</v>
      </c>
      <c r="M539" s="563" t="s">
        <v>74</v>
      </c>
      <c r="N539" s="69" t="s">
        <v>95</v>
      </c>
      <c r="O539" s="307" t="s">
        <v>44</v>
      </c>
      <c r="P539" s="314" t="s">
        <v>91</v>
      </c>
      <c r="Q539" s="501" t="s">
        <v>435</v>
      </c>
      <c r="R539" s="564" t="s">
        <v>400</v>
      </c>
      <c r="S539" s="176"/>
      <c r="T539" s="145"/>
      <c r="U539" s="145"/>
    </row>
    <row r="540" spans="1:21">
      <c r="A540" s="167">
        <v>865</v>
      </c>
      <c r="B540" s="196" t="s">
        <v>89</v>
      </c>
      <c r="C540" s="196">
        <v>11</v>
      </c>
      <c r="D540" s="196">
        <v>6</v>
      </c>
      <c r="E540" s="555" t="s">
        <v>113</v>
      </c>
      <c r="F540" s="156">
        <v>101.7</v>
      </c>
      <c r="G540" s="196"/>
      <c r="H540" s="502">
        <v>55.470767974853516</v>
      </c>
      <c r="I540" s="243">
        <v>-1.56</v>
      </c>
      <c r="J540" s="449">
        <v>-0.89</v>
      </c>
      <c r="K540" s="789">
        <f t="shared" si="9"/>
        <v>19.249200999999999</v>
      </c>
      <c r="L540" s="562" t="s">
        <v>665</v>
      </c>
      <c r="M540" s="563" t="s">
        <v>74</v>
      </c>
      <c r="N540" s="69" t="s">
        <v>95</v>
      </c>
      <c r="O540" s="307" t="s">
        <v>44</v>
      </c>
      <c r="P540" s="314" t="s">
        <v>91</v>
      </c>
      <c r="Q540" s="501" t="s">
        <v>435</v>
      </c>
      <c r="R540" s="564" t="s">
        <v>400</v>
      </c>
      <c r="S540" s="176"/>
      <c r="T540" s="145"/>
      <c r="U540" s="145"/>
    </row>
    <row r="541" spans="1:21">
      <c r="A541" s="167">
        <v>865</v>
      </c>
      <c r="B541" s="196" t="s">
        <v>89</v>
      </c>
      <c r="C541" s="196">
        <v>11</v>
      </c>
      <c r="D541" s="196" t="s">
        <v>284</v>
      </c>
      <c r="E541" s="555" t="s">
        <v>579</v>
      </c>
      <c r="F541" s="156">
        <v>102.53</v>
      </c>
      <c r="G541" s="196"/>
      <c r="H541" s="502">
        <v>55.702117919921875</v>
      </c>
      <c r="I541" s="243">
        <v>-1.42</v>
      </c>
      <c r="J541" s="449">
        <v>-0.89</v>
      </c>
      <c r="K541" s="789">
        <f t="shared" si="9"/>
        <v>18.584481</v>
      </c>
      <c r="L541" s="562" t="s">
        <v>665</v>
      </c>
      <c r="M541" s="563" t="s">
        <v>74</v>
      </c>
      <c r="N541" s="69" t="s">
        <v>95</v>
      </c>
      <c r="O541" s="307" t="s">
        <v>44</v>
      </c>
      <c r="P541" s="314" t="s">
        <v>91</v>
      </c>
      <c r="Q541" s="501" t="s">
        <v>435</v>
      </c>
      <c r="R541" s="564" t="s">
        <v>400</v>
      </c>
      <c r="S541" s="176"/>
      <c r="T541" s="145"/>
      <c r="U541" s="145"/>
    </row>
    <row r="542" spans="1:21">
      <c r="A542" s="167">
        <v>865</v>
      </c>
      <c r="B542" s="196" t="s">
        <v>89</v>
      </c>
      <c r="C542" s="196">
        <v>12</v>
      </c>
      <c r="D542" s="196">
        <v>1</v>
      </c>
      <c r="E542" s="555" t="s">
        <v>106</v>
      </c>
      <c r="F542" s="156">
        <v>103.5</v>
      </c>
      <c r="G542" s="196"/>
      <c r="H542" s="502">
        <v>55.88470458984375</v>
      </c>
      <c r="I542" s="243">
        <v>-1.27</v>
      </c>
      <c r="J542" s="449">
        <v>-0.89</v>
      </c>
      <c r="K542" s="789">
        <f t="shared" si="9"/>
        <v>17.876196000000004</v>
      </c>
      <c r="L542" s="562" t="s">
        <v>665</v>
      </c>
      <c r="M542" s="563" t="s">
        <v>74</v>
      </c>
      <c r="N542" s="69" t="s">
        <v>95</v>
      </c>
      <c r="O542" s="307" t="s">
        <v>44</v>
      </c>
      <c r="P542" s="314" t="s">
        <v>91</v>
      </c>
      <c r="Q542" s="501" t="s">
        <v>435</v>
      </c>
      <c r="R542" s="564" t="s">
        <v>400</v>
      </c>
      <c r="S542" s="176"/>
      <c r="T542" s="145"/>
      <c r="U542" s="145"/>
    </row>
    <row r="543" spans="1:21">
      <c r="A543" s="167">
        <v>865</v>
      </c>
      <c r="B543" s="196" t="s">
        <v>89</v>
      </c>
      <c r="C543" s="196">
        <v>12</v>
      </c>
      <c r="D543" s="196">
        <v>1</v>
      </c>
      <c r="E543" s="555" t="s">
        <v>360</v>
      </c>
      <c r="F543" s="156">
        <v>103.6</v>
      </c>
      <c r="G543" s="196"/>
      <c r="H543" s="502">
        <v>55.903530120849609</v>
      </c>
      <c r="I543" s="243">
        <v>-1.51</v>
      </c>
      <c r="J543" s="449">
        <v>-0.89</v>
      </c>
      <c r="K543" s="789">
        <f t="shared" si="9"/>
        <v>19.011396000000001</v>
      </c>
      <c r="L543" s="562" t="s">
        <v>665</v>
      </c>
      <c r="M543" s="563" t="s">
        <v>74</v>
      </c>
      <c r="N543" s="69" t="s">
        <v>95</v>
      </c>
      <c r="O543" s="307" t="s">
        <v>44</v>
      </c>
      <c r="P543" s="314" t="s">
        <v>91</v>
      </c>
      <c r="Q543" s="501" t="s">
        <v>435</v>
      </c>
      <c r="R543" s="564" t="s">
        <v>400</v>
      </c>
      <c r="S543" s="176"/>
      <c r="T543" s="145"/>
      <c r="U543" s="145"/>
    </row>
    <row r="544" spans="1:21">
      <c r="A544" s="167">
        <v>865</v>
      </c>
      <c r="B544" s="196" t="s">
        <v>89</v>
      </c>
      <c r="C544" s="196">
        <v>12</v>
      </c>
      <c r="D544" s="196">
        <v>1</v>
      </c>
      <c r="E544" s="196" t="s">
        <v>113</v>
      </c>
      <c r="F544" s="156">
        <v>103.7</v>
      </c>
      <c r="G544" s="196"/>
      <c r="H544" s="502">
        <v>55.922351837158203</v>
      </c>
      <c r="I544" s="243">
        <v>-1.19</v>
      </c>
      <c r="J544" s="449">
        <v>-0.89</v>
      </c>
      <c r="K544" s="789">
        <f t="shared" si="9"/>
        <v>17.5001</v>
      </c>
      <c r="L544" s="562" t="s">
        <v>665</v>
      </c>
      <c r="M544" s="563" t="s">
        <v>74</v>
      </c>
      <c r="N544" s="69" t="s">
        <v>95</v>
      </c>
      <c r="O544" s="307" t="s">
        <v>44</v>
      </c>
      <c r="P544" s="314" t="s">
        <v>91</v>
      </c>
      <c r="Q544" s="501" t="s">
        <v>435</v>
      </c>
      <c r="R544" s="564" t="s">
        <v>400</v>
      </c>
      <c r="S544" s="176"/>
      <c r="T544" s="145"/>
      <c r="U544" s="145"/>
    </row>
    <row r="545" spans="1:21">
      <c r="A545" s="167">
        <v>865</v>
      </c>
      <c r="B545" s="196" t="s">
        <v>89</v>
      </c>
      <c r="C545" s="196">
        <v>12</v>
      </c>
      <c r="D545" s="196">
        <v>1</v>
      </c>
      <c r="E545" s="196" t="s">
        <v>112</v>
      </c>
      <c r="F545" s="156">
        <v>103.8</v>
      </c>
      <c r="G545" s="196"/>
      <c r="H545" s="502">
        <v>55.941177368164063</v>
      </c>
      <c r="I545" s="243">
        <v>-1.63</v>
      </c>
      <c r="J545" s="449">
        <v>-0.89</v>
      </c>
      <c r="K545" s="789">
        <f t="shared" si="9"/>
        <v>19.582884</v>
      </c>
      <c r="L545" s="562" t="s">
        <v>665</v>
      </c>
      <c r="M545" s="563" t="s">
        <v>74</v>
      </c>
      <c r="N545" s="69" t="s">
        <v>95</v>
      </c>
      <c r="O545" s="307" t="s">
        <v>44</v>
      </c>
      <c r="P545" s="314" t="s">
        <v>91</v>
      </c>
      <c r="Q545" s="501" t="s">
        <v>435</v>
      </c>
      <c r="R545" s="564" t="s">
        <v>400</v>
      </c>
      <c r="S545" s="176"/>
      <c r="T545" s="145"/>
      <c r="U545" s="145"/>
    </row>
    <row r="546" spans="1:21">
      <c r="A546" s="167">
        <v>865</v>
      </c>
      <c r="B546" s="196" t="s">
        <v>89</v>
      </c>
      <c r="C546" s="196">
        <v>12</v>
      </c>
      <c r="D546" s="196">
        <v>1</v>
      </c>
      <c r="E546" s="196" t="s">
        <v>111</v>
      </c>
      <c r="F546" s="156">
        <v>103.9</v>
      </c>
      <c r="G546" s="196"/>
      <c r="H546" s="502">
        <v>55.959999084472656</v>
      </c>
      <c r="I546" s="243">
        <v>-0.92</v>
      </c>
      <c r="J546" s="449">
        <v>-0.89</v>
      </c>
      <c r="K546" s="789">
        <f t="shared" si="9"/>
        <v>16.239281000000002</v>
      </c>
      <c r="L546" s="562" t="s">
        <v>665</v>
      </c>
      <c r="M546" s="563" t="s">
        <v>74</v>
      </c>
      <c r="N546" s="69" t="s">
        <v>95</v>
      </c>
      <c r="O546" s="307" t="s">
        <v>44</v>
      </c>
      <c r="P546" s="314" t="s">
        <v>91</v>
      </c>
      <c r="Q546" s="501" t="s">
        <v>435</v>
      </c>
      <c r="R546" s="564" t="s">
        <v>400</v>
      </c>
      <c r="S546" s="176"/>
      <c r="T546" s="145"/>
      <c r="U546" s="145"/>
    </row>
    <row r="547" spans="1:21">
      <c r="A547" s="167">
        <v>865</v>
      </c>
      <c r="B547" s="196" t="s">
        <v>89</v>
      </c>
      <c r="C547" s="196">
        <v>12</v>
      </c>
      <c r="D547" s="196">
        <v>1</v>
      </c>
      <c r="E547" s="196" t="s">
        <v>101</v>
      </c>
      <c r="F547" s="156">
        <v>104.2</v>
      </c>
      <c r="G547" s="196"/>
      <c r="H547" s="502">
        <v>55.986923217773438</v>
      </c>
      <c r="I547" s="243">
        <v>-1.01</v>
      </c>
      <c r="J547" s="449">
        <v>-0.89</v>
      </c>
      <c r="K547" s="789">
        <f t="shared" si="9"/>
        <v>16.658096</v>
      </c>
      <c r="L547" s="562" t="s">
        <v>665</v>
      </c>
      <c r="M547" s="563" t="s">
        <v>74</v>
      </c>
      <c r="N547" s="69" t="s">
        <v>95</v>
      </c>
      <c r="O547" s="307" t="s">
        <v>44</v>
      </c>
      <c r="P547" s="314" t="s">
        <v>91</v>
      </c>
      <c r="Q547" s="501" t="s">
        <v>435</v>
      </c>
      <c r="R547" s="564" t="s">
        <v>400</v>
      </c>
      <c r="S547" s="176"/>
      <c r="T547" s="145"/>
      <c r="U547" s="145"/>
    </row>
    <row r="548" spans="1:21">
      <c r="A548" s="167">
        <v>865</v>
      </c>
      <c r="B548" s="196" t="s">
        <v>89</v>
      </c>
      <c r="C548" s="196">
        <v>12</v>
      </c>
      <c r="D548" s="196">
        <v>1</v>
      </c>
      <c r="E548" s="196" t="s">
        <v>574</v>
      </c>
      <c r="F548" s="156">
        <v>104.7</v>
      </c>
      <c r="G548" s="196"/>
      <c r="H548" s="502">
        <v>56.031795501708984</v>
      </c>
      <c r="I548" s="243">
        <v>-1.58</v>
      </c>
      <c r="J548" s="449">
        <v>-0.89</v>
      </c>
      <c r="K548" s="789">
        <f t="shared" si="9"/>
        <v>19.344449000000001</v>
      </c>
      <c r="L548" s="562" t="s">
        <v>665</v>
      </c>
      <c r="M548" s="563" t="s">
        <v>74</v>
      </c>
      <c r="N548" s="69" t="s">
        <v>95</v>
      </c>
      <c r="O548" s="307" t="s">
        <v>44</v>
      </c>
      <c r="P548" s="314" t="s">
        <v>91</v>
      </c>
      <c r="Q548" s="501" t="s">
        <v>435</v>
      </c>
      <c r="R548" s="564" t="s">
        <v>400</v>
      </c>
      <c r="S548" s="176"/>
      <c r="T548" s="145"/>
      <c r="U548" s="145"/>
    </row>
    <row r="549" spans="1:21">
      <c r="A549" s="167">
        <v>865</v>
      </c>
      <c r="B549" s="196" t="s">
        <v>89</v>
      </c>
      <c r="C549" s="196">
        <v>12</v>
      </c>
      <c r="D549" s="196">
        <v>2</v>
      </c>
      <c r="E549" s="196" t="s">
        <v>113</v>
      </c>
      <c r="F549" s="156">
        <v>105.2</v>
      </c>
      <c r="G549" s="196" t="s">
        <v>196</v>
      </c>
      <c r="H549" s="502">
        <v>56.076667785644531</v>
      </c>
      <c r="I549" s="243">
        <v>-1.5</v>
      </c>
      <c r="J549" s="449">
        <v>-0.89</v>
      </c>
      <c r="K549" s="789">
        <f t="shared" si="9"/>
        <v>18.963889000000002</v>
      </c>
      <c r="L549" s="562" t="s">
        <v>665</v>
      </c>
      <c r="M549" s="563" t="s">
        <v>74</v>
      </c>
      <c r="N549" s="69" t="s">
        <v>95</v>
      </c>
      <c r="O549" s="307" t="s">
        <v>44</v>
      </c>
      <c r="P549" s="314" t="s">
        <v>91</v>
      </c>
      <c r="Q549" s="501" t="s">
        <v>435</v>
      </c>
      <c r="R549" s="564" t="s">
        <v>400</v>
      </c>
      <c r="S549" s="176" t="s">
        <v>741</v>
      </c>
      <c r="T549" s="145"/>
      <c r="U549" s="145"/>
    </row>
    <row r="550" spans="1:21">
      <c r="A550" s="167">
        <v>865</v>
      </c>
      <c r="B550" s="196" t="s">
        <v>89</v>
      </c>
      <c r="C550" s="196">
        <v>12</v>
      </c>
      <c r="D550" s="196">
        <v>2</v>
      </c>
      <c r="E550" s="196" t="s">
        <v>101</v>
      </c>
      <c r="F550" s="156">
        <v>105.7</v>
      </c>
      <c r="G550" s="196" t="s">
        <v>196</v>
      </c>
      <c r="H550" s="502">
        <v>56.121540069580078</v>
      </c>
      <c r="I550" s="243">
        <v>-1.47</v>
      </c>
      <c r="J550" s="449">
        <v>-0.89</v>
      </c>
      <c r="K550" s="789">
        <f t="shared" si="9"/>
        <v>18.821476000000001</v>
      </c>
      <c r="L550" s="562" t="s">
        <v>665</v>
      </c>
      <c r="M550" s="563" t="s">
        <v>74</v>
      </c>
      <c r="N550" s="69" t="s">
        <v>95</v>
      </c>
      <c r="O550" s="307" t="s">
        <v>44</v>
      </c>
      <c r="P550" s="314" t="s">
        <v>91</v>
      </c>
      <c r="Q550" s="501" t="s">
        <v>435</v>
      </c>
      <c r="R550" s="564" t="s">
        <v>400</v>
      </c>
      <c r="S550" s="176" t="s">
        <v>741</v>
      </c>
      <c r="T550" s="145"/>
      <c r="U550" s="145"/>
    </row>
    <row r="551" spans="1:21">
      <c r="A551" s="167">
        <v>865</v>
      </c>
      <c r="B551" s="196" t="s">
        <v>89</v>
      </c>
      <c r="C551" s="196">
        <v>12</v>
      </c>
      <c r="D551" s="196">
        <v>2</v>
      </c>
      <c r="E551" s="196" t="s">
        <v>574</v>
      </c>
      <c r="F551" s="156">
        <v>106.2</v>
      </c>
      <c r="G551" s="196" t="s">
        <v>196</v>
      </c>
      <c r="H551" s="502">
        <v>56.166408538818359</v>
      </c>
      <c r="I551" s="243">
        <v>-1.38</v>
      </c>
      <c r="J551" s="449">
        <v>-0.89</v>
      </c>
      <c r="K551" s="789">
        <f t="shared" si="9"/>
        <v>18.395209000000001</v>
      </c>
      <c r="L551" s="562" t="s">
        <v>665</v>
      </c>
      <c r="M551" s="563" t="s">
        <v>74</v>
      </c>
      <c r="N551" s="69" t="s">
        <v>95</v>
      </c>
      <c r="O551" s="307" t="s">
        <v>44</v>
      </c>
      <c r="P551" s="314" t="s">
        <v>91</v>
      </c>
      <c r="Q551" s="501" t="s">
        <v>435</v>
      </c>
      <c r="R551" s="564" t="s">
        <v>400</v>
      </c>
      <c r="S551" s="176" t="s">
        <v>741</v>
      </c>
      <c r="T551" s="145"/>
      <c r="U551" s="145"/>
    </row>
    <row r="552" spans="1:21">
      <c r="A552" s="167">
        <v>865</v>
      </c>
      <c r="B552" s="196" t="s">
        <v>89</v>
      </c>
      <c r="C552" s="196">
        <v>12</v>
      </c>
      <c r="D552" s="196">
        <v>3</v>
      </c>
      <c r="E552" s="196" t="s">
        <v>113</v>
      </c>
      <c r="F552" s="156">
        <v>106.7</v>
      </c>
      <c r="G552" s="196" t="s">
        <v>196</v>
      </c>
      <c r="H552" s="502">
        <v>56.211280822753906</v>
      </c>
      <c r="I552" s="243">
        <v>-3.14</v>
      </c>
      <c r="J552" s="449">
        <v>-0.89</v>
      </c>
      <c r="K552" s="789">
        <f t="shared" si="9"/>
        <v>26.995625</v>
      </c>
      <c r="L552" s="562" t="s">
        <v>665</v>
      </c>
      <c r="M552" s="563" t="s">
        <v>74</v>
      </c>
      <c r="N552" s="69" t="s">
        <v>95</v>
      </c>
      <c r="O552" s="307" t="s">
        <v>44</v>
      </c>
      <c r="P552" s="314" t="s">
        <v>91</v>
      </c>
      <c r="Q552" s="501" t="s">
        <v>435</v>
      </c>
      <c r="R552" s="564" t="s">
        <v>400</v>
      </c>
      <c r="S552" s="176" t="s">
        <v>741</v>
      </c>
      <c r="T552" s="145"/>
      <c r="U552" s="145"/>
    </row>
    <row r="553" spans="1:21">
      <c r="A553" s="167">
        <v>865</v>
      </c>
      <c r="B553" s="196" t="s">
        <v>89</v>
      </c>
      <c r="C553" s="196">
        <v>12</v>
      </c>
      <c r="D553" s="196">
        <v>3</v>
      </c>
      <c r="E553" s="196" t="s">
        <v>101</v>
      </c>
      <c r="F553" s="156">
        <v>107.2</v>
      </c>
      <c r="G553" s="196" t="s">
        <v>196</v>
      </c>
      <c r="H553" s="502">
        <v>56.256153106689453</v>
      </c>
      <c r="I553" s="243">
        <v>-1.47</v>
      </c>
      <c r="J553" s="449">
        <v>-0.89</v>
      </c>
      <c r="K553" s="789">
        <f t="shared" si="9"/>
        <v>18.821476000000001</v>
      </c>
      <c r="L553" s="562" t="s">
        <v>665</v>
      </c>
      <c r="M553" s="563" t="s">
        <v>74</v>
      </c>
      <c r="N553" s="69" t="s">
        <v>95</v>
      </c>
      <c r="O553" s="307" t="s">
        <v>44</v>
      </c>
      <c r="P553" s="314" t="s">
        <v>91</v>
      </c>
      <c r="Q553" s="501" t="s">
        <v>435</v>
      </c>
      <c r="R553" s="564" t="s">
        <v>400</v>
      </c>
      <c r="S553" s="176" t="s">
        <v>741</v>
      </c>
      <c r="T553" s="145"/>
      <c r="U553" s="145"/>
    </row>
    <row r="554" spans="1:21">
      <c r="A554" s="167">
        <v>865</v>
      </c>
      <c r="B554" s="196" t="s">
        <v>89</v>
      </c>
      <c r="C554" s="196">
        <v>12</v>
      </c>
      <c r="D554" s="196">
        <v>3</v>
      </c>
      <c r="E554" s="196" t="s">
        <v>574</v>
      </c>
      <c r="F554" s="156">
        <v>107.7</v>
      </c>
      <c r="G554" s="196" t="s">
        <v>196</v>
      </c>
      <c r="H554" s="502">
        <v>56.301025390625</v>
      </c>
      <c r="I554" s="243">
        <v>-1.48</v>
      </c>
      <c r="J554" s="449">
        <v>-0.89</v>
      </c>
      <c r="K554" s="789">
        <f t="shared" si="9"/>
        <v>18.868929000000001</v>
      </c>
      <c r="L554" s="562" t="s">
        <v>665</v>
      </c>
      <c r="M554" s="563" t="s">
        <v>74</v>
      </c>
      <c r="N554" s="69" t="s">
        <v>95</v>
      </c>
      <c r="O554" s="307" t="s">
        <v>44</v>
      </c>
      <c r="P554" s="314" t="s">
        <v>91</v>
      </c>
      <c r="Q554" s="501" t="s">
        <v>435</v>
      </c>
      <c r="R554" s="564" t="s">
        <v>400</v>
      </c>
      <c r="S554" s="176" t="s">
        <v>741</v>
      </c>
      <c r="T554" s="145"/>
      <c r="U554" s="145"/>
    </row>
    <row r="555" spans="1:21">
      <c r="A555" s="167">
        <v>865</v>
      </c>
      <c r="B555" s="196" t="s">
        <v>89</v>
      </c>
      <c r="C555" s="196">
        <v>12</v>
      </c>
      <c r="D555" s="196">
        <v>4</v>
      </c>
      <c r="E555" s="196" t="s">
        <v>101</v>
      </c>
      <c r="F555" s="156">
        <v>108.7</v>
      </c>
      <c r="G555" s="196" t="s">
        <v>196</v>
      </c>
      <c r="H555" s="502">
        <v>56.390769958496094</v>
      </c>
      <c r="I555" s="243">
        <v>-2.4300000000000002</v>
      </c>
      <c r="J555" s="449">
        <v>-0.89</v>
      </c>
      <c r="K555" s="789">
        <f t="shared" si="9"/>
        <v>23.459044000000002</v>
      </c>
      <c r="L555" s="562" t="s">
        <v>665</v>
      </c>
      <c r="M555" s="563" t="s">
        <v>74</v>
      </c>
      <c r="N555" s="69" t="s">
        <v>95</v>
      </c>
      <c r="O555" s="307" t="s">
        <v>44</v>
      </c>
      <c r="P555" s="314" t="s">
        <v>91</v>
      </c>
      <c r="Q555" s="501" t="s">
        <v>435</v>
      </c>
      <c r="R555" s="564" t="s">
        <v>400</v>
      </c>
      <c r="S555" s="176" t="s">
        <v>741</v>
      </c>
      <c r="T555" s="145"/>
      <c r="U555" s="145"/>
    </row>
    <row r="556" spans="1:21">
      <c r="A556" s="167">
        <v>865</v>
      </c>
      <c r="B556" s="196" t="s">
        <v>89</v>
      </c>
      <c r="C556" s="196">
        <v>12</v>
      </c>
      <c r="D556" s="196">
        <v>4</v>
      </c>
      <c r="E556" s="196" t="s">
        <v>574</v>
      </c>
      <c r="F556" s="156">
        <v>109.2</v>
      </c>
      <c r="G556" s="196" t="s">
        <v>196</v>
      </c>
      <c r="H556" s="502">
        <v>56.435642242431641</v>
      </c>
      <c r="I556" s="243">
        <v>-0.83</v>
      </c>
      <c r="J556" s="449">
        <v>-0.89</v>
      </c>
      <c r="K556" s="789">
        <f t="shared" si="9"/>
        <v>15.821924000000003</v>
      </c>
      <c r="L556" s="562" t="s">
        <v>665</v>
      </c>
      <c r="M556" s="563" t="s">
        <v>74</v>
      </c>
      <c r="N556" s="69" t="s">
        <v>95</v>
      </c>
      <c r="O556" s="307" t="s">
        <v>44</v>
      </c>
      <c r="P556" s="314" t="s">
        <v>91</v>
      </c>
      <c r="Q556" s="501" t="s">
        <v>435</v>
      </c>
      <c r="R556" s="564" t="s">
        <v>400</v>
      </c>
      <c r="S556" s="176" t="s">
        <v>741</v>
      </c>
      <c r="T556" s="145"/>
      <c r="U556" s="145"/>
    </row>
    <row r="557" spans="1:21">
      <c r="A557" s="167">
        <v>865</v>
      </c>
      <c r="B557" s="196" t="s">
        <v>89</v>
      </c>
      <c r="C557" s="196">
        <v>12</v>
      </c>
      <c r="D557" s="196">
        <v>5</v>
      </c>
      <c r="E557" s="196" t="s">
        <v>113</v>
      </c>
      <c r="F557" s="156">
        <v>109.7</v>
      </c>
      <c r="G557" s="196" t="s">
        <v>196</v>
      </c>
      <c r="H557" s="502">
        <v>56.480514526367188</v>
      </c>
      <c r="I557" s="243">
        <v>-1.34</v>
      </c>
      <c r="J557" s="449">
        <v>-0.89</v>
      </c>
      <c r="K557" s="789">
        <f t="shared" si="9"/>
        <v>18.206225000000003</v>
      </c>
      <c r="L557" s="562" t="s">
        <v>665</v>
      </c>
      <c r="M557" s="563" t="s">
        <v>74</v>
      </c>
      <c r="N557" s="69" t="s">
        <v>95</v>
      </c>
      <c r="O557" s="307" t="s">
        <v>44</v>
      </c>
      <c r="P557" s="314" t="s">
        <v>91</v>
      </c>
      <c r="Q557" s="501" t="s">
        <v>435</v>
      </c>
      <c r="R557" s="564" t="s">
        <v>400</v>
      </c>
      <c r="S557" s="176" t="s">
        <v>741</v>
      </c>
      <c r="T557" s="145"/>
      <c r="U557" s="145"/>
    </row>
    <row r="558" spans="1:21">
      <c r="A558" s="167">
        <v>865</v>
      </c>
      <c r="B558" s="196" t="s">
        <v>89</v>
      </c>
      <c r="C558" s="196">
        <v>12</v>
      </c>
      <c r="D558" s="196">
        <v>5</v>
      </c>
      <c r="E558" s="196" t="s">
        <v>101</v>
      </c>
      <c r="F558" s="156">
        <v>110.2</v>
      </c>
      <c r="G558" s="196" t="s">
        <v>196</v>
      </c>
      <c r="H558" s="502">
        <v>56.525382995605469</v>
      </c>
      <c r="I558" s="243">
        <v>-1.5</v>
      </c>
      <c r="J558" s="449">
        <v>-0.89</v>
      </c>
      <c r="K558" s="789">
        <f t="shared" si="9"/>
        <v>18.963889000000002</v>
      </c>
      <c r="L558" s="562" t="s">
        <v>665</v>
      </c>
      <c r="M558" s="563" t="s">
        <v>74</v>
      </c>
      <c r="N558" s="69" t="s">
        <v>95</v>
      </c>
      <c r="O558" s="307" t="s">
        <v>44</v>
      </c>
      <c r="P558" s="314" t="s">
        <v>91</v>
      </c>
      <c r="Q558" s="501" t="s">
        <v>435</v>
      </c>
      <c r="R558" s="564" t="s">
        <v>400</v>
      </c>
      <c r="S558" s="176" t="s">
        <v>741</v>
      </c>
      <c r="T558" s="145"/>
      <c r="U558" s="145"/>
    </row>
    <row r="559" spans="1:21">
      <c r="A559" s="167">
        <v>865</v>
      </c>
      <c r="B559" s="196" t="s">
        <v>89</v>
      </c>
      <c r="C559" s="196">
        <v>12</v>
      </c>
      <c r="D559" s="196">
        <v>5</v>
      </c>
      <c r="E559" s="196" t="s">
        <v>574</v>
      </c>
      <c r="F559" s="156">
        <v>110.7</v>
      </c>
      <c r="G559" s="196" t="s">
        <v>196</v>
      </c>
      <c r="H559" s="502">
        <v>56.570255279541016</v>
      </c>
      <c r="I559" s="243">
        <v>-1.18</v>
      </c>
      <c r="J559" s="449">
        <v>-0.89</v>
      </c>
      <c r="K559" s="789">
        <f t="shared" si="9"/>
        <v>17.453169000000003</v>
      </c>
      <c r="L559" s="562" t="s">
        <v>665</v>
      </c>
      <c r="M559" s="563" t="s">
        <v>74</v>
      </c>
      <c r="N559" s="69" t="s">
        <v>95</v>
      </c>
      <c r="O559" s="307" t="s">
        <v>44</v>
      </c>
      <c r="P559" s="314" t="s">
        <v>91</v>
      </c>
      <c r="Q559" s="501" t="s">
        <v>435</v>
      </c>
      <c r="R559" s="564" t="s">
        <v>400</v>
      </c>
      <c r="S559" s="176" t="s">
        <v>741</v>
      </c>
      <c r="T559" s="145"/>
      <c r="U559" s="145"/>
    </row>
    <row r="560" spans="1:21">
      <c r="A560" s="167">
        <v>865</v>
      </c>
      <c r="B560" s="196" t="s">
        <v>89</v>
      </c>
      <c r="C560" s="196">
        <v>12</v>
      </c>
      <c r="D560" s="196">
        <v>6</v>
      </c>
      <c r="E560" s="196" t="s">
        <v>113</v>
      </c>
      <c r="F560" s="156">
        <v>111.2</v>
      </c>
      <c r="G560" s="196" t="s">
        <v>196</v>
      </c>
      <c r="H560" s="502">
        <v>56.615127563476563</v>
      </c>
      <c r="I560" s="243">
        <v>-1.1200000000000001</v>
      </c>
      <c r="J560" s="449">
        <v>-0.89</v>
      </c>
      <c r="K560" s="789">
        <f t="shared" si="9"/>
        <v>17.171961</v>
      </c>
      <c r="L560" s="562" t="s">
        <v>665</v>
      </c>
      <c r="M560" s="563" t="s">
        <v>74</v>
      </c>
      <c r="N560" s="69" t="s">
        <v>95</v>
      </c>
      <c r="O560" s="307" t="s">
        <v>44</v>
      </c>
      <c r="P560" s="314" t="s">
        <v>91</v>
      </c>
      <c r="Q560" s="501" t="s">
        <v>435</v>
      </c>
      <c r="R560" s="564" t="s">
        <v>400</v>
      </c>
      <c r="S560" s="176" t="s">
        <v>741</v>
      </c>
      <c r="T560" s="145"/>
      <c r="U560" s="145"/>
    </row>
    <row r="561" spans="1:21">
      <c r="A561" s="167">
        <v>865</v>
      </c>
      <c r="B561" s="196" t="s">
        <v>89</v>
      </c>
      <c r="C561" s="196">
        <v>12</v>
      </c>
      <c r="D561" s="196">
        <v>6</v>
      </c>
      <c r="E561" s="196" t="s">
        <v>101</v>
      </c>
      <c r="F561" s="156">
        <v>111.7</v>
      </c>
      <c r="G561" s="196" t="s">
        <v>196</v>
      </c>
      <c r="H561" s="502">
        <v>56.659999847412109</v>
      </c>
      <c r="I561" s="243">
        <v>-1.21</v>
      </c>
      <c r="J561" s="449">
        <v>-0.89</v>
      </c>
      <c r="K561" s="789">
        <f t="shared" si="9"/>
        <v>17.594016</v>
      </c>
      <c r="L561" s="562" t="s">
        <v>665</v>
      </c>
      <c r="M561" s="563" t="s">
        <v>74</v>
      </c>
      <c r="N561" s="69" t="s">
        <v>95</v>
      </c>
      <c r="O561" s="307" t="s">
        <v>44</v>
      </c>
      <c r="P561" s="314" t="s">
        <v>91</v>
      </c>
      <c r="Q561" s="501" t="s">
        <v>435</v>
      </c>
      <c r="R561" s="564" t="s">
        <v>400</v>
      </c>
      <c r="S561" s="176" t="s">
        <v>741</v>
      </c>
      <c r="T561" s="145"/>
      <c r="U561" s="145"/>
    </row>
    <row r="562" spans="1:21">
      <c r="A562" s="167">
        <v>865</v>
      </c>
      <c r="B562" s="196" t="s">
        <v>89</v>
      </c>
      <c r="C562" s="196">
        <v>12</v>
      </c>
      <c r="D562" s="196">
        <v>6</v>
      </c>
      <c r="E562" s="196" t="s">
        <v>581</v>
      </c>
      <c r="F562" s="156">
        <v>112.02</v>
      </c>
      <c r="G562" s="196" t="s">
        <v>196</v>
      </c>
      <c r="H562" s="502">
        <v>56.706829071044922</v>
      </c>
      <c r="I562" s="243">
        <v>-0.6</v>
      </c>
      <c r="J562" s="449">
        <v>-0.89</v>
      </c>
      <c r="K562" s="789">
        <f t="shared" si="9"/>
        <v>14.761969000000001</v>
      </c>
      <c r="L562" s="562" t="s">
        <v>665</v>
      </c>
      <c r="M562" s="563" t="s">
        <v>74</v>
      </c>
      <c r="N562" s="69" t="s">
        <v>95</v>
      </c>
      <c r="O562" s="307" t="s">
        <v>44</v>
      </c>
      <c r="P562" s="314" t="s">
        <v>91</v>
      </c>
      <c r="Q562" s="501" t="s">
        <v>435</v>
      </c>
      <c r="R562" s="564" t="s">
        <v>400</v>
      </c>
      <c r="S562" s="176" t="s">
        <v>741</v>
      </c>
      <c r="T562" s="145"/>
      <c r="U562" s="145"/>
    </row>
    <row r="563" spans="1:21">
      <c r="A563" s="167">
        <v>865</v>
      </c>
      <c r="B563" s="196" t="s">
        <v>89</v>
      </c>
      <c r="C563" s="196">
        <v>13</v>
      </c>
      <c r="D563" s="196">
        <v>1</v>
      </c>
      <c r="E563" s="156" t="s">
        <v>128</v>
      </c>
      <c r="F563" s="156">
        <v>113.21</v>
      </c>
      <c r="G563" s="196" t="s">
        <v>196</v>
      </c>
      <c r="H563" s="502">
        <v>56.880973815917969</v>
      </c>
      <c r="I563" s="243">
        <v>-2.2200000000000002</v>
      </c>
      <c r="J563" s="449">
        <v>-0.89</v>
      </c>
      <c r="K563" s="789">
        <f t="shared" si="9"/>
        <v>22.430401</v>
      </c>
      <c r="L563" s="562" t="s">
        <v>665</v>
      </c>
      <c r="M563" s="563" t="s">
        <v>74</v>
      </c>
      <c r="N563" s="69" t="s">
        <v>95</v>
      </c>
      <c r="O563" s="307" t="s">
        <v>44</v>
      </c>
      <c r="P563" s="314" t="s">
        <v>91</v>
      </c>
      <c r="Q563" s="501" t="s">
        <v>435</v>
      </c>
      <c r="R563" s="564" t="s">
        <v>400</v>
      </c>
      <c r="S563" s="176" t="s">
        <v>741</v>
      </c>
      <c r="T563" s="145"/>
      <c r="U563" s="145"/>
    </row>
    <row r="564" spans="1:21">
      <c r="A564" s="167">
        <v>865</v>
      </c>
      <c r="B564" s="196" t="s">
        <v>89</v>
      </c>
      <c r="C564" s="196">
        <v>13</v>
      </c>
      <c r="D564" s="196">
        <v>1</v>
      </c>
      <c r="E564" s="196" t="s">
        <v>101</v>
      </c>
      <c r="F564" s="156">
        <v>113.7</v>
      </c>
      <c r="G564" s="196" t="s">
        <v>196</v>
      </c>
      <c r="H564" s="502">
        <v>56.952682495117188</v>
      </c>
      <c r="I564" s="243">
        <v>-1.31</v>
      </c>
      <c r="J564" s="449">
        <v>-0.89</v>
      </c>
      <c r="K564" s="789">
        <f t="shared" si="9"/>
        <v>18.064675999999999</v>
      </c>
      <c r="L564" s="562" t="s">
        <v>665</v>
      </c>
      <c r="M564" s="563" t="s">
        <v>74</v>
      </c>
      <c r="N564" s="69" t="s">
        <v>95</v>
      </c>
      <c r="O564" s="307" t="s">
        <v>44</v>
      </c>
      <c r="P564" s="314" t="s">
        <v>91</v>
      </c>
      <c r="Q564" s="501" t="s">
        <v>435</v>
      </c>
      <c r="R564" s="564" t="s">
        <v>400</v>
      </c>
      <c r="S564" s="176" t="s">
        <v>741</v>
      </c>
      <c r="T564" s="145"/>
      <c r="U564" s="145"/>
    </row>
    <row r="565" spans="1:21">
      <c r="A565" s="167">
        <v>865</v>
      </c>
      <c r="B565" s="196" t="s">
        <v>89</v>
      </c>
      <c r="C565" s="196">
        <v>13</v>
      </c>
      <c r="D565" s="196">
        <v>1</v>
      </c>
      <c r="E565" s="156" t="s">
        <v>582</v>
      </c>
      <c r="F565" s="156">
        <v>114.17</v>
      </c>
      <c r="G565" s="196"/>
      <c r="H565" s="502">
        <v>57.021461486816406</v>
      </c>
      <c r="I565" s="243">
        <v>-1</v>
      </c>
      <c r="J565" s="449">
        <v>-0.89</v>
      </c>
      <c r="K565" s="789">
        <f t="shared" si="9"/>
        <v>16.611489000000002</v>
      </c>
      <c r="L565" s="562" t="s">
        <v>665</v>
      </c>
      <c r="M565" s="563" t="s">
        <v>74</v>
      </c>
      <c r="N565" s="69" t="s">
        <v>95</v>
      </c>
      <c r="O565" s="307" t="s">
        <v>44</v>
      </c>
      <c r="P565" s="314" t="s">
        <v>91</v>
      </c>
      <c r="Q565" s="501" t="s">
        <v>435</v>
      </c>
      <c r="R565" s="564" t="s">
        <v>400</v>
      </c>
      <c r="S565" s="176"/>
      <c r="T565" s="145"/>
      <c r="U565" s="145"/>
    </row>
    <row r="566" spans="1:21">
      <c r="A566" s="167">
        <v>865</v>
      </c>
      <c r="B566" s="196" t="s">
        <v>89</v>
      </c>
      <c r="C566" s="196">
        <v>13</v>
      </c>
      <c r="D566" s="196">
        <v>2</v>
      </c>
      <c r="E566" s="196" t="s">
        <v>343</v>
      </c>
      <c r="F566" s="156">
        <v>114.67</v>
      </c>
      <c r="G566" s="196"/>
      <c r="H566" s="502">
        <v>57.094635009765625</v>
      </c>
      <c r="I566" s="243">
        <v>-0.24</v>
      </c>
      <c r="J566" s="449">
        <v>-0.89</v>
      </c>
      <c r="K566" s="789">
        <f t="shared" si="9"/>
        <v>13.122025000000001</v>
      </c>
      <c r="L566" s="562" t="s">
        <v>665</v>
      </c>
      <c r="M566" s="563" t="s">
        <v>74</v>
      </c>
      <c r="N566" s="69" t="s">
        <v>95</v>
      </c>
      <c r="O566" s="307" t="s">
        <v>44</v>
      </c>
      <c r="P566" s="314" t="s">
        <v>91</v>
      </c>
      <c r="Q566" s="501" t="s">
        <v>435</v>
      </c>
      <c r="R566" s="564" t="s">
        <v>400</v>
      </c>
      <c r="S566" s="176"/>
      <c r="T566" s="145"/>
      <c r="U566" s="145"/>
    </row>
    <row r="567" spans="1:21">
      <c r="A567" s="167">
        <v>865</v>
      </c>
      <c r="B567" s="196" t="s">
        <v>89</v>
      </c>
      <c r="C567" s="196">
        <v>13</v>
      </c>
      <c r="D567" s="196">
        <v>2</v>
      </c>
      <c r="E567" s="196" t="s">
        <v>101</v>
      </c>
      <c r="F567" s="156">
        <v>115.2</v>
      </c>
      <c r="G567" s="196"/>
      <c r="H567" s="502">
        <v>57.172195434570313</v>
      </c>
      <c r="I567" s="243">
        <v>-0.52</v>
      </c>
      <c r="J567" s="449">
        <v>-0.89</v>
      </c>
      <c r="K567" s="789">
        <f t="shared" si="9"/>
        <v>14.395521000000002</v>
      </c>
      <c r="L567" s="562" t="s">
        <v>665</v>
      </c>
      <c r="M567" s="563" t="s">
        <v>74</v>
      </c>
      <c r="N567" s="69" t="s">
        <v>95</v>
      </c>
      <c r="O567" s="307" t="s">
        <v>44</v>
      </c>
      <c r="P567" s="314" t="s">
        <v>91</v>
      </c>
      <c r="Q567" s="501" t="s">
        <v>435</v>
      </c>
      <c r="R567" s="564" t="s">
        <v>400</v>
      </c>
      <c r="S567" s="176"/>
      <c r="T567" s="145"/>
      <c r="U567" s="145"/>
    </row>
    <row r="568" spans="1:21">
      <c r="A568" s="167">
        <v>865</v>
      </c>
      <c r="B568" s="196" t="s">
        <v>89</v>
      </c>
      <c r="C568" s="196">
        <v>13</v>
      </c>
      <c r="D568" s="196">
        <v>2</v>
      </c>
      <c r="E568" s="196" t="s">
        <v>583</v>
      </c>
      <c r="F568" s="156">
        <v>115.73</v>
      </c>
      <c r="G568" s="196"/>
      <c r="H568" s="502">
        <v>57.249755859375</v>
      </c>
      <c r="I568" s="243">
        <v>-1.27</v>
      </c>
      <c r="J568" s="449">
        <v>-0.89</v>
      </c>
      <c r="K568" s="789">
        <f t="shared" si="9"/>
        <v>17.876196000000004</v>
      </c>
      <c r="L568" s="562" t="s">
        <v>665</v>
      </c>
      <c r="M568" s="563" t="s">
        <v>74</v>
      </c>
      <c r="N568" s="69" t="s">
        <v>95</v>
      </c>
      <c r="O568" s="307" t="s">
        <v>44</v>
      </c>
      <c r="P568" s="314" t="s">
        <v>91</v>
      </c>
      <c r="Q568" s="501" t="s">
        <v>435</v>
      </c>
      <c r="R568" s="564" t="s">
        <v>400</v>
      </c>
      <c r="S568" s="176"/>
      <c r="T568" s="145"/>
      <c r="U568" s="145"/>
    </row>
    <row r="569" spans="1:21">
      <c r="A569" s="177">
        <v>865</v>
      </c>
      <c r="B569" s="226" t="s">
        <v>89</v>
      </c>
      <c r="C569" s="226">
        <v>13</v>
      </c>
      <c r="D569" s="226">
        <v>3</v>
      </c>
      <c r="E569" s="226" t="s">
        <v>128</v>
      </c>
      <c r="F569" s="226">
        <v>116.21</v>
      </c>
      <c r="G569" s="226"/>
      <c r="H569" s="503">
        <v>57.319999694824219</v>
      </c>
      <c r="I569" s="557">
        <v>-0.54</v>
      </c>
      <c r="J569" s="456">
        <v>-0.89</v>
      </c>
      <c r="K569" s="790">
        <f t="shared" si="9"/>
        <v>14.487025000000001</v>
      </c>
      <c r="L569" s="568" t="s">
        <v>665</v>
      </c>
      <c r="M569" s="399" t="s">
        <v>74</v>
      </c>
      <c r="N569" s="183" t="s">
        <v>95</v>
      </c>
      <c r="O569" s="387" t="s">
        <v>44</v>
      </c>
      <c r="P569" s="388" t="s">
        <v>91</v>
      </c>
      <c r="Q569" s="504" t="s">
        <v>435</v>
      </c>
      <c r="R569" s="564" t="s">
        <v>400</v>
      </c>
      <c r="S569" s="176"/>
      <c r="T569" s="145"/>
      <c r="U569" s="145"/>
    </row>
    <row r="570" spans="1:21">
      <c r="A570" s="167">
        <v>865</v>
      </c>
      <c r="B570" s="196" t="s">
        <v>89</v>
      </c>
      <c r="C570" s="196">
        <v>9</v>
      </c>
      <c r="D570" s="196">
        <v>4</v>
      </c>
      <c r="E570" s="555" t="s">
        <v>360</v>
      </c>
      <c r="F570" s="156">
        <v>79.599999999999994</v>
      </c>
      <c r="G570" s="196" t="s">
        <v>21</v>
      </c>
      <c r="H570" s="156">
        <v>49.110000610351563</v>
      </c>
      <c r="I570" s="243">
        <v>-1.1599999999999999</v>
      </c>
      <c r="J570" s="449">
        <v>-0.89</v>
      </c>
      <c r="K570" s="64">
        <f t="shared" si="9"/>
        <v>17.359361000000003</v>
      </c>
      <c r="L570" s="395" t="s">
        <v>204</v>
      </c>
      <c r="M570" s="563" t="s">
        <v>74</v>
      </c>
      <c r="N570" s="69" t="s">
        <v>95</v>
      </c>
      <c r="O570" s="307" t="s">
        <v>535</v>
      </c>
      <c r="P570" s="314" t="s">
        <v>91</v>
      </c>
      <c r="Q570" s="501" t="s">
        <v>435</v>
      </c>
      <c r="R570" s="564" t="s">
        <v>400</v>
      </c>
      <c r="S570" s="176" t="s">
        <v>742</v>
      </c>
      <c r="T570" s="145"/>
      <c r="U570" s="145"/>
    </row>
    <row r="571" spans="1:21">
      <c r="A571" s="177">
        <v>865</v>
      </c>
      <c r="B571" s="226" t="s">
        <v>89</v>
      </c>
      <c r="C571" s="226">
        <v>9</v>
      </c>
      <c r="D571" s="226">
        <v>4</v>
      </c>
      <c r="E571" s="226" t="s">
        <v>101</v>
      </c>
      <c r="F571" s="226">
        <v>80.2</v>
      </c>
      <c r="G571" s="226" t="s">
        <v>21</v>
      </c>
      <c r="H571" s="226">
        <v>49.385398864746094</v>
      </c>
      <c r="I571" s="557">
        <v>-1.36</v>
      </c>
      <c r="J571" s="456">
        <v>-0.89</v>
      </c>
      <c r="K571" s="80">
        <f t="shared" si="9"/>
        <v>18.300681000000004</v>
      </c>
      <c r="L571" s="229" t="s">
        <v>204</v>
      </c>
      <c r="M571" s="399" t="s">
        <v>74</v>
      </c>
      <c r="N571" s="183" t="s">
        <v>95</v>
      </c>
      <c r="O571" s="387" t="s">
        <v>535</v>
      </c>
      <c r="P571" s="388" t="s">
        <v>91</v>
      </c>
      <c r="Q571" s="504" t="s">
        <v>435</v>
      </c>
      <c r="R571" s="564" t="s">
        <v>400</v>
      </c>
      <c r="S571" s="176" t="s">
        <v>742</v>
      </c>
      <c r="T571" s="145"/>
      <c r="U571" s="145"/>
    </row>
    <row r="572" spans="1:21">
      <c r="A572" s="167">
        <v>865</v>
      </c>
      <c r="B572" s="196" t="s">
        <v>89</v>
      </c>
      <c r="C572" s="196">
        <v>12</v>
      </c>
      <c r="D572" s="196">
        <v>3</v>
      </c>
      <c r="E572" s="196" t="s">
        <v>101</v>
      </c>
      <c r="F572" s="335">
        <v>107.2</v>
      </c>
      <c r="G572" s="196" t="s">
        <v>196</v>
      </c>
      <c r="H572" s="502">
        <v>56.256153106689453</v>
      </c>
      <c r="I572" s="243">
        <v>-1.89</v>
      </c>
      <c r="J572" s="449">
        <v>-0.89</v>
      </c>
      <c r="K572" s="65">
        <f t="shared" si="9"/>
        <v>20.830000000000002</v>
      </c>
      <c r="L572" s="395" t="s">
        <v>392</v>
      </c>
      <c r="M572" s="563" t="s">
        <v>74</v>
      </c>
      <c r="N572" s="69" t="s">
        <v>95</v>
      </c>
      <c r="O572" s="307" t="s">
        <v>35</v>
      </c>
      <c r="P572" s="314" t="s">
        <v>91</v>
      </c>
      <c r="Q572" s="501" t="s">
        <v>435</v>
      </c>
      <c r="R572" s="564" t="s">
        <v>400</v>
      </c>
      <c r="S572" s="176" t="s">
        <v>741</v>
      </c>
      <c r="T572" s="145"/>
      <c r="U572" s="145"/>
    </row>
    <row r="573" spans="1:21">
      <c r="A573" s="167">
        <v>865</v>
      </c>
      <c r="B573" s="196" t="s">
        <v>89</v>
      </c>
      <c r="C573" s="196">
        <v>12</v>
      </c>
      <c r="D573" s="196">
        <v>3</v>
      </c>
      <c r="E573" s="196" t="s">
        <v>574</v>
      </c>
      <c r="F573" s="335">
        <v>107.7</v>
      </c>
      <c r="G573" s="196" t="s">
        <v>196</v>
      </c>
      <c r="H573" s="502">
        <v>56.301025390625</v>
      </c>
      <c r="I573" s="243">
        <v>-2.06</v>
      </c>
      <c r="J573" s="449">
        <v>-0.89</v>
      </c>
      <c r="K573" s="65">
        <f t="shared" si="9"/>
        <v>21.652001000000002</v>
      </c>
      <c r="L573" s="395" t="s">
        <v>392</v>
      </c>
      <c r="M573" s="563" t="s">
        <v>74</v>
      </c>
      <c r="N573" s="69" t="s">
        <v>95</v>
      </c>
      <c r="O573" s="307" t="s">
        <v>35</v>
      </c>
      <c r="P573" s="314" t="s">
        <v>91</v>
      </c>
      <c r="Q573" s="501" t="s">
        <v>435</v>
      </c>
      <c r="R573" s="564" t="s">
        <v>400</v>
      </c>
      <c r="S573" s="176" t="s">
        <v>741</v>
      </c>
      <c r="T573" s="145"/>
      <c r="U573" s="145"/>
    </row>
    <row r="574" spans="1:21">
      <c r="A574" s="167">
        <v>865</v>
      </c>
      <c r="B574" s="196" t="s">
        <v>89</v>
      </c>
      <c r="C574" s="196">
        <v>12</v>
      </c>
      <c r="D574" s="196">
        <v>4</v>
      </c>
      <c r="E574" s="196" t="s">
        <v>101</v>
      </c>
      <c r="F574" s="335">
        <v>108.7</v>
      </c>
      <c r="G574" s="196" t="s">
        <v>196</v>
      </c>
      <c r="H574" s="502">
        <v>56.390769958496094</v>
      </c>
      <c r="I574" s="243">
        <v>-1.86</v>
      </c>
      <c r="J574" s="449">
        <v>-0.89</v>
      </c>
      <c r="K574" s="65">
        <f t="shared" si="9"/>
        <v>20.685480999999999</v>
      </c>
      <c r="L574" s="395" t="s">
        <v>392</v>
      </c>
      <c r="M574" s="563" t="s">
        <v>74</v>
      </c>
      <c r="N574" s="69" t="s">
        <v>95</v>
      </c>
      <c r="O574" s="307" t="s">
        <v>35</v>
      </c>
      <c r="P574" s="314" t="s">
        <v>91</v>
      </c>
      <c r="Q574" s="501" t="s">
        <v>435</v>
      </c>
      <c r="R574" s="564" t="s">
        <v>400</v>
      </c>
      <c r="S574" s="176" t="s">
        <v>741</v>
      </c>
      <c r="T574" s="145"/>
      <c r="U574" s="145"/>
    </row>
    <row r="575" spans="1:21">
      <c r="A575" s="167">
        <v>865</v>
      </c>
      <c r="B575" s="196" t="s">
        <v>89</v>
      </c>
      <c r="C575" s="196">
        <v>12</v>
      </c>
      <c r="D575" s="196">
        <v>4</v>
      </c>
      <c r="E575" s="196" t="s">
        <v>574</v>
      </c>
      <c r="F575" s="335">
        <v>109.2</v>
      </c>
      <c r="G575" s="196" t="s">
        <v>196</v>
      </c>
      <c r="H575" s="502">
        <v>56.435642242431641</v>
      </c>
      <c r="I575" s="243">
        <v>-2.04</v>
      </c>
      <c r="J575" s="449">
        <v>-0.89</v>
      </c>
      <c r="K575" s="65">
        <f t="shared" ref="K575:K637" si="10">16.1-4.64*($I575-J575)+0.09*($I575-J575)^2</f>
        <v>21.555025000000001</v>
      </c>
      <c r="L575" s="395" t="s">
        <v>392</v>
      </c>
      <c r="M575" s="563" t="s">
        <v>74</v>
      </c>
      <c r="N575" s="69" t="s">
        <v>95</v>
      </c>
      <c r="O575" s="307" t="s">
        <v>35</v>
      </c>
      <c r="P575" s="314" t="s">
        <v>91</v>
      </c>
      <c r="Q575" s="501" t="s">
        <v>435</v>
      </c>
      <c r="R575" s="564" t="s">
        <v>400</v>
      </c>
      <c r="S575" s="176" t="s">
        <v>741</v>
      </c>
      <c r="T575" s="145"/>
      <c r="U575" s="145"/>
    </row>
    <row r="576" spans="1:21">
      <c r="A576" s="167">
        <v>865</v>
      </c>
      <c r="B576" s="196" t="s">
        <v>89</v>
      </c>
      <c r="C576" s="196">
        <v>12</v>
      </c>
      <c r="D576" s="196">
        <v>4</v>
      </c>
      <c r="E576" s="196" t="s">
        <v>113</v>
      </c>
      <c r="F576" s="335">
        <v>109.7</v>
      </c>
      <c r="G576" s="196" t="s">
        <v>196</v>
      </c>
      <c r="H576" s="502">
        <v>56.480514526367188</v>
      </c>
      <c r="I576" s="243">
        <v>-1.83</v>
      </c>
      <c r="J576" s="449">
        <v>-0.89</v>
      </c>
      <c r="K576" s="65">
        <f t="shared" si="10"/>
        <v>20.541124</v>
      </c>
      <c r="L576" s="395" t="s">
        <v>392</v>
      </c>
      <c r="M576" s="563" t="s">
        <v>74</v>
      </c>
      <c r="N576" s="69" t="s">
        <v>95</v>
      </c>
      <c r="O576" s="307" t="s">
        <v>35</v>
      </c>
      <c r="P576" s="314" t="s">
        <v>91</v>
      </c>
      <c r="Q576" s="501" t="s">
        <v>435</v>
      </c>
      <c r="R576" s="564" t="s">
        <v>400</v>
      </c>
      <c r="S576" s="176" t="s">
        <v>741</v>
      </c>
      <c r="T576" s="145"/>
      <c r="U576" s="145"/>
    </row>
    <row r="577" spans="1:21">
      <c r="A577" s="167">
        <v>865</v>
      </c>
      <c r="B577" s="196" t="s">
        <v>89</v>
      </c>
      <c r="C577" s="196">
        <v>12</v>
      </c>
      <c r="D577" s="196">
        <v>5</v>
      </c>
      <c r="E577" s="196" t="s">
        <v>101</v>
      </c>
      <c r="F577" s="335">
        <v>110.2</v>
      </c>
      <c r="G577" s="196" t="s">
        <v>196</v>
      </c>
      <c r="H577" s="502">
        <v>56.525382995605469</v>
      </c>
      <c r="I577" s="243">
        <v>-1.86</v>
      </c>
      <c r="J577" s="449">
        <v>-0.89</v>
      </c>
      <c r="K577" s="65">
        <f t="shared" si="10"/>
        <v>20.685480999999999</v>
      </c>
      <c r="L577" s="395" t="s">
        <v>392</v>
      </c>
      <c r="M577" s="563" t="s">
        <v>74</v>
      </c>
      <c r="N577" s="69" t="s">
        <v>95</v>
      </c>
      <c r="O577" s="307" t="s">
        <v>35</v>
      </c>
      <c r="P577" s="314" t="s">
        <v>91</v>
      </c>
      <c r="Q577" s="501" t="s">
        <v>435</v>
      </c>
      <c r="R577" s="564" t="s">
        <v>400</v>
      </c>
      <c r="S577" s="176" t="s">
        <v>741</v>
      </c>
      <c r="T577" s="145"/>
      <c r="U577" s="145"/>
    </row>
    <row r="578" spans="1:21">
      <c r="A578" s="167">
        <v>865</v>
      </c>
      <c r="B578" s="196" t="s">
        <v>89</v>
      </c>
      <c r="C578" s="196">
        <v>12</v>
      </c>
      <c r="D578" s="196">
        <v>5</v>
      </c>
      <c r="E578" s="196" t="s">
        <v>574</v>
      </c>
      <c r="F578" s="335">
        <v>110.7</v>
      </c>
      <c r="G578" s="196" t="s">
        <v>196</v>
      </c>
      <c r="H578" s="502">
        <v>56.570255279541016</v>
      </c>
      <c r="I578" s="243">
        <v>-1.73</v>
      </c>
      <c r="J578" s="449">
        <v>-0.89</v>
      </c>
      <c r="K578" s="65">
        <f t="shared" si="10"/>
        <v>20.061104</v>
      </c>
      <c r="L578" s="395" t="s">
        <v>392</v>
      </c>
      <c r="M578" s="563" t="s">
        <v>74</v>
      </c>
      <c r="N578" s="69" t="s">
        <v>95</v>
      </c>
      <c r="O578" s="307" t="s">
        <v>35</v>
      </c>
      <c r="P578" s="314" t="s">
        <v>91</v>
      </c>
      <c r="Q578" s="501" t="s">
        <v>435</v>
      </c>
      <c r="R578" s="564" t="s">
        <v>400</v>
      </c>
      <c r="S578" s="176" t="s">
        <v>741</v>
      </c>
      <c r="T578" s="145"/>
      <c r="U578" s="145"/>
    </row>
    <row r="579" spans="1:21">
      <c r="A579" s="167">
        <v>865</v>
      </c>
      <c r="B579" s="196" t="s">
        <v>89</v>
      </c>
      <c r="C579" s="196">
        <v>12</v>
      </c>
      <c r="D579" s="196">
        <v>6</v>
      </c>
      <c r="E579" s="196" t="s">
        <v>113</v>
      </c>
      <c r="F579" s="335">
        <v>111.2</v>
      </c>
      <c r="G579" s="196" t="s">
        <v>196</v>
      </c>
      <c r="H579" s="502">
        <v>56.615127563476563</v>
      </c>
      <c r="I579" s="243">
        <v>-1.8</v>
      </c>
      <c r="J579" s="449">
        <v>-0.89</v>
      </c>
      <c r="K579" s="65">
        <f t="shared" si="10"/>
        <v>20.396929</v>
      </c>
      <c r="L579" s="395" t="s">
        <v>392</v>
      </c>
      <c r="M579" s="563" t="s">
        <v>74</v>
      </c>
      <c r="N579" s="69" t="s">
        <v>95</v>
      </c>
      <c r="O579" s="307" t="s">
        <v>35</v>
      </c>
      <c r="P579" s="314" t="s">
        <v>91</v>
      </c>
      <c r="Q579" s="501" t="s">
        <v>435</v>
      </c>
      <c r="R579" s="564" t="s">
        <v>400</v>
      </c>
      <c r="S579" s="176" t="s">
        <v>741</v>
      </c>
      <c r="T579" s="145"/>
      <c r="U579" s="145"/>
    </row>
    <row r="580" spans="1:21">
      <c r="A580" s="167">
        <v>865</v>
      </c>
      <c r="B580" s="196" t="s">
        <v>89</v>
      </c>
      <c r="C580" s="196">
        <v>12</v>
      </c>
      <c r="D580" s="196">
        <v>6</v>
      </c>
      <c r="E580" s="196" t="s">
        <v>101</v>
      </c>
      <c r="F580" s="335">
        <v>111.7</v>
      </c>
      <c r="G580" s="196" t="s">
        <v>196</v>
      </c>
      <c r="H580" s="502">
        <v>56.659999847412109</v>
      </c>
      <c r="I580" s="243">
        <v>-1.81</v>
      </c>
      <c r="J580" s="449">
        <v>-0.89</v>
      </c>
      <c r="K580" s="65">
        <f t="shared" si="10"/>
        <v>20.444976</v>
      </c>
      <c r="L580" s="395" t="s">
        <v>392</v>
      </c>
      <c r="M580" s="563" t="s">
        <v>74</v>
      </c>
      <c r="N580" s="69" t="s">
        <v>95</v>
      </c>
      <c r="O580" s="307" t="s">
        <v>35</v>
      </c>
      <c r="P580" s="314" t="s">
        <v>91</v>
      </c>
      <c r="Q580" s="501" t="s">
        <v>435</v>
      </c>
      <c r="R580" s="564" t="s">
        <v>400</v>
      </c>
      <c r="S580" s="176" t="s">
        <v>741</v>
      </c>
      <c r="T580" s="145"/>
      <c r="U580" s="145"/>
    </row>
    <row r="581" spans="1:21">
      <c r="A581" s="167">
        <v>865</v>
      </c>
      <c r="B581" s="196" t="s">
        <v>89</v>
      </c>
      <c r="C581" s="196">
        <v>12</v>
      </c>
      <c r="D581" s="196">
        <v>6</v>
      </c>
      <c r="E581" s="196" t="s">
        <v>581</v>
      </c>
      <c r="F581" s="335">
        <v>112.02</v>
      </c>
      <c r="G581" s="196" t="s">
        <v>196</v>
      </c>
      <c r="H581" s="502">
        <v>56.706829071044922</v>
      </c>
      <c r="I581" s="243">
        <v>-1.89</v>
      </c>
      <c r="J581" s="449">
        <v>-0.89</v>
      </c>
      <c r="K581" s="65">
        <f t="shared" si="10"/>
        <v>20.830000000000002</v>
      </c>
      <c r="L581" s="395" t="s">
        <v>392</v>
      </c>
      <c r="M581" s="563" t="s">
        <v>74</v>
      </c>
      <c r="N581" s="69" t="s">
        <v>95</v>
      </c>
      <c r="O581" s="307" t="s">
        <v>35</v>
      </c>
      <c r="P581" s="314" t="s">
        <v>91</v>
      </c>
      <c r="Q581" s="501" t="s">
        <v>435</v>
      </c>
      <c r="R581" s="564" t="s">
        <v>400</v>
      </c>
      <c r="S581" s="176" t="s">
        <v>741</v>
      </c>
      <c r="T581" s="145"/>
      <c r="U581" s="145"/>
    </row>
    <row r="582" spans="1:21">
      <c r="A582" s="167">
        <v>865</v>
      </c>
      <c r="B582" s="196" t="s">
        <v>89</v>
      </c>
      <c r="C582" s="196">
        <v>12</v>
      </c>
      <c r="D582" s="196">
        <v>6</v>
      </c>
      <c r="E582" s="196" t="s">
        <v>581</v>
      </c>
      <c r="F582" s="335">
        <v>112.02</v>
      </c>
      <c r="G582" s="196" t="s">
        <v>196</v>
      </c>
      <c r="H582" s="502">
        <v>56.706829071044922</v>
      </c>
      <c r="I582" s="243">
        <v>-1.66</v>
      </c>
      <c r="J582" s="449">
        <v>-0.89</v>
      </c>
      <c r="K582" s="65">
        <f t="shared" si="10"/>
        <v>19.726161000000001</v>
      </c>
      <c r="L582" s="395" t="s">
        <v>392</v>
      </c>
      <c r="M582" s="563" t="s">
        <v>74</v>
      </c>
      <c r="N582" s="69" t="s">
        <v>95</v>
      </c>
      <c r="O582" s="307" t="s">
        <v>35</v>
      </c>
      <c r="P582" s="314" t="s">
        <v>91</v>
      </c>
      <c r="Q582" s="501" t="s">
        <v>435</v>
      </c>
      <c r="R582" s="564" t="s">
        <v>400</v>
      </c>
      <c r="S582" s="176" t="s">
        <v>741</v>
      </c>
      <c r="T582" s="145"/>
      <c r="U582" s="145"/>
    </row>
    <row r="583" spans="1:21">
      <c r="A583" s="167">
        <v>865</v>
      </c>
      <c r="B583" s="196" t="s">
        <v>89</v>
      </c>
      <c r="C583" s="196">
        <v>13</v>
      </c>
      <c r="D583" s="196">
        <v>1</v>
      </c>
      <c r="E583" s="196" t="s">
        <v>128</v>
      </c>
      <c r="F583" s="335">
        <v>113.21</v>
      </c>
      <c r="G583" s="196" t="s">
        <v>196</v>
      </c>
      <c r="H583" s="502">
        <v>56.880973815917969</v>
      </c>
      <c r="I583" s="243">
        <v>-1.75</v>
      </c>
      <c r="J583" s="449">
        <v>-0.89</v>
      </c>
      <c r="K583" s="65">
        <f t="shared" si="10"/>
        <v>20.156964000000002</v>
      </c>
      <c r="L583" s="395" t="s">
        <v>392</v>
      </c>
      <c r="M583" s="563" t="s">
        <v>74</v>
      </c>
      <c r="N583" s="69" t="s">
        <v>95</v>
      </c>
      <c r="O583" s="307" t="s">
        <v>35</v>
      </c>
      <c r="P583" s="314" t="s">
        <v>91</v>
      </c>
      <c r="Q583" s="501" t="s">
        <v>435</v>
      </c>
      <c r="R583" s="564" t="s">
        <v>400</v>
      </c>
      <c r="S583" s="176" t="s">
        <v>741</v>
      </c>
      <c r="T583" s="145"/>
      <c r="U583" s="145"/>
    </row>
    <row r="584" spans="1:21">
      <c r="A584" s="167">
        <v>865</v>
      </c>
      <c r="B584" s="196" t="s">
        <v>89</v>
      </c>
      <c r="C584" s="196">
        <v>13</v>
      </c>
      <c r="D584" s="196">
        <v>1</v>
      </c>
      <c r="E584" s="196" t="s">
        <v>128</v>
      </c>
      <c r="F584" s="335">
        <v>113.21</v>
      </c>
      <c r="G584" s="196" t="s">
        <v>196</v>
      </c>
      <c r="H584" s="502">
        <v>56.880973815917969</v>
      </c>
      <c r="I584" s="243">
        <v>-1.94</v>
      </c>
      <c r="J584" s="449">
        <v>-0.89</v>
      </c>
      <c r="K584" s="65">
        <f t="shared" si="10"/>
        <v>21.071225000000002</v>
      </c>
      <c r="L584" s="395" t="s">
        <v>392</v>
      </c>
      <c r="M584" s="563" t="s">
        <v>74</v>
      </c>
      <c r="N584" s="69" t="s">
        <v>95</v>
      </c>
      <c r="O584" s="307" t="s">
        <v>35</v>
      </c>
      <c r="P584" s="314" t="s">
        <v>91</v>
      </c>
      <c r="Q584" s="501" t="s">
        <v>435</v>
      </c>
      <c r="R584" s="564" t="s">
        <v>400</v>
      </c>
      <c r="S584" s="176" t="s">
        <v>741</v>
      </c>
      <c r="T584" s="145"/>
      <c r="U584" s="145"/>
    </row>
    <row r="585" spans="1:21">
      <c r="A585" s="167">
        <v>865</v>
      </c>
      <c r="B585" s="196" t="s">
        <v>89</v>
      </c>
      <c r="C585" s="196">
        <v>13</v>
      </c>
      <c r="D585" s="196">
        <v>1</v>
      </c>
      <c r="E585" s="196" t="s">
        <v>101</v>
      </c>
      <c r="F585" s="335">
        <v>113.7</v>
      </c>
      <c r="G585" s="196" t="s">
        <v>196</v>
      </c>
      <c r="H585" s="502">
        <v>56.952682495117188</v>
      </c>
      <c r="I585" s="243">
        <v>-1.57</v>
      </c>
      <c r="J585" s="449">
        <v>-0.89</v>
      </c>
      <c r="K585" s="65">
        <f t="shared" si="10"/>
        <v>19.296816000000003</v>
      </c>
      <c r="L585" s="395" t="s">
        <v>392</v>
      </c>
      <c r="M585" s="563" t="s">
        <v>74</v>
      </c>
      <c r="N585" s="69" t="s">
        <v>95</v>
      </c>
      <c r="O585" s="307" t="s">
        <v>35</v>
      </c>
      <c r="P585" s="314" t="s">
        <v>91</v>
      </c>
      <c r="Q585" s="501" t="s">
        <v>435</v>
      </c>
      <c r="R585" s="564" t="s">
        <v>400</v>
      </c>
      <c r="S585" s="176" t="s">
        <v>741</v>
      </c>
      <c r="T585" s="145"/>
      <c r="U585" s="145"/>
    </row>
    <row r="586" spans="1:21">
      <c r="A586" s="167">
        <v>865</v>
      </c>
      <c r="B586" s="196" t="s">
        <v>89</v>
      </c>
      <c r="C586" s="196">
        <v>13</v>
      </c>
      <c r="D586" s="196">
        <v>2</v>
      </c>
      <c r="E586" s="196" t="s">
        <v>343</v>
      </c>
      <c r="F586" s="335">
        <v>114.67</v>
      </c>
      <c r="G586" s="196"/>
      <c r="H586" s="502">
        <v>57.094635009765625</v>
      </c>
      <c r="I586" s="243">
        <v>-1.83</v>
      </c>
      <c r="J586" s="449">
        <v>-0.89</v>
      </c>
      <c r="K586" s="789">
        <f t="shared" si="10"/>
        <v>20.541124</v>
      </c>
      <c r="L586" s="395" t="s">
        <v>392</v>
      </c>
      <c r="M586" s="563" t="s">
        <v>74</v>
      </c>
      <c r="N586" s="69" t="s">
        <v>95</v>
      </c>
      <c r="O586" s="307" t="s">
        <v>35</v>
      </c>
      <c r="P586" s="314" t="s">
        <v>91</v>
      </c>
      <c r="Q586" s="501" t="s">
        <v>435</v>
      </c>
      <c r="R586" s="564" t="s">
        <v>400</v>
      </c>
      <c r="S586" s="176"/>
      <c r="T586" s="145"/>
      <c r="U586" s="145"/>
    </row>
    <row r="587" spans="1:21">
      <c r="A587" s="177">
        <v>865</v>
      </c>
      <c r="B587" s="226" t="s">
        <v>89</v>
      </c>
      <c r="C587" s="226">
        <v>13</v>
      </c>
      <c r="D587" s="226">
        <v>2</v>
      </c>
      <c r="E587" s="226" t="s">
        <v>343</v>
      </c>
      <c r="F587" s="572">
        <v>114.67</v>
      </c>
      <c r="G587" s="226"/>
      <c r="H587" s="503">
        <v>57.094635009765625</v>
      </c>
      <c r="I587" s="557">
        <v>-1.84</v>
      </c>
      <c r="J587" s="456">
        <v>-0.89</v>
      </c>
      <c r="K587" s="790">
        <f t="shared" si="10"/>
        <v>20.589225000000003</v>
      </c>
      <c r="L587" s="229" t="s">
        <v>392</v>
      </c>
      <c r="M587" s="399" t="s">
        <v>74</v>
      </c>
      <c r="N587" s="183" t="s">
        <v>95</v>
      </c>
      <c r="O587" s="387" t="s">
        <v>35</v>
      </c>
      <c r="P587" s="388" t="s">
        <v>91</v>
      </c>
      <c r="Q587" s="504" t="s">
        <v>435</v>
      </c>
      <c r="R587" s="564" t="s">
        <v>400</v>
      </c>
      <c r="S587" s="176"/>
      <c r="T587" s="145"/>
      <c r="U587" s="145"/>
    </row>
    <row r="588" spans="1:21">
      <c r="A588" s="167">
        <v>865</v>
      </c>
      <c r="B588" s="196" t="s">
        <v>89</v>
      </c>
      <c r="C588" s="196">
        <v>9</v>
      </c>
      <c r="D588" s="156">
        <v>3</v>
      </c>
      <c r="E588" s="253" t="s">
        <v>574</v>
      </c>
      <c r="F588" s="335">
        <v>79.2</v>
      </c>
      <c r="G588" s="253"/>
      <c r="H588" s="96">
        <v>48.933750152587891</v>
      </c>
      <c r="I588" s="335">
        <v>-1.1599999999999999</v>
      </c>
      <c r="J588" s="449">
        <v>-0.89</v>
      </c>
      <c r="K588" s="789">
        <f t="shared" si="10"/>
        <v>17.359361000000003</v>
      </c>
      <c r="L588" s="395" t="s">
        <v>33</v>
      </c>
      <c r="M588" s="563" t="s">
        <v>74</v>
      </c>
      <c r="N588" s="69" t="s">
        <v>95</v>
      </c>
      <c r="O588" s="307" t="s">
        <v>35</v>
      </c>
      <c r="P588" s="314" t="s">
        <v>91</v>
      </c>
      <c r="Q588" s="501" t="s">
        <v>435</v>
      </c>
      <c r="R588" s="564" t="s">
        <v>400</v>
      </c>
      <c r="S588" s="176"/>
      <c r="T588" s="145"/>
      <c r="U588" s="145"/>
    </row>
    <row r="589" spans="1:21">
      <c r="A589" s="167">
        <v>865</v>
      </c>
      <c r="B589" s="196" t="s">
        <v>89</v>
      </c>
      <c r="C589" s="196">
        <v>9</v>
      </c>
      <c r="D589" s="156">
        <v>4</v>
      </c>
      <c r="E589" s="573" t="s">
        <v>360</v>
      </c>
      <c r="F589" s="335">
        <v>79.599999999999994</v>
      </c>
      <c r="G589" s="253" t="s">
        <v>21</v>
      </c>
      <c r="H589" s="96">
        <v>49.110000610351563</v>
      </c>
      <c r="I589" s="335">
        <v>-1.01</v>
      </c>
      <c r="J589" s="449">
        <v>-0.89</v>
      </c>
      <c r="K589" s="64">
        <f t="shared" si="10"/>
        <v>16.658096</v>
      </c>
      <c r="L589" s="395" t="s">
        <v>33</v>
      </c>
      <c r="M589" s="563" t="s">
        <v>74</v>
      </c>
      <c r="N589" s="69" t="s">
        <v>95</v>
      </c>
      <c r="O589" s="307" t="s">
        <v>35</v>
      </c>
      <c r="P589" s="314" t="s">
        <v>91</v>
      </c>
      <c r="Q589" s="501" t="s">
        <v>435</v>
      </c>
      <c r="R589" s="564" t="s">
        <v>400</v>
      </c>
      <c r="S589" s="176" t="s">
        <v>742</v>
      </c>
      <c r="T589" s="145"/>
      <c r="U589" s="145"/>
    </row>
    <row r="590" spans="1:21">
      <c r="A590" s="167">
        <v>865</v>
      </c>
      <c r="B590" s="196" t="s">
        <v>89</v>
      </c>
      <c r="C590" s="196">
        <v>9</v>
      </c>
      <c r="D590" s="156">
        <v>4</v>
      </c>
      <c r="E590" s="573" t="s">
        <v>101</v>
      </c>
      <c r="F590" s="335">
        <v>80.2</v>
      </c>
      <c r="G590" s="253" t="s">
        <v>21</v>
      </c>
      <c r="H590" s="96">
        <v>49.385398864746094</v>
      </c>
      <c r="I590" s="335">
        <v>-1.44</v>
      </c>
      <c r="J590" s="449">
        <v>-0.89</v>
      </c>
      <c r="K590" s="64">
        <f t="shared" si="10"/>
        <v>18.679225000000002</v>
      </c>
      <c r="L590" s="395" t="s">
        <v>33</v>
      </c>
      <c r="M590" s="563" t="s">
        <v>74</v>
      </c>
      <c r="N590" s="69" t="s">
        <v>95</v>
      </c>
      <c r="O590" s="307" t="s">
        <v>35</v>
      </c>
      <c r="P590" s="314" t="s">
        <v>91</v>
      </c>
      <c r="Q590" s="501" t="s">
        <v>435</v>
      </c>
      <c r="R590" s="564" t="s">
        <v>400</v>
      </c>
      <c r="S590" s="176" t="s">
        <v>742</v>
      </c>
      <c r="T590" s="145"/>
      <c r="U590" s="145"/>
    </row>
    <row r="591" spans="1:21">
      <c r="A591" s="167">
        <v>865</v>
      </c>
      <c r="B591" s="196" t="s">
        <v>89</v>
      </c>
      <c r="C591" s="196">
        <v>9</v>
      </c>
      <c r="D591" s="156">
        <v>4</v>
      </c>
      <c r="E591" s="573" t="s">
        <v>574</v>
      </c>
      <c r="F591" s="335">
        <v>80.7</v>
      </c>
      <c r="G591" s="253" t="s">
        <v>21</v>
      </c>
      <c r="H591" s="96">
        <v>49.614898681640625</v>
      </c>
      <c r="I591" s="335">
        <v>-1.41</v>
      </c>
      <c r="J591" s="449">
        <v>-0.89</v>
      </c>
      <c r="K591" s="64">
        <f t="shared" si="10"/>
        <v>18.537136000000004</v>
      </c>
      <c r="L591" s="395" t="s">
        <v>33</v>
      </c>
      <c r="M591" s="563" t="s">
        <v>74</v>
      </c>
      <c r="N591" s="69" t="s">
        <v>95</v>
      </c>
      <c r="O591" s="307" t="s">
        <v>35</v>
      </c>
      <c r="P591" s="314" t="s">
        <v>91</v>
      </c>
      <c r="Q591" s="501" t="s">
        <v>435</v>
      </c>
      <c r="R591" s="564" t="s">
        <v>400</v>
      </c>
      <c r="S591" s="176" t="s">
        <v>742</v>
      </c>
      <c r="T591" s="145"/>
      <c r="U591" s="145"/>
    </row>
    <row r="592" spans="1:21">
      <c r="A592" s="167">
        <v>865</v>
      </c>
      <c r="B592" s="196" t="s">
        <v>89</v>
      </c>
      <c r="C592" s="196">
        <v>9</v>
      </c>
      <c r="D592" s="156">
        <v>5</v>
      </c>
      <c r="E592" s="573" t="s">
        <v>103</v>
      </c>
      <c r="F592" s="335">
        <v>81.180000000000007</v>
      </c>
      <c r="G592" s="253" t="s">
        <v>21</v>
      </c>
      <c r="H592" s="96">
        <v>49.835220336914063</v>
      </c>
      <c r="I592" s="335">
        <v>-1.32</v>
      </c>
      <c r="J592" s="449">
        <v>-0.89</v>
      </c>
      <c r="K592" s="64">
        <f t="shared" si="10"/>
        <v>18.111841000000002</v>
      </c>
      <c r="L592" s="395" t="s">
        <v>33</v>
      </c>
      <c r="M592" s="563" t="s">
        <v>74</v>
      </c>
      <c r="N592" s="69" t="s">
        <v>95</v>
      </c>
      <c r="O592" s="307" t="s">
        <v>35</v>
      </c>
      <c r="P592" s="314" t="s">
        <v>91</v>
      </c>
      <c r="Q592" s="501" t="s">
        <v>435</v>
      </c>
      <c r="R592" s="564" t="s">
        <v>400</v>
      </c>
      <c r="S592" s="176" t="s">
        <v>742</v>
      </c>
      <c r="T592" s="145"/>
      <c r="U592" s="145"/>
    </row>
    <row r="593" spans="1:21">
      <c r="A593" s="167">
        <v>865</v>
      </c>
      <c r="B593" s="196" t="s">
        <v>89</v>
      </c>
      <c r="C593" s="196">
        <v>9</v>
      </c>
      <c r="D593" s="156">
        <v>5</v>
      </c>
      <c r="E593" s="573" t="s">
        <v>101</v>
      </c>
      <c r="F593" s="335">
        <v>81.7</v>
      </c>
      <c r="G593" s="253" t="s">
        <v>21</v>
      </c>
      <c r="H593" s="96">
        <v>50.073898315429688</v>
      </c>
      <c r="I593" s="335">
        <v>-0.99</v>
      </c>
      <c r="J593" s="449">
        <v>-0.89</v>
      </c>
      <c r="K593" s="64">
        <f t="shared" si="10"/>
        <v>16.564900000000002</v>
      </c>
      <c r="L593" s="395" t="s">
        <v>33</v>
      </c>
      <c r="M593" s="563" t="s">
        <v>74</v>
      </c>
      <c r="N593" s="69" t="s">
        <v>95</v>
      </c>
      <c r="O593" s="307" t="s">
        <v>35</v>
      </c>
      <c r="P593" s="314" t="s">
        <v>91</v>
      </c>
      <c r="Q593" s="501" t="s">
        <v>435</v>
      </c>
      <c r="R593" s="564" t="s">
        <v>400</v>
      </c>
      <c r="S593" s="176" t="s">
        <v>742</v>
      </c>
      <c r="T593" s="145"/>
      <c r="U593" s="145"/>
    </row>
    <row r="594" spans="1:21">
      <c r="A594" s="167">
        <v>865</v>
      </c>
      <c r="B594" s="196" t="s">
        <v>89</v>
      </c>
      <c r="C594" s="196">
        <v>9</v>
      </c>
      <c r="D594" s="156">
        <v>5</v>
      </c>
      <c r="E594" s="573" t="s">
        <v>101</v>
      </c>
      <c r="F594" s="335">
        <v>81.7</v>
      </c>
      <c r="G594" s="253" t="s">
        <v>21</v>
      </c>
      <c r="H594" s="96">
        <v>50.073898315429688</v>
      </c>
      <c r="I594" s="335">
        <v>-1.04</v>
      </c>
      <c r="J594" s="449">
        <v>-0.89</v>
      </c>
      <c r="K594" s="64">
        <f t="shared" si="10"/>
        <v>16.798025000000003</v>
      </c>
      <c r="L594" s="395" t="s">
        <v>33</v>
      </c>
      <c r="M594" s="563" t="s">
        <v>74</v>
      </c>
      <c r="N594" s="69" t="s">
        <v>95</v>
      </c>
      <c r="O594" s="307" t="s">
        <v>35</v>
      </c>
      <c r="P594" s="314" t="s">
        <v>91</v>
      </c>
      <c r="Q594" s="501" t="s">
        <v>435</v>
      </c>
      <c r="R594" s="564" t="s">
        <v>400</v>
      </c>
      <c r="S594" s="176" t="s">
        <v>742</v>
      </c>
      <c r="T594" s="145"/>
      <c r="U594" s="145"/>
    </row>
    <row r="595" spans="1:21">
      <c r="A595" s="167">
        <v>865</v>
      </c>
      <c r="B595" s="196" t="s">
        <v>89</v>
      </c>
      <c r="C595" s="196">
        <v>9</v>
      </c>
      <c r="D595" s="156">
        <v>5</v>
      </c>
      <c r="E595" s="573" t="s">
        <v>574</v>
      </c>
      <c r="F595" s="335">
        <v>82.2</v>
      </c>
      <c r="G595" s="253" t="s">
        <v>21</v>
      </c>
      <c r="H595" s="96">
        <v>50.303398132324219</v>
      </c>
      <c r="I595" s="335">
        <v>-1.06</v>
      </c>
      <c r="J595" s="449">
        <v>-0.89</v>
      </c>
      <c r="K595" s="64">
        <f t="shared" si="10"/>
        <v>16.891401000000002</v>
      </c>
      <c r="L595" s="395" t="s">
        <v>33</v>
      </c>
      <c r="M595" s="563" t="s">
        <v>74</v>
      </c>
      <c r="N595" s="69" t="s">
        <v>95</v>
      </c>
      <c r="O595" s="307" t="s">
        <v>35</v>
      </c>
      <c r="P595" s="314" t="s">
        <v>91</v>
      </c>
      <c r="Q595" s="501" t="s">
        <v>435</v>
      </c>
      <c r="R595" s="564" t="s">
        <v>400</v>
      </c>
      <c r="S595" s="176" t="s">
        <v>742</v>
      </c>
      <c r="T595" s="145"/>
      <c r="U595" s="145"/>
    </row>
    <row r="596" spans="1:21">
      <c r="A596" s="167">
        <v>865</v>
      </c>
      <c r="B596" s="196" t="s">
        <v>89</v>
      </c>
      <c r="C596" s="196">
        <v>9</v>
      </c>
      <c r="D596" s="156">
        <v>6</v>
      </c>
      <c r="E596" s="573" t="s">
        <v>575</v>
      </c>
      <c r="F596" s="335">
        <v>82.56</v>
      </c>
      <c r="G596" s="253" t="s">
        <v>21</v>
      </c>
      <c r="H596" s="96">
        <v>50.468639373779297</v>
      </c>
      <c r="I596" s="335">
        <v>-1.62</v>
      </c>
      <c r="J596" s="449">
        <v>-0.89</v>
      </c>
      <c r="K596" s="64">
        <f t="shared" si="10"/>
        <v>19.535161000000002</v>
      </c>
      <c r="L596" s="395" t="s">
        <v>33</v>
      </c>
      <c r="M596" s="563" t="s">
        <v>74</v>
      </c>
      <c r="N596" s="69" t="s">
        <v>95</v>
      </c>
      <c r="O596" s="307" t="s">
        <v>35</v>
      </c>
      <c r="P596" s="314" t="s">
        <v>91</v>
      </c>
      <c r="Q596" s="501" t="s">
        <v>435</v>
      </c>
      <c r="R596" s="564" t="s">
        <v>400</v>
      </c>
      <c r="S596" s="176" t="s">
        <v>742</v>
      </c>
      <c r="T596" s="145"/>
      <c r="U596" s="145"/>
    </row>
    <row r="597" spans="1:21">
      <c r="A597" s="167">
        <v>865</v>
      </c>
      <c r="B597" s="196" t="s">
        <v>89</v>
      </c>
      <c r="C597" s="196">
        <v>9</v>
      </c>
      <c r="D597" s="156">
        <v>6</v>
      </c>
      <c r="E597" s="573" t="s">
        <v>113</v>
      </c>
      <c r="F597" s="335">
        <v>82.7</v>
      </c>
      <c r="G597" s="253" t="s">
        <v>21</v>
      </c>
      <c r="H597" s="96">
        <v>50.53289794921875</v>
      </c>
      <c r="I597" s="335">
        <v>-1.23</v>
      </c>
      <c r="J597" s="449">
        <v>-0.89</v>
      </c>
      <c r="K597" s="64">
        <f t="shared" si="10"/>
        <v>17.688004000000003</v>
      </c>
      <c r="L597" s="395" t="s">
        <v>33</v>
      </c>
      <c r="M597" s="563" t="s">
        <v>74</v>
      </c>
      <c r="N597" s="69" t="s">
        <v>95</v>
      </c>
      <c r="O597" s="307" t="s">
        <v>35</v>
      </c>
      <c r="P597" s="314" t="s">
        <v>91</v>
      </c>
      <c r="Q597" s="501" t="s">
        <v>435</v>
      </c>
      <c r="R597" s="564" t="s">
        <v>400</v>
      </c>
      <c r="S597" s="176" t="s">
        <v>742</v>
      </c>
      <c r="T597" s="145"/>
      <c r="U597" s="145"/>
    </row>
    <row r="598" spans="1:21">
      <c r="A598" s="167">
        <v>865</v>
      </c>
      <c r="B598" s="196" t="s">
        <v>89</v>
      </c>
      <c r="C598" s="196">
        <v>9</v>
      </c>
      <c r="D598" s="156">
        <v>6</v>
      </c>
      <c r="E598" s="573" t="s">
        <v>101</v>
      </c>
      <c r="F598" s="335">
        <v>83.2</v>
      </c>
      <c r="G598" s="253" t="s">
        <v>21</v>
      </c>
      <c r="H598" s="96">
        <v>50.762397766113281</v>
      </c>
      <c r="I598" s="335">
        <v>-1.79</v>
      </c>
      <c r="J598" s="449">
        <v>-0.89</v>
      </c>
      <c r="K598" s="64">
        <f t="shared" si="10"/>
        <v>20.348900000000004</v>
      </c>
      <c r="L598" s="395" t="s">
        <v>33</v>
      </c>
      <c r="M598" s="563" t="s">
        <v>74</v>
      </c>
      <c r="N598" s="69" t="s">
        <v>95</v>
      </c>
      <c r="O598" s="307" t="s">
        <v>35</v>
      </c>
      <c r="P598" s="314" t="s">
        <v>91</v>
      </c>
      <c r="Q598" s="501" t="s">
        <v>435</v>
      </c>
      <c r="R598" s="564" t="s">
        <v>400</v>
      </c>
      <c r="S598" s="176" t="s">
        <v>742</v>
      </c>
      <c r="T598" s="145"/>
      <c r="U598" s="145"/>
    </row>
    <row r="599" spans="1:21">
      <c r="A599" s="167">
        <v>866</v>
      </c>
      <c r="B599" s="196" t="s">
        <v>89</v>
      </c>
      <c r="C599" s="196">
        <v>10</v>
      </c>
      <c r="D599" s="156">
        <v>1</v>
      </c>
      <c r="E599" s="573" t="s">
        <v>206</v>
      </c>
      <c r="F599" s="335">
        <v>84.54</v>
      </c>
      <c r="G599" s="253" t="s">
        <v>21</v>
      </c>
      <c r="H599" s="96">
        <v>51.377460479736328</v>
      </c>
      <c r="I599" s="335">
        <v>-2.09</v>
      </c>
      <c r="J599" s="449">
        <v>-0.89</v>
      </c>
      <c r="K599" s="64">
        <f t="shared" si="10"/>
        <v>21.797599999999999</v>
      </c>
      <c r="L599" s="395" t="s">
        <v>33</v>
      </c>
      <c r="M599" s="563" t="s">
        <v>74</v>
      </c>
      <c r="N599" s="69" t="s">
        <v>95</v>
      </c>
      <c r="O599" s="307" t="s">
        <v>35</v>
      </c>
      <c r="P599" s="314" t="s">
        <v>91</v>
      </c>
      <c r="Q599" s="501" t="s">
        <v>435</v>
      </c>
      <c r="R599" s="564" t="s">
        <v>400</v>
      </c>
      <c r="S599" s="176" t="s">
        <v>742</v>
      </c>
      <c r="T599" s="145"/>
      <c r="U599" s="145"/>
    </row>
    <row r="600" spans="1:21">
      <c r="A600" s="167">
        <v>865.8</v>
      </c>
      <c r="B600" s="196" t="s">
        <v>89</v>
      </c>
      <c r="C600" s="196">
        <v>10</v>
      </c>
      <c r="D600" s="196">
        <v>1</v>
      </c>
      <c r="E600" s="573" t="s">
        <v>352</v>
      </c>
      <c r="F600" s="335">
        <v>85.33</v>
      </c>
      <c r="G600" s="253" t="s">
        <v>21</v>
      </c>
      <c r="H600" s="96">
        <v>51.740070343017578</v>
      </c>
      <c r="I600" s="335">
        <v>-1.96</v>
      </c>
      <c r="J600" s="449">
        <v>-0.89</v>
      </c>
      <c r="K600" s="64">
        <f t="shared" si="10"/>
        <v>21.167840999999999</v>
      </c>
      <c r="L600" s="395" t="s">
        <v>33</v>
      </c>
      <c r="M600" s="563" t="s">
        <v>74</v>
      </c>
      <c r="N600" s="69" t="s">
        <v>95</v>
      </c>
      <c r="O600" s="307" t="s">
        <v>35</v>
      </c>
      <c r="P600" s="314" t="s">
        <v>91</v>
      </c>
      <c r="Q600" s="501" t="s">
        <v>435</v>
      </c>
      <c r="R600" s="564" t="s">
        <v>400</v>
      </c>
      <c r="S600" s="176" t="s">
        <v>742</v>
      </c>
      <c r="T600" s="145"/>
      <c r="U600" s="145"/>
    </row>
    <row r="601" spans="1:21">
      <c r="A601" s="167">
        <v>866</v>
      </c>
      <c r="B601" s="196" t="s">
        <v>89</v>
      </c>
      <c r="C601" s="196">
        <v>10</v>
      </c>
      <c r="D601" s="196">
        <v>1</v>
      </c>
      <c r="E601" s="573" t="s">
        <v>574</v>
      </c>
      <c r="F601" s="335">
        <v>85.7</v>
      </c>
      <c r="G601" s="253" t="s">
        <v>21</v>
      </c>
      <c r="H601" s="96">
        <v>51.909900665283203</v>
      </c>
      <c r="I601" s="335">
        <v>-2.02</v>
      </c>
      <c r="J601" s="449">
        <v>-0.89</v>
      </c>
      <c r="K601" s="64">
        <f t="shared" si="10"/>
        <v>21.458120999999998</v>
      </c>
      <c r="L601" s="395" t="s">
        <v>33</v>
      </c>
      <c r="M601" s="563" t="s">
        <v>74</v>
      </c>
      <c r="N601" s="69" t="s">
        <v>95</v>
      </c>
      <c r="O601" s="307" t="s">
        <v>35</v>
      </c>
      <c r="P601" s="314" t="s">
        <v>91</v>
      </c>
      <c r="Q601" s="501" t="s">
        <v>435</v>
      </c>
      <c r="R601" s="564" t="s">
        <v>400</v>
      </c>
      <c r="S601" s="176" t="s">
        <v>742</v>
      </c>
      <c r="T601" s="145"/>
      <c r="U601" s="145"/>
    </row>
    <row r="602" spans="1:21">
      <c r="A602" s="167">
        <v>866.2</v>
      </c>
      <c r="B602" s="196" t="s">
        <v>89</v>
      </c>
      <c r="C602" s="196">
        <v>10</v>
      </c>
      <c r="D602" s="196">
        <v>2</v>
      </c>
      <c r="E602" s="573" t="s">
        <v>206</v>
      </c>
      <c r="F602" s="335">
        <v>86.04</v>
      </c>
      <c r="G602" s="253" t="s">
        <v>21</v>
      </c>
      <c r="H602" s="96">
        <v>52.065959930419922</v>
      </c>
      <c r="I602" s="335">
        <v>-1.93</v>
      </c>
      <c r="J602" s="449">
        <v>-0.89</v>
      </c>
      <c r="K602" s="64">
        <f t="shared" si="10"/>
        <v>21.022944000000003</v>
      </c>
      <c r="L602" s="395" t="s">
        <v>33</v>
      </c>
      <c r="M602" s="563" t="s">
        <v>74</v>
      </c>
      <c r="N602" s="69" t="s">
        <v>95</v>
      </c>
      <c r="O602" s="307" t="s">
        <v>35</v>
      </c>
      <c r="P602" s="314" t="s">
        <v>91</v>
      </c>
      <c r="Q602" s="501" t="s">
        <v>435</v>
      </c>
      <c r="R602" s="564" t="s">
        <v>400</v>
      </c>
      <c r="S602" s="176" t="s">
        <v>742</v>
      </c>
      <c r="T602" s="145"/>
      <c r="U602" s="145"/>
    </row>
    <row r="603" spans="1:21">
      <c r="A603" s="167">
        <v>866.4</v>
      </c>
      <c r="B603" s="196" t="s">
        <v>89</v>
      </c>
      <c r="C603" s="196">
        <v>10</v>
      </c>
      <c r="D603" s="196">
        <v>2</v>
      </c>
      <c r="E603" s="573" t="s">
        <v>109</v>
      </c>
      <c r="F603" s="335">
        <v>86.6</v>
      </c>
      <c r="G603" s="253" t="s">
        <v>21</v>
      </c>
      <c r="H603" s="96">
        <v>52.322998046875</v>
      </c>
      <c r="I603" s="335">
        <v>-2.08</v>
      </c>
      <c r="J603" s="449">
        <v>-0.89</v>
      </c>
      <c r="K603" s="64">
        <f t="shared" si="10"/>
        <v>21.749048999999999</v>
      </c>
      <c r="L603" s="395" t="s">
        <v>33</v>
      </c>
      <c r="M603" s="563" t="s">
        <v>74</v>
      </c>
      <c r="N603" s="69" t="s">
        <v>95</v>
      </c>
      <c r="O603" s="307" t="s">
        <v>35</v>
      </c>
      <c r="P603" s="314" t="s">
        <v>91</v>
      </c>
      <c r="Q603" s="501" t="s">
        <v>435</v>
      </c>
      <c r="R603" s="564" t="s">
        <v>400</v>
      </c>
      <c r="S603" s="176" t="s">
        <v>742</v>
      </c>
      <c r="T603" s="145"/>
      <c r="U603" s="145"/>
    </row>
    <row r="604" spans="1:21">
      <c r="A604" s="167">
        <v>866.6</v>
      </c>
      <c r="B604" s="196" t="s">
        <v>89</v>
      </c>
      <c r="C604" s="196">
        <v>10</v>
      </c>
      <c r="D604" s="196">
        <v>2</v>
      </c>
      <c r="E604" s="573" t="s">
        <v>580</v>
      </c>
      <c r="F604" s="335">
        <v>87.2</v>
      </c>
      <c r="G604" s="253" t="s">
        <v>21</v>
      </c>
      <c r="H604" s="96">
        <v>52.598400115966797</v>
      </c>
      <c r="I604" s="335">
        <v>-1.84</v>
      </c>
      <c r="J604" s="449">
        <v>-0.89</v>
      </c>
      <c r="K604" s="64">
        <f t="shared" si="10"/>
        <v>20.589225000000003</v>
      </c>
      <c r="L604" s="395" t="s">
        <v>33</v>
      </c>
      <c r="M604" s="563" t="s">
        <v>74</v>
      </c>
      <c r="N604" s="69" t="s">
        <v>95</v>
      </c>
      <c r="O604" s="307" t="s">
        <v>35</v>
      </c>
      <c r="P604" s="314" t="s">
        <v>91</v>
      </c>
      <c r="Q604" s="501" t="s">
        <v>435</v>
      </c>
      <c r="R604" s="564" t="s">
        <v>400</v>
      </c>
      <c r="S604" s="176" t="s">
        <v>742</v>
      </c>
      <c r="T604" s="145"/>
      <c r="U604" s="145"/>
    </row>
    <row r="605" spans="1:21">
      <c r="A605" s="167">
        <v>866.8</v>
      </c>
      <c r="B605" s="196" t="s">
        <v>89</v>
      </c>
      <c r="C605" s="196">
        <v>10</v>
      </c>
      <c r="D605" s="196">
        <v>3</v>
      </c>
      <c r="E605" s="573" t="s">
        <v>206</v>
      </c>
      <c r="F605" s="335">
        <v>87.54</v>
      </c>
      <c r="G605" s="253" t="s">
        <v>21</v>
      </c>
      <c r="H605" s="96">
        <v>52.754459381103516</v>
      </c>
      <c r="I605" s="335">
        <v>-2.0299999999999998</v>
      </c>
      <c r="J605" s="449">
        <v>-0.89</v>
      </c>
      <c r="K605" s="64">
        <f t="shared" si="10"/>
        <v>21.506564000000001</v>
      </c>
      <c r="L605" s="395" t="s">
        <v>33</v>
      </c>
      <c r="M605" s="563" t="s">
        <v>74</v>
      </c>
      <c r="N605" s="69" t="s">
        <v>95</v>
      </c>
      <c r="O605" s="307" t="s">
        <v>35</v>
      </c>
      <c r="P605" s="314" t="s">
        <v>91</v>
      </c>
      <c r="Q605" s="501" t="s">
        <v>435</v>
      </c>
      <c r="R605" s="564" t="s">
        <v>400</v>
      </c>
      <c r="S605" s="176" t="s">
        <v>742</v>
      </c>
      <c r="T605" s="145"/>
      <c r="U605" s="145"/>
    </row>
    <row r="606" spans="1:21">
      <c r="A606" s="167">
        <v>867</v>
      </c>
      <c r="B606" s="196" t="s">
        <v>89</v>
      </c>
      <c r="C606" s="196">
        <v>10</v>
      </c>
      <c r="D606" s="196">
        <v>3</v>
      </c>
      <c r="E606" s="573" t="s">
        <v>206</v>
      </c>
      <c r="F606" s="335">
        <v>87.54</v>
      </c>
      <c r="G606" s="253" t="s">
        <v>21</v>
      </c>
      <c r="H606" s="96">
        <v>52.754459381103516</v>
      </c>
      <c r="I606" s="335">
        <v>-2.29</v>
      </c>
      <c r="J606" s="449">
        <v>-0.89</v>
      </c>
      <c r="K606" s="64">
        <f t="shared" si="10"/>
        <v>22.772400000000001</v>
      </c>
      <c r="L606" s="395" t="s">
        <v>33</v>
      </c>
      <c r="M606" s="563" t="s">
        <v>74</v>
      </c>
      <c r="N606" s="69" t="s">
        <v>95</v>
      </c>
      <c r="O606" s="307" t="s">
        <v>35</v>
      </c>
      <c r="P606" s="314" t="s">
        <v>91</v>
      </c>
      <c r="Q606" s="501" t="s">
        <v>435</v>
      </c>
      <c r="R606" s="564" t="s">
        <v>400</v>
      </c>
      <c r="S606" s="176" t="s">
        <v>742</v>
      </c>
      <c r="T606" s="145"/>
      <c r="U606" s="145"/>
    </row>
    <row r="607" spans="1:21">
      <c r="A607" s="167">
        <v>867.2</v>
      </c>
      <c r="B607" s="196" t="s">
        <v>89</v>
      </c>
      <c r="C607" s="196">
        <v>10</v>
      </c>
      <c r="D607" s="196">
        <v>3</v>
      </c>
      <c r="E607" s="573" t="s">
        <v>109</v>
      </c>
      <c r="F607" s="335">
        <v>88.1</v>
      </c>
      <c r="G607" s="253" t="s">
        <v>21</v>
      </c>
      <c r="H607" s="96">
        <v>53.011501312255859</v>
      </c>
      <c r="I607" s="335">
        <v>-1.82</v>
      </c>
      <c r="J607" s="449">
        <v>-0.89</v>
      </c>
      <c r="K607" s="64">
        <f t="shared" si="10"/>
        <v>20.493041000000002</v>
      </c>
      <c r="L607" s="395" t="s">
        <v>33</v>
      </c>
      <c r="M607" s="563" t="s">
        <v>74</v>
      </c>
      <c r="N607" s="69" t="s">
        <v>95</v>
      </c>
      <c r="O607" s="307" t="s">
        <v>35</v>
      </c>
      <c r="P607" s="314" t="s">
        <v>91</v>
      </c>
      <c r="Q607" s="501" t="s">
        <v>435</v>
      </c>
      <c r="R607" s="564" t="s">
        <v>400</v>
      </c>
      <c r="S607" s="176" t="s">
        <v>742</v>
      </c>
      <c r="T607" s="145"/>
      <c r="U607" s="145"/>
    </row>
    <row r="608" spans="1:21">
      <c r="A608" s="167">
        <v>867.4</v>
      </c>
      <c r="B608" s="196" t="s">
        <v>89</v>
      </c>
      <c r="C608" s="196">
        <v>10</v>
      </c>
      <c r="D608" s="196">
        <v>3</v>
      </c>
      <c r="E608" s="573" t="s">
        <v>574</v>
      </c>
      <c r="F608" s="335">
        <v>88.7</v>
      </c>
      <c r="G608" s="253" t="s">
        <v>21</v>
      </c>
      <c r="H608" s="96">
        <v>53.286899566650391</v>
      </c>
      <c r="I608" s="335">
        <v>-1.87</v>
      </c>
      <c r="J608" s="449">
        <v>-0.89</v>
      </c>
      <c r="K608" s="64">
        <f t="shared" si="10"/>
        <v>20.733636000000001</v>
      </c>
      <c r="L608" s="395" t="s">
        <v>33</v>
      </c>
      <c r="M608" s="563" t="s">
        <v>74</v>
      </c>
      <c r="N608" s="69" t="s">
        <v>95</v>
      </c>
      <c r="O608" s="307" t="s">
        <v>35</v>
      </c>
      <c r="P608" s="314" t="s">
        <v>91</v>
      </c>
      <c r="Q608" s="501" t="s">
        <v>435</v>
      </c>
      <c r="R608" s="564" t="s">
        <v>400</v>
      </c>
      <c r="S608" s="176" t="s">
        <v>742</v>
      </c>
      <c r="T608" s="145"/>
      <c r="U608" s="145"/>
    </row>
    <row r="609" spans="1:21">
      <c r="A609" s="167">
        <v>867.6</v>
      </c>
      <c r="B609" s="196" t="s">
        <v>89</v>
      </c>
      <c r="C609" s="196">
        <v>10</v>
      </c>
      <c r="D609" s="196">
        <v>4</v>
      </c>
      <c r="E609" s="573" t="s">
        <v>206</v>
      </c>
      <c r="F609" s="335">
        <v>89.04</v>
      </c>
      <c r="G609" s="253" t="s">
        <v>21</v>
      </c>
      <c r="H609" s="96">
        <v>53.442962646484375</v>
      </c>
      <c r="I609" s="335">
        <v>-1.94</v>
      </c>
      <c r="J609" s="449">
        <v>-0.89</v>
      </c>
      <c r="K609" s="64">
        <f t="shared" si="10"/>
        <v>21.071225000000002</v>
      </c>
      <c r="L609" s="395" t="s">
        <v>33</v>
      </c>
      <c r="M609" s="563" t="s">
        <v>74</v>
      </c>
      <c r="N609" s="69" t="s">
        <v>95</v>
      </c>
      <c r="O609" s="307" t="s">
        <v>35</v>
      </c>
      <c r="P609" s="314" t="s">
        <v>91</v>
      </c>
      <c r="Q609" s="501" t="s">
        <v>435</v>
      </c>
      <c r="R609" s="564" t="s">
        <v>400</v>
      </c>
      <c r="S609" s="176" t="s">
        <v>742</v>
      </c>
      <c r="T609" s="145"/>
      <c r="U609" s="145"/>
    </row>
    <row r="610" spans="1:21">
      <c r="A610" s="167">
        <v>867.8</v>
      </c>
      <c r="B610" s="196" t="s">
        <v>89</v>
      </c>
      <c r="C610" s="196">
        <v>10</v>
      </c>
      <c r="D610" s="196">
        <v>4</v>
      </c>
      <c r="E610" s="573" t="s">
        <v>109</v>
      </c>
      <c r="F610" s="335">
        <v>89.6</v>
      </c>
      <c r="G610" s="253" t="s">
        <v>21</v>
      </c>
      <c r="H610" s="96">
        <v>53.700000762939453</v>
      </c>
      <c r="I610" s="335">
        <v>-1.94</v>
      </c>
      <c r="J610" s="449">
        <v>-0.89</v>
      </c>
      <c r="K610" s="64">
        <f t="shared" si="10"/>
        <v>21.071225000000002</v>
      </c>
      <c r="L610" s="395" t="s">
        <v>33</v>
      </c>
      <c r="M610" s="563" t="s">
        <v>74</v>
      </c>
      <c r="N610" s="69" t="s">
        <v>95</v>
      </c>
      <c r="O610" s="307" t="s">
        <v>35</v>
      </c>
      <c r="P610" s="314" t="s">
        <v>91</v>
      </c>
      <c r="Q610" s="501" t="s">
        <v>435</v>
      </c>
      <c r="R610" s="564" t="s">
        <v>400</v>
      </c>
      <c r="S610" s="176" t="s">
        <v>742</v>
      </c>
      <c r="T610" s="145"/>
      <c r="U610" s="145"/>
    </row>
    <row r="611" spans="1:21">
      <c r="A611" s="167">
        <v>868</v>
      </c>
      <c r="B611" s="196" t="s">
        <v>89</v>
      </c>
      <c r="C611" s="196">
        <v>10</v>
      </c>
      <c r="D611" s="196">
        <v>4</v>
      </c>
      <c r="E611" s="573" t="s">
        <v>574</v>
      </c>
      <c r="F611" s="335">
        <v>90.2</v>
      </c>
      <c r="G611" s="253"/>
      <c r="H611" s="96">
        <v>54</v>
      </c>
      <c r="I611" s="335">
        <v>-1.96</v>
      </c>
      <c r="J611" s="449">
        <v>-0.89</v>
      </c>
      <c r="K611" s="789">
        <f t="shared" si="10"/>
        <v>21.167840999999999</v>
      </c>
      <c r="L611" s="395" t="s">
        <v>33</v>
      </c>
      <c r="M611" s="563" t="s">
        <v>74</v>
      </c>
      <c r="N611" s="69" t="s">
        <v>95</v>
      </c>
      <c r="O611" s="307" t="s">
        <v>35</v>
      </c>
      <c r="P611" s="314" t="s">
        <v>91</v>
      </c>
      <c r="Q611" s="501" t="s">
        <v>435</v>
      </c>
      <c r="R611" s="564" t="s">
        <v>400</v>
      </c>
      <c r="S611" s="176"/>
      <c r="T611" s="145"/>
      <c r="U611" s="145"/>
    </row>
    <row r="612" spans="1:21">
      <c r="A612" s="167">
        <v>868.2</v>
      </c>
      <c r="B612" s="196" t="s">
        <v>89</v>
      </c>
      <c r="C612" s="196">
        <v>10</v>
      </c>
      <c r="D612" s="196">
        <v>5</v>
      </c>
      <c r="E612" s="573" t="s">
        <v>206</v>
      </c>
      <c r="F612" s="335">
        <v>90.54</v>
      </c>
      <c r="G612" s="253"/>
      <c r="H612" s="96">
        <v>54.170001983642578</v>
      </c>
      <c r="I612" s="335">
        <v>-1.9</v>
      </c>
      <c r="J612" s="449">
        <v>-0.89</v>
      </c>
      <c r="K612" s="789">
        <f t="shared" si="10"/>
        <v>20.878209000000002</v>
      </c>
      <c r="L612" s="395" t="s">
        <v>33</v>
      </c>
      <c r="M612" s="563" t="s">
        <v>74</v>
      </c>
      <c r="N612" s="69" t="s">
        <v>95</v>
      </c>
      <c r="O612" s="307" t="s">
        <v>35</v>
      </c>
      <c r="P612" s="314" t="s">
        <v>91</v>
      </c>
      <c r="Q612" s="501" t="s">
        <v>435</v>
      </c>
      <c r="R612" s="564" t="s">
        <v>400</v>
      </c>
      <c r="S612" s="176"/>
      <c r="T612" s="145"/>
      <c r="U612" s="145"/>
    </row>
    <row r="613" spans="1:21">
      <c r="A613" s="167">
        <v>868.4</v>
      </c>
      <c r="B613" s="196" t="s">
        <v>89</v>
      </c>
      <c r="C613" s="196">
        <v>10</v>
      </c>
      <c r="D613" s="196">
        <v>5</v>
      </c>
      <c r="E613" s="573" t="s">
        <v>109</v>
      </c>
      <c r="F613" s="335">
        <v>91.1</v>
      </c>
      <c r="G613" s="253"/>
      <c r="H613" s="96">
        <v>54.225673675537109</v>
      </c>
      <c r="I613" s="335">
        <v>-1.87</v>
      </c>
      <c r="J613" s="449">
        <v>-0.89</v>
      </c>
      <c r="K613" s="789">
        <f t="shared" si="10"/>
        <v>20.733636000000001</v>
      </c>
      <c r="L613" s="395" t="s">
        <v>33</v>
      </c>
      <c r="M613" s="563" t="s">
        <v>74</v>
      </c>
      <c r="N613" s="69" t="s">
        <v>95</v>
      </c>
      <c r="O613" s="307" t="s">
        <v>35</v>
      </c>
      <c r="P613" s="314" t="s">
        <v>91</v>
      </c>
      <c r="Q613" s="501" t="s">
        <v>435</v>
      </c>
      <c r="R613" s="564" t="s">
        <v>400</v>
      </c>
      <c r="S613" s="176"/>
      <c r="T613" s="145"/>
      <c r="U613" s="145"/>
    </row>
    <row r="614" spans="1:21">
      <c r="A614" s="167">
        <v>868.6</v>
      </c>
      <c r="B614" s="196" t="s">
        <v>89</v>
      </c>
      <c r="C614" s="196">
        <v>10</v>
      </c>
      <c r="D614" s="196">
        <v>5</v>
      </c>
      <c r="E614" s="573" t="s">
        <v>577</v>
      </c>
      <c r="F614" s="335">
        <v>91.61</v>
      </c>
      <c r="G614" s="253"/>
      <c r="H614" s="96">
        <v>54.276378631591797</v>
      </c>
      <c r="I614" s="335">
        <v>-2.0299999999999998</v>
      </c>
      <c r="J614" s="449">
        <v>-0.89</v>
      </c>
      <c r="K614" s="789">
        <f t="shared" si="10"/>
        <v>21.506564000000001</v>
      </c>
      <c r="L614" s="395" t="s">
        <v>33</v>
      </c>
      <c r="M614" s="563" t="s">
        <v>74</v>
      </c>
      <c r="N614" s="69" t="s">
        <v>95</v>
      </c>
      <c r="O614" s="307" t="s">
        <v>35</v>
      </c>
      <c r="P614" s="314" t="s">
        <v>91</v>
      </c>
      <c r="Q614" s="501" t="s">
        <v>435</v>
      </c>
      <c r="R614" s="564" t="s">
        <v>400</v>
      </c>
      <c r="S614" s="176"/>
      <c r="T614" s="145"/>
      <c r="U614" s="145"/>
    </row>
    <row r="615" spans="1:21">
      <c r="A615" s="167">
        <v>868.8</v>
      </c>
      <c r="B615" s="196" t="s">
        <v>89</v>
      </c>
      <c r="C615" s="196">
        <v>11</v>
      </c>
      <c r="D615" s="196">
        <v>1</v>
      </c>
      <c r="E615" s="573" t="s">
        <v>113</v>
      </c>
      <c r="F615" s="335">
        <v>94.2</v>
      </c>
      <c r="G615" s="253"/>
      <c r="H615" s="96">
        <v>54.533878326416016</v>
      </c>
      <c r="I615" s="335">
        <v>-2.14</v>
      </c>
      <c r="J615" s="449">
        <v>-0.89</v>
      </c>
      <c r="K615" s="789">
        <f t="shared" si="10"/>
        <v>22.040625000000002</v>
      </c>
      <c r="L615" s="395" t="s">
        <v>33</v>
      </c>
      <c r="M615" s="563" t="s">
        <v>74</v>
      </c>
      <c r="N615" s="69" t="s">
        <v>95</v>
      </c>
      <c r="O615" s="307" t="s">
        <v>35</v>
      </c>
      <c r="P615" s="314" t="s">
        <v>91</v>
      </c>
      <c r="Q615" s="501" t="s">
        <v>435</v>
      </c>
      <c r="R615" s="564" t="s">
        <v>400</v>
      </c>
      <c r="S615" s="176"/>
      <c r="T615" s="145"/>
      <c r="U615" s="145"/>
    </row>
    <row r="616" spans="1:21">
      <c r="A616" s="167">
        <v>869</v>
      </c>
      <c r="B616" s="196" t="s">
        <v>89</v>
      </c>
      <c r="C616" s="196">
        <v>11</v>
      </c>
      <c r="D616" s="196">
        <v>1</v>
      </c>
      <c r="E616" s="573" t="s">
        <v>576</v>
      </c>
      <c r="F616" s="335">
        <v>94.85</v>
      </c>
      <c r="G616" s="253"/>
      <c r="H616" s="96">
        <v>54.598503112792969</v>
      </c>
      <c r="I616" s="335">
        <v>-2.0099999999999998</v>
      </c>
      <c r="J616" s="449">
        <v>-0.89</v>
      </c>
      <c r="K616" s="789">
        <f t="shared" si="10"/>
        <v>21.409695999999997</v>
      </c>
      <c r="L616" s="395" t="s">
        <v>33</v>
      </c>
      <c r="M616" s="563" t="s">
        <v>74</v>
      </c>
      <c r="N616" s="69" t="s">
        <v>95</v>
      </c>
      <c r="O616" s="307" t="s">
        <v>35</v>
      </c>
      <c r="P616" s="314" t="s">
        <v>91</v>
      </c>
      <c r="Q616" s="501" t="s">
        <v>435</v>
      </c>
      <c r="R616" s="564" t="s">
        <v>400</v>
      </c>
      <c r="S616" s="176"/>
      <c r="T616" s="145"/>
      <c r="U616" s="145"/>
    </row>
    <row r="617" spans="1:21">
      <c r="A617" s="167">
        <v>869.2</v>
      </c>
      <c r="B617" s="196" t="s">
        <v>89</v>
      </c>
      <c r="C617" s="196">
        <v>11</v>
      </c>
      <c r="D617" s="196">
        <v>1</v>
      </c>
      <c r="E617" s="573" t="s">
        <v>574</v>
      </c>
      <c r="F617" s="335">
        <v>95.2</v>
      </c>
      <c r="G617" s="253"/>
      <c r="H617" s="96">
        <v>54.63330078125</v>
      </c>
      <c r="I617" s="335">
        <v>-2.06</v>
      </c>
      <c r="J617" s="449">
        <v>-0.89</v>
      </c>
      <c r="K617" s="789">
        <f t="shared" si="10"/>
        <v>21.652001000000002</v>
      </c>
      <c r="L617" s="395" t="s">
        <v>33</v>
      </c>
      <c r="M617" s="563" t="s">
        <v>74</v>
      </c>
      <c r="N617" s="69" t="s">
        <v>95</v>
      </c>
      <c r="O617" s="307" t="s">
        <v>35</v>
      </c>
      <c r="P617" s="314" t="s">
        <v>91</v>
      </c>
      <c r="Q617" s="501" t="s">
        <v>435</v>
      </c>
      <c r="R617" s="564" t="s">
        <v>400</v>
      </c>
      <c r="S617" s="176"/>
      <c r="T617" s="145"/>
      <c r="U617" s="145"/>
    </row>
    <row r="618" spans="1:21">
      <c r="A618" s="167">
        <v>869.4</v>
      </c>
      <c r="B618" s="196" t="s">
        <v>89</v>
      </c>
      <c r="C618" s="196">
        <v>11</v>
      </c>
      <c r="D618" s="156">
        <v>2</v>
      </c>
      <c r="E618" s="253" t="s">
        <v>113</v>
      </c>
      <c r="F618" s="335">
        <v>95.7</v>
      </c>
      <c r="G618" s="253"/>
      <c r="H618" s="96">
        <v>54.683010101318359</v>
      </c>
      <c r="I618" s="335">
        <v>-2.0699999999999998</v>
      </c>
      <c r="J618" s="449">
        <v>-0.89</v>
      </c>
      <c r="K618" s="789">
        <f t="shared" si="10"/>
        <v>21.700516</v>
      </c>
      <c r="L618" s="395" t="s">
        <v>33</v>
      </c>
      <c r="M618" s="563" t="s">
        <v>74</v>
      </c>
      <c r="N618" s="69" t="s">
        <v>95</v>
      </c>
      <c r="O618" s="307" t="s">
        <v>35</v>
      </c>
      <c r="P618" s="314" t="s">
        <v>91</v>
      </c>
      <c r="Q618" s="501" t="s">
        <v>435</v>
      </c>
      <c r="R618" s="564" t="s">
        <v>400</v>
      </c>
      <c r="S618" s="176"/>
      <c r="T618" s="145"/>
      <c r="U618" s="145"/>
    </row>
    <row r="619" spans="1:21">
      <c r="A619" s="167">
        <v>869.6</v>
      </c>
      <c r="B619" s="196" t="s">
        <v>89</v>
      </c>
      <c r="C619" s="196">
        <v>11</v>
      </c>
      <c r="D619" s="156">
        <v>2</v>
      </c>
      <c r="E619" s="253" t="s">
        <v>576</v>
      </c>
      <c r="F619" s="335">
        <v>96.35</v>
      </c>
      <c r="G619" s="253"/>
      <c r="H619" s="96">
        <v>54.747634887695313</v>
      </c>
      <c r="I619" s="335">
        <v>-2.23</v>
      </c>
      <c r="J619" s="449">
        <v>-0.89</v>
      </c>
      <c r="K619" s="789">
        <f t="shared" si="10"/>
        <v>22.479203999999999</v>
      </c>
      <c r="L619" s="395" t="s">
        <v>33</v>
      </c>
      <c r="M619" s="563" t="s">
        <v>74</v>
      </c>
      <c r="N619" s="69" t="s">
        <v>95</v>
      </c>
      <c r="O619" s="307" t="s">
        <v>35</v>
      </c>
      <c r="P619" s="314" t="s">
        <v>91</v>
      </c>
      <c r="Q619" s="501" t="s">
        <v>435</v>
      </c>
      <c r="R619" s="564" t="s">
        <v>400</v>
      </c>
      <c r="S619" s="176"/>
      <c r="T619" s="145"/>
      <c r="U619" s="145"/>
    </row>
    <row r="620" spans="1:21">
      <c r="A620" s="167">
        <v>869.8</v>
      </c>
      <c r="B620" s="196" t="s">
        <v>89</v>
      </c>
      <c r="C620" s="196">
        <v>11</v>
      </c>
      <c r="D620" s="156">
        <v>2</v>
      </c>
      <c r="E620" s="253" t="s">
        <v>576</v>
      </c>
      <c r="F620" s="335">
        <v>96.35</v>
      </c>
      <c r="G620" s="253"/>
      <c r="H620" s="96">
        <v>54.747634887695313</v>
      </c>
      <c r="I620" s="335">
        <v>-2.15</v>
      </c>
      <c r="J620" s="449">
        <v>-0.89</v>
      </c>
      <c r="K620" s="789">
        <f t="shared" si="10"/>
        <v>22.089283999999999</v>
      </c>
      <c r="L620" s="395" t="s">
        <v>33</v>
      </c>
      <c r="M620" s="563" t="s">
        <v>74</v>
      </c>
      <c r="N620" s="69" t="s">
        <v>95</v>
      </c>
      <c r="O620" s="307" t="s">
        <v>35</v>
      </c>
      <c r="P620" s="314" t="s">
        <v>91</v>
      </c>
      <c r="Q620" s="501" t="s">
        <v>435</v>
      </c>
      <c r="R620" s="564" t="s">
        <v>400</v>
      </c>
      <c r="S620" s="176"/>
      <c r="T620" s="145"/>
      <c r="U620" s="145"/>
    </row>
    <row r="621" spans="1:21">
      <c r="A621" s="167">
        <v>870</v>
      </c>
      <c r="B621" s="196" t="s">
        <v>89</v>
      </c>
      <c r="C621" s="196">
        <v>11</v>
      </c>
      <c r="D621" s="196">
        <v>2</v>
      </c>
      <c r="E621" s="573" t="s">
        <v>574</v>
      </c>
      <c r="F621" s="335">
        <v>96.7</v>
      </c>
      <c r="G621" s="253"/>
      <c r="H621" s="96">
        <v>54.782432556152344</v>
      </c>
      <c r="I621" s="335">
        <v>-2.13</v>
      </c>
      <c r="J621" s="449">
        <v>-0.89</v>
      </c>
      <c r="K621" s="789">
        <f t="shared" si="10"/>
        <v>21.991983999999999</v>
      </c>
      <c r="L621" s="395" t="s">
        <v>33</v>
      </c>
      <c r="M621" s="563" t="s">
        <v>74</v>
      </c>
      <c r="N621" s="69" t="s">
        <v>95</v>
      </c>
      <c r="O621" s="307" t="s">
        <v>35</v>
      </c>
      <c r="P621" s="314" t="s">
        <v>91</v>
      </c>
      <c r="Q621" s="501" t="s">
        <v>435</v>
      </c>
      <c r="R621" s="564" t="s">
        <v>400</v>
      </c>
      <c r="S621" s="176"/>
      <c r="T621" s="145"/>
      <c r="U621" s="145"/>
    </row>
    <row r="622" spans="1:21">
      <c r="A622" s="167">
        <v>870.2</v>
      </c>
      <c r="B622" s="196" t="s">
        <v>89</v>
      </c>
      <c r="C622" s="196">
        <v>11</v>
      </c>
      <c r="D622" s="196">
        <v>3</v>
      </c>
      <c r="E622" s="573" t="s">
        <v>113</v>
      </c>
      <c r="F622" s="335">
        <v>97.2</v>
      </c>
      <c r="G622" s="253"/>
      <c r="H622" s="96">
        <v>54.832141876220703</v>
      </c>
      <c r="I622" s="335">
        <v>-2.14</v>
      </c>
      <c r="J622" s="449">
        <v>-0.89</v>
      </c>
      <c r="K622" s="789">
        <f t="shared" si="10"/>
        <v>22.040625000000002</v>
      </c>
      <c r="L622" s="395" t="s">
        <v>33</v>
      </c>
      <c r="M622" s="563" t="s">
        <v>74</v>
      </c>
      <c r="N622" s="69" t="s">
        <v>95</v>
      </c>
      <c r="O622" s="307" t="s">
        <v>35</v>
      </c>
      <c r="P622" s="314" t="s">
        <v>91</v>
      </c>
      <c r="Q622" s="501" t="s">
        <v>435</v>
      </c>
      <c r="R622" s="564" t="s">
        <v>400</v>
      </c>
      <c r="S622" s="176"/>
      <c r="T622" s="145"/>
      <c r="U622" s="145"/>
    </row>
    <row r="623" spans="1:21">
      <c r="A623" s="167">
        <v>870.4</v>
      </c>
      <c r="B623" s="196" t="s">
        <v>89</v>
      </c>
      <c r="C623" s="196">
        <v>11</v>
      </c>
      <c r="D623" s="196">
        <v>3</v>
      </c>
      <c r="E623" s="573" t="s">
        <v>576</v>
      </c>
      <c r="F623" s="335">
        <v>97.85</v>
      </c>
      <c r="G623" s="253"/>
      <c r="H623" s="96">
        <v>54.896766662597656</v>
      </c>
      <c r="I623" s="335">
        <v>-2.21</v>
      </c>
      <c r="J623" s="449">
        <v>-0.89</v>
      </c>
      <c r="K623" s="789">
        <f t="shared" si="10"/>
        <v>22.381616000000001</v>
      </c>
      <c r="L623" s="395" t="s">
        <v>33</v>
      </c>
      <c r="M623" s="563" t="s">
        <v>74</v>
      </c>
      <c r="N623" s="69" t="s">
        <v>95</v>
      </c>
      <c r="O623" s="307" t="s">
        <v>35</v>
      </c>
      <c r="P623" s="314" t="s">
        <v>91</v>
      </c>
      <c r="Q623" s="501" t="s">
        <v>435</v>
      </c>
      <c r="R623" s="564" t="s">
        <v>400</v>
      </c>
      <c r="S623" s="176"/>
      <c r="T623" s="145"/>
      <c r="U623" s="145"/>
    </row>
    <row r="624" spans="1:21">
      <c r="A624" s="167">
        <v>870.6</v>
      </c>
      <c r="B624" s="196" t="s">
        <v>89</v>
      </c>
      <c r="C624" s="196">
        <v>11</v>
      </c>
      <c r="D624" s="196">
        <v>3</v>
      </c>
      <c r="E624" s="573" t="s">
        <v>574</v>
      </c>
      <c r="F624" s="335">
        <v>98.2</v>
      </c>
      <c r="G624" s="253"/>
      <c r="H624" s="96">
        <v>54.931564331054688</v>
      </c>
      <c r="I624" s="335">
        <v>-2.2599999999999998</v>
      </c>
      <c r="J624" s="449">
        <v>-0.89</v>
      </c>
      <c r="K624" s="789">
        <f t="shared" si="10"/>
        <v>22.625721000000002</v>
      </c>
      <c r="L624" s="395" t="s">
        <v>33</v>
      </c>
      <c r="M624" s="563" t="s">
        <v>74</v>
      </c>
      <c r="N624" s="69" t="s">
        <v>95</v>
      </c>
      <c r="O624" s="307" t="s">
        <v>35</v>
      </c>
      <c r="P624" s="314" t="s">
        <v>91</v>
      </c>
      <c r="Q624" s="501" t="s">
        <v>435</v>
      </c>
      <c r="R624" s="564" t="s">
        <v>400</v>
      </c>
      <c r="S624" s="176"/>
      <c r="T624" s="145"/>
      <c r="U624" s="145"/>
    </row>
    <row r="625" spans="1:21">
      <c r="A625" s="167">
        <v>870.8</v>
      </c>
      <c r="B625" s="196" t="s">
        <v>89</v>
      </c>
      <c r="C625" s="196">
        <v>11</v>
      </c>
      <c r="D625" s="196">
        <v>4</v>
      </c>
      <c r="E625" s="573" t="s">
        <v>113</v>
      </c>
      <c r="F625" s="335">
        <v>98.7</v>
      </c>
      <c r="G625" s="253"/>
      <c r="H625" s="96">
        <v>54.981273651123047</v>
      </c>
      <c r="I625" s="335">
        <v>-2.12</v>
      </c>
      <c r="J625" s="449">
        <v>-0.89</v>
      </c>
      <c r="K625" s="789">
        <f t="shared" si="10"/>
        <v>21.943361000000003</v>
      </c>
      <c r="L625" s="395" t="s">
        <v>33</v>
      </c>
      <c r="M625" s="563" t="s">
        <v>74</v>
      </c>
      <c r="N625" s="69" t="s">
        <v>95</v>
      </c>
      <c r="O625" s="307" t="s">
        <v>35</v>
      </c>
      <c r="P625" s="314" t="s">
        <v>91</v>
      </c>
      <c r="Q625" s="501" t="s">
        <v>435</v>
      </c>
      <c r="R625" s="564" t="s">
        <v>400</v>
      </c>
      <c r="S625" s="176"/>
      <c r="T625" s="145"/>
      <c r="U625" s="145"/>
    </row>
    <row r="626" spans="1:21">
      <c r="A626" s="167">
        <v>871</v>
      </c>
      <c r="B626" s="196" t="s">
        <v>89</v>
      </c>
      <c r="C626" s="196">
        <v>11</v>
      </c>
      <c r="D626" s="196">
        <v>4</v>
      </c>
      <c r="E626" s="573" t="s">
        <v>576</v>
      </c>
      <c r="F626" s="335">
        <v>99.35</v>
      </c>
      <c r="G626" s="253"/>
      <c r="H626" s="96">
        <v>55.0458984375</v>
      </c>
      <c r="I626" s="335">
        <v>-2.2200000000000002</v>
      </c>
      <c r="J626" s="449">
        <v>-0.89</v>
      </c>
      <c r="K626" s="789">
        <f t="shared" si="10"/>
        <v>22.430401</v>
      </c>
      <c r="L626" s="395" t="s">
        <v>33</v>
      </c>
      <c r="M626" s="563" t="s">
        <v>74</v>
      </c>
      <c r="N626" s="69" t="s">
        <v>95</v>
      </c>
      <c r="O626" s="307" t="s">
        <v>35</v>
      </c>
      <c r="P626" s="314" t="s">
        <v>91</v>
      </c>
      <c r="Q626" s="501" t="s">
        <v>435</v>
      </c>
      <c r="R626" s="564" t="s">
        <v>400</v>
      </c>
      <c r="S626" s="176"/>
      <c r="T626" s="145"/>
      <c r="U626" s="145"/>
    </row>
    <row r="627" spans="1:21">
      <c r="A627" s="167">
        <v>871.2</v>
      </c>
      <c r="B627" s="196" t="s">
        <v>89</v>
      </c>
      <c r="C627" s="196">
        <v>11</v>
      </c>
      <c r="D627" s="196">
        <v>4</v>
      </c>
      <c r="E627" s="573" t="s">
        <v>574</v>
      </c>
      <c r="F627" s="335">
        <v>99.7</v>
      </c>
      <c r="G627" s="253"/>
      <c r="H627" s="96">
        <v>55.080696105957031</v>
      </c>
      <c r="I627" s="335">
        <v>-2.25</v>
      </c>
      <c r="J627" s="449">
        <v>-0.89</v>
      </c>
      <c r="K627" s="789">
        <f t="shared" si="10"/>
        <v>22.576864</v>
      </c>
      <c r="L627" s="395" t="s">
        <v>33</v>
      </c>
      <c r="M627" s="563" t="s">
        <v>74</v>
      </c>
      <c r="N627" s="69" t="s">
        <v>95</v>
      </c>
      <c r="O627" s="307" t="s">
        <v>35</v>
      </c>
      <c r="P627" s="314" t="s">
        <v>91</v>
      </c>
      <c r="Q627" s="501" t="s">
        <v>435</v>
      </c>
      <c r="R627" s="564" t="s">
        <v>400</v>
      </c>
      <c r="S627" s="176"/>
      <c r="T627" s="145"/>
      <c r="U627" s="145"/>
    </row>
    <row r="628" spans="1:21">
      <c r="A628" s="167">
        <v>871.4</v>
      </c>
      <c r="B628" s="196" t="s">
        <v>89</v>
      </c>
      <c r="C628" s="196">
        <v>11</v>
      </c>
      <c r="D628" s="196">
        <v>5</v>
      </c>
      <c r="E628" s="573" t="s">
        <v>113</v>
      </c>
      <c r="F628" s="335">
        <v>100.2</v>
      </c>
      <c r="G628" s="253"/>
      <c r="H628" s="96">
        <v>55.130405426025391</v>
      </c>
      <c r="I628" s="335">
        <v>-1.8</v>
      </c>
      <c r="J628" s="449">
        <v>-0.89</v>
      </c>
      <c r="K628" s="789">
        <f t="shared" si="10"/>
        <v>20.396929</v>
      </c>
      <c r="L628" s="395" t="s">
        <v>33</v>
      </c>
      <c r="M628" s="563" t="s">
        <v>74</v>
      </c>
      <c r="N628" s="69" t="s">
        <v>95</v>
      </c>
      <c r="O628" s="307" t="s">
        <v>35</v>
      </c>
      <c r="P628" s="314" t="s">
        <v>91</v>
      </c>
      <c r="Q628" s="501" t="s">
        <v>435</v>
      </c>
      <c r="R628" s="564" t="s">
        <v>400</v>
      </c>
      <c r="S628" s="176"/>
      <c r="T628" s="145"/>
      <c r="U628" s="145"/>
    </row>
    <row r="629" spans="1:21">
      <c r="A629" s="167">
        <v>871.6</v>
      </c>
      <c r="B629" s="196" t="s">
        <v>89</v>
      </c>
      <c r="C629" s="196">
        <v>11</v>
      </c>
      <c r="D629" s="196">
        <v>5</v>
      </c>
      <c r="E629" s="573" t="s">
        <v>576</v>
      </c>
      <c r="F629" s="335">
        <v>100.85</v>
      </c>
      <c r="G629" s="253"/>
      <c r="H629" s="96">
        <v>55.195030212402344</v>
      </c>
      <c r="I629" s="335">
        <v>-2.1800000000000002</v>
      </c>
      <c r="J629" s="449">
        <v>-0.89</v>
      </c>
      <c r="K629" s="789">
        <f t="shared" si="10"/>
        <v>22.235368999999999</v>
      </c>
      <c r="L629" s="395" t="s">
        <v>33</v>
      </c>
      <c r="M629" s="563" t="s">
        <v>74</v>
      </c>
      <c r="N629" s="69" t="s">
        <v>95</v>
      </c>
      <c r="O629" s="307" t="s">
        <v>35</v>
      </c>
      <c r="P629" s="314" t="s">
        <v>91</v>
      </c>
      <c r="Q629" s="501" t="s">
        <v>435</v>
      </c>
      <c r="R629" s="564" t="s">
        <v>400</v>
      </c>
      <c r="S629" s="176"/>
      <c r="T629" s="145"/>
      <c r="U629" s="145"/>
    </row>
    <row r="630" spans="1:21">
      <c r="A630" s="167">
        <v>871.8</v>
      </c>
      <c r="B630" s="196" t="s">
        <v>89</v>
      </c>
      <c r="C630" s="196">
        <v>11</v>
      </c>
      <c r="D630" s="196">
        <v>5</v>
      </c>
      <c r="E630" s="573" t="s">
        <v>574</v>
      </c>
      <c r="F630" s="335">
        <v>101.2</v>
      </c>
      <c r="G630" s="253"/>
      <c r="H630" s="96">
        <v>55.301536560058594</v>
      </c>
      <c r="I630" s="335">
        <v>-2.14</v>
      </c>
      <c r="J630" s="449">
        <v>-0.89</v>
      </c>
      <c r="K630" s="789">
        <f t="shared" si="10"/>
        <v>22.040625000000002</v>
      </c>
      <c r="L630" s="395" t="s">
        <v>33</v>
      </c>
      <c r="M630" s="563" t="s">
        <v>74</v>
      </c>
      <c r="N630" s="69" t="s">
        <v>95</v>
      </c>
      <c r="O630" s="307" t="s">
        <v>35</v>
      </c>
      <c r="P630" s="314" t="s">
        <v>91</v>
      </c>
      <c r="Q630" s="501" t="s">
        <v>435</v>
      </c>
      <c r="R630" s="564" t="s">
        <v>400</v>
      </c>
      <c r="S630" s="176"/>
      <c r="T630" s="145"/>
      <c r="U630" s="145"/>
    </row>
    <row r="631" spans="1:21">
      <c r="A631" s="167">
        <v>872</v>
      </c>
      <c r="B631" s="196" t="s">
        <v>89</v>
      </c>
      <c r="C631" s="196">
        <v>11</v>
      </c>
      <c r="D631" s="196">
        <v>6</v>
      </c>
      <c r="E631" s="573" t="s">
        <v>113</v>
      </c>
      <c r="F631" s="335">
        <v>101.7</v>
      </c>
      <c r="G631" s="253"/>
      <c r="H631" s="96">
        <v>55.470767974853516</v>
      </c>
      <c r="I631" s="335">
        <v>-2.16</v>
      </c>
      <c r="J631" s="449">
        <v>-0.89</v>
      </c>
      <c r="K631" s="789">
        <f t="shared" si="10"/>
        <v>22.137961000000004</v>
      </c>
      <c r="L631" s="395" t="s">
        <v>33</v>
      </c>
      <c r="M631" s="563" t="s">
        <v>74</v>
      </c>
      <c r="N631" s="69" t="s">
        <v>95</v>
      </c>
      <c r="O631" s="307" t="s">
        <v>35</v>
      </c>
      <c r="P631" s="314" t="s">
        <v>91</v>
      </c>
      <c r="Q631" s="501" t="s">
        <v>435</v>
      </c>
      <c r="R631" s="564" t="s">
        <v>400</v>
      </c>
      <c r="S631" s="176"/>
      <c r="T631" s="145"/>
      <c r="U631" s="145"/>
    </row>
    <row r="632" spans="1:21">
      <c r="A632" s="167">
        <v>872.2</v>
      </c>
      <c r="B632" s="196" t="s">
        <v>89</v>
      </c>
      <c r="C632" s="196">
        <v>11</v>
      </c>
      <c r="D632" s="196">
        <v>6</v>
      </c>
      <c r="E632" s="573" t="s">
        <v>113</v>
      </c>
      <c r="F632" s="335">
        <v>101.7</v>
      </c>
      <c r="G632" s="253"/>
      <c r="H632" s="96">
        <v>55.470767974853516</v>
      </c>
      <c r="I632" s="335">
        <v>-2.11</v>
      </c>
      <c r="J632" s="449">
        <v>-0.89</v>
      </c>
      <c r="K632" s="789">
        <f t="shared" si="10"/>
        <v>21.894756000000001</v>
      </c>
      <c r="L632" s="395" t="s">
        <v>33</v>
      </c>
      <c r="M632" s="563" t="s">
        <v>74</v>
      </c>
      <c r="N632" s="69" t="s">
        <v>95</v>
      </c>
      <c r="O632" s="307" t="s">
        <v>35</v>
      </c>
      <c r="P632" s="314" t="s">
        <v>91</v>
      </c>
      <c r="Q632" s="501" t="s">
        <v>435</v>
      </c>
      <c r="R632" s="564" t="s">
        <v>400</v>
      </c>
      <c r="S632" s="176"/>
      <c r="T632" s="145"/>
      <c r="U632" s="145"/>
    </row>
    <row r="633" spans="1:21">
      <c r="A633" s="167">
        <v>872.4</v>
      </c>
      <c r="B633" s="196" t="s">
        <v>89</v>
      </c>
      <c r="C633" s="196">
        <v>11</v>
      </c>
      <c r="D633" s="196">
        <v>6</v>
      </c>
      <c r="E633" s="573" t="s">
        <v>578</v>
      </c>
      <c r="F633" s="335">
        <v>101.93</v>
      </c>
      <c r="G633" s="253"/>
      <c r="H633" s="96">
        <v>55.548614501953125</v>
      </c>
      <c r="I633" s="335">
        <v>-2.19</v>
      </c>
      <c r="J633" s="449">
        <v>-0.89</v>
      </c>
      <c r="K633" s="789">
        <f t="shared" si="10"/>
        <v>22.284100000000002</v>
      </c>
      <c r="L633" s="395" t="s">
        <v>33</v>
      </c>
      <c r="M633" s="563" t="s">
        <v>74</v>
      </c>
      <c r="N633" s="69" t="s">
        <v>95</v>
      </c>
      <c r="O633" s="307" t="s">
        <v>35</v>
      </c>
      <c r="P633" s="314" t="s">
        <v>91</v>
      </c>
      <c r="Q633" s="501" t="s">
        <v>435</v>
      </c>
      <c r="R633" s="564" t="s">
        <v>400</v>
      </c>
      <c r="S633" s="176"/>
      <c r="T633" s="145"/>
      <c r="U633" s="145"/>
    </row>
    <row r="634" spans="1:21">
      <c r="A634" s="167">
        <v>872.6</v>
      </c>
      <c r="B634" s="196" t="s">
        <v>89</v>
      </c>
      <c r="C634" s="196">
        <v>11</v>
      </c>
      <c r="D634" s="196">
        <v>6</v>
      </c>
      <c r="E634" s="573" t="s">
        <v>576</v>
      </c>
      <c r="F634" s="335">
        <v>102.35</v>
      </c>
      <c r="G634" s="253"/>
      <c r="H634" s="96">
        <v>55.668235778808594</v>
      </c>
      <c r="I634" s="335">
        <v>-2.12</v>
      </c>
      <c r="J634" s="449">
        <v>-0.89</v>
      </c>
      <c r="K634" s="789">
        <f t="shared" si="10"/>
        <v>21.943361000000003</v>
      </c>
      <c r="L634" s="395" t="s">
        <v>33</v>
      </c>
      <c r="M634" s="563" t="s">
        <v>74</v>
      </c>
      <c r="N634" s="69" t="s">
        <v>95</v>
      </c>
      <c r="O634" s="307" t="s">
        <v>35</v>
      </c>
      <c r="P634" s="314" t="s">
        <v>91</v>
      </c>
      <c r="Q634" s="501" t="s">
        <v>435</v>
      </c>
      <c r="R634" s="564" t="s">
        <v>400</v>
      </c>
      <c r="S634" s="176"/>
      <c r="T634" s="145"/>
      <c r="U634" s="145"/>
    </row>
    <row r="635" spans="1:21">
      <c r="A635" s="167">
        <v>872.8</v>
      </c>
      <c r="B635" s="196" t="s">
        <v>89</v>
      </c>
      <c r="C635" s="196">
        <v>11</v>
      </c>
      <c r="D635" s="196" t="s">
        <v>284</v>
      </c>
      <c r="E635" s="573" t="s">
        <v>579</v>
      </c>
      <c r="F635" s="335">
        <v>102.53</v>
      </c>
      <c r="G635" s="253"/>
      <c r="H635" s="96">
        <v>55.702117919921875</v>
      </c>
      <c r="I635" s="335">
        <v>-2.02</v>
      </c>
      <c r="J635" s="449">
        <v>-0.89</v>
      </c>
      <c r="K635" s="789">
        <f t="shared" si="10"/>
        <v>21.458120999999998</v>
      </c>
      <c r="L635" s="395" t="s">
        <v>33</v>
      </c>
      <c r="M635" s="563" t="s">
        <v>74</v>
      </c>
      <c r="N635" s="69" t="s">
        <v>95</v>
      </c>
      <c r="O635" s="307" t="s">
        <v>35</v>
      </c>
      <c r="P635" s="314" t="s">
        <v>91</v>
      </c>
      <c r="Q635" s="501" t="s">
        <v>435</v>
      </c>
      <c r="R635" s="564" t="s">
        <v>400</v>
      </c>
      <c r="S635" s="176"/>
      <c r="T635" s="145"/>
      <c r="U635" s="145"/>
    </row>
    <row r="636" spans="1:21">
      <c r="A636" s="167">
        <v>873</v>
      </c>
      <c r="B636" s="196" t="s">
        <v>89</v>
      </c>
      <c r="C636" s="196">
        <v>11</v>
      </c>
      <c r="D636" s="196" t="s">
        <v>284</v>
      </c>
      <c r="E636" s="573" t="s">
        <v>579</v>
      </c>
      <c r="F636" s="335">
        <v>102.53</v>
      </c>
      <c r="G636" s="253"/>
      <c r="H636" s="96">
        <v>55.702117919921875</v>
      </c>
      <c r="I636" s="335">
        <v>-2.0499999999999998</v>
      </c>
      <c r="J636" s="449">
        <v>-0.89</v>
      </c>
      <c r="K636" s="789">
        <f t="shared" si="10"/>
        <v>21.603503999999997</v>
      </c>
      <c r="L636" s="395" t="s">
        <v>33</v>
      </c>
      <c r="M636" s="563" t="s">
        <v>74</v>
      </c>
      <c r="N636" s="69" t="s">
        <v>95</v>
      </c>
      <c r="O636" s="307" t="s">
        <v>35</v>
      </c>
      <c r="P636" s="314" t="s">
        <v>91</v>
      </c>
      <c r="Q636" s="501" t="s">
        <v>435</v>
      </c>
      <c r="R636" s="564" t="s">
        <v>400</v>
      </c>
      <c r="S636" s="176"/>
      <c r="T636" s="145"/>
      <c r="U636" s="145"/>
    </row>
    <row r="637" spans="1:21">
      <c r="A637" s="167">
        <v>873.2</v>
      </c>
      <c r="B637" s="196" t="s">
        <v>89</v>
      </c>
      <c r="C637" s="196">
        <v>11</v>
      </c>
      <c r="D637" s="196" t="s">
        <v>284</v>
      </c>
      <c r="E637" s="573" t="s">
        <v>579</v>
      </c>
      <c r="F637" s="335">
        <v>102.53</v>
      </c>
      <c r="G637" s="253"/>
      <c r="H637" s="96">
        <v>55.702117919921875</v>
      </c>
      <c r="I637" s="335">
        <v>-2.0499999999999998</v>
      </c>
      <c r="J637" s="449">
        <v>-0.89</v>
      </c>
      <c r="K637" s="789">
        <f t="shared" si="10"/>
        <v>21.603503999999997</v>
      </c>
      <c r="L637" s="395" t="s">
        <v>33</v>
      </c>
      <c r="M637" s="563" t="s">
        <v>74</v>
      </c>
      <c r="N637" s="69" t="s">
        <v>95</v>
      </c>
      <c r="O637" s="307" t="s">
        <v>35</v>
      </c>
      <c r="P637" s="314" t="s">
        <v>91</v>
      </c>
      <c r="Q637" s="501" t="s">
        <v>435</v>
      </c>
      <c r="R637" s="564" t="s">
        <v>400</v>
      </c>
      <c r="S637" s="176"/>
      <c r="T637" s="145"/>
      <c r="U637" s="145"/>
    </row>
    <row r="638" spans="1:21">
      <c r="A638" s="167">
        <v>873.4</v>
      </c>
      <c r="B638" s="196" t="s">
        <v>89</v>
      </c>
      <c r="C638" s="196">
        <v>12</v>
      </c>
      <c r="D638" s="196">
        <v>1</v>
      </c>
      <c r="E638" s="573" t="s">
        <v>106</v>
      </c>
      <c r="F638" s="335">
        <v>103.5</v>
      </c>
      <c r="G638" s="574" t="s">
        <v>587</v>
      </c>
      <c r="H638" s="96">
        <v>55.88470458984375</v>
      </c>
      <c r="I638" s="335">
        <v>-1.93</v>
      </c>
      <c r="J638" s="449">
        <v>-0.89</v>
      </c>
      <c r="K638" s="67">
        <f t="shared" ref="K638:K656" si="11">16.1-4.64*($I638-J638)+0.09*($I638-J638)^2</f>
        <v>21.022944000000003</v>
      </c>
      <c r="L638" s="395" t="s">
        <v>33</v>
      </c>
      <c r="M638" s="563" t="s">
        <v>74</v>
      </c>
      <c r="N638" s="69" t="s">
        <v>95</v>
      </c>
      <c r="O638" s="307" t="s">
        <v>35</v>
      </c>
      <c r="P638" s="314" t="s">
        <v>91</v>
      </c>
      <c r="Q638" s="501" t="s">
        <v>435</v>
      </c>
      <c r="R638" s="564" t="s">
        <v>400</v>
      </c>
      <c r="S638" s="176"/>
      <c r="T638" s="145"/>
      <c r="U638" s="145"/>
    </row>
    <row r="639" spans="1:21">
      <c r="A639" s="167">
        <v>873.6</v>
      </c>
      <c r="B639" s="196" t="s">
        <v>89</v>
      </c>
      <c r="C639" s="196">
        <v>12</v>
      </c>
      <c r="D639" s="196">
        <v>1</v>
      </c>
      <c r="E639" s="573" t="s">
        <v>360</v>
      </c>
      <c r="F639" s="335">
        <v>103.6</v>
      </c>
      <c r="G639" s="574" t="s">
        <v>587</v>
      </c>
      <c r="H639" s="96">
        <v>55.903530120849609</v>
      </c>
      <c r="I639" s="335">
        <v>-1.94</v>
      </c>
      <c r="J639" s="449">
        <v>-0.89</v>
      </c>
      <c r="K639" s="67">
        <f t="shared" si="11"/>
        <v>21.071225000000002</v>
      </c>
      <c r="L639" s="395" t="s">
        <v>33</v>
      </c>
      <c r="M639" s="563" t="s">
        <v>74</v>
      </c>
      <c r="N639" s="69" t="s">
        <v>95</v>
      </c>
      <c r="O639" s="307" t="s">
        <v>35</v>
      </c>
      <c r="P639" s="314" t="s">
        <v>91</v>
      </c>
      <c r="Q639" s="501" t="s">
        <v>435</v>
      </c>
      <c r="R639" s="564" t="s">
        <v>400</v>
      </c>
      <c r="S639" s="176"/>
      <c r="T639" s="145"/>
      <c r="U639" s="145"/>
    </row>
    <row r="640" spans="1:21">
      <c r="A640" s="167">
        <v>873.8</v>
      </c>
      <c r="B640" s="196" t="s">
        <v>89</v>
      </c>
      <c r="C640" s="196">
        <v>12</v>
      </c>
      <c r="D640" s="196">
        <v>1</v>
      </c>
      <c r="E640" s="573" t="s">
        <v>113</v>
      </c>
      <c r="F640" s="335">
        <v>103.7</v>
      </c>
      <c r="G640" s="574" t="s">
        <v>587</v>
      </c>
      <c r="H640" s="96">
        <v>55.922351837158203</v>
      </c>
      <c r="I640" s="335">
        <v>-2.02</v>
      </c>
      <c r="J640" s="449">
        <v>-0.89</v>
      </c>
      <c r="K640" s="67">
        <f t="shared" si="11"/>
        <v>21.458120999999998</v>
      </c>
      <c r="L640" s="395" t="s">
        <v>33</v>
      </c>
      <c r="M640" s="563" t="s">
        <v>74</v>
      </c>
      <c r="N640" s="69" t="s">
        <v>95</v>
      </c>
      <c r="O640" s="307" t="s">
        <v>35</v>
      </c>
      <c r="P640" s="314" t="s">
        <v>91</v>
      </c>
      <c r="Q640" s="501" t="s">
        <v>435</v>
      </c>
      <c r="R640" s="564" t="s">
        <v>400</v>
      </c>
      <c r="S640" s="176"/>
      <c r="T640" s="145"/>
      <c r="U640" s="145"/>
    </row>
    <row r="641" spans="1:21">
      <c r="A641" s="167">
        <v>874</v>
      </c>
      <c r="B641" s="196" t="s">
        <v>89</v>
      </c>
      <c r="C641" s="196">
        <v>12</v>
      </c>
      <c r="D641" s="196">
        <v>1</v>
      </c>
      <c r="E641" s="573" t="s">
        <v>112</v>
      </c>
      <c r="F641" s="335">
        <v>103.8</v>
      </c>
      <c r="G641" s="574" t="s">
        <v>587</v>
      </c>
      <c r="H641" s="96">
        <v>55.941177368164063</v>
      </c>
      <c r="I641" s="335">
        <v>-1.93</v>
      </c>
      <c r="J641" s="449">
        <v>-0.89</v>
      </c>
      <c r="K641" s="67">
        <f t="shared" si="11"/>
        <v>21.022944000000003</v>
      </c>
      <c r="L641" s="395" t="s">
        <v>33</v>
      </c>
      <c r="M641" s="563" t="s">
        <v>74</v>
      </c>
      <c r="N641" s="69" t="s">
        <v>95</v>
      </c>
      <c r="O641" s="307" t="s">
        <v>35</v>
      </c>
      <c r="P641" s="314" t="s">
        <v>91</v>
      </c>
      <c r="Q641" s="501" t="s">
        <v>435</v>
      </c>
      <c r="R641" s="564" t="s">
        <v>400</v>
      </c>
      <c r="S641" s="176"/>
      <c r="T641" s="145"/>
      <c r="U641" s="145"/>
    </row>
    <row r="642" spans="1:21">
      <c r="A642" s="167">
        <v>874.2</v>
      </c>
      <c r="B642" s="196" t="s">
        <v>89</v>
      </c>
      <c r="C642" s="196">
        <v>12</v>
      </c>
      <c r="D642" s="196">
        <v>1</v>
      </c>
      <c r="E642" s="573" t="s">
        <v>111</v>
      </c>
      <c r="F642" s="335">
        <v>103.9</v>
      </c>
      <c r="G642" s="574" t="s">
        <v>587</v>
      </c>
      <c r="H642" s="96">
        <v>55.959999084472656</v>
      </c>
      <c r="I642" s="335">
        <v>-2.09</v>
      </c>
      <c r="J642" s="449">
        <v>-0.89</v>
      </c>
      <c r="K642" s="67">
        <f t="shared" si="11"/>
        <v>21.797599999999999</v>
      </c>
      <c r="L642" s="395" t="s">
        <v>33</v>
      </c>
      <c r="M642" s="563" t="s">
        <v>74</v>
      </c>
      <c r="N642" s="69" t="s">
        <v>95</v>
      </c>
      <c r="O642" s="307" t="s">
        <v>35</v>
      </c>
      <c r="P642" s="314" t="s">
        <v>91</v>
      </c>
      <c r="Q642" s="501" t="s">
        <v>435</v>
      </c>
      <c r="R642" s="564" t="s">
        <v>400</v>
      </c>
      <c r="S642" s="176"/>
      <c r="T642" s="145"/>
      <c r="U642" s="145"/>
    </row>
    <row r="643" spans="1:21">
      <c r="A643" s="167">
        <v>874.4</v>
      </c>
      <c r="B643" s="196" t="s">
        <v>89</v>
      </c>
      <c r="C643" s="196">
        <v>12</v>
      </c>
      <c r="D643" s="196">
        <v>1</v>
      </c>
      <c r="E643" s="573" t="s">
        <v>111</v>
      </c>
      <c r="F643" s="335">
        <v>103.9</v>
      </c>
      <c r="G643" s="574" t="s">
        <v>587</v>
      </c>
      <c r="H643" s="96">
        <v>55.959999084472656</v>
      </c>
      <c r="I643" s="335">
        <v>-2.0699999999999998</v>
      </c>
      <c r="J643" s="449">
        <v>-0.89</v>
      </c>
      <c r="K643" s="67">
        <f t="shared" si="11"/>
        <v>21.700516</v>
      </c>
      <c r="L643" s="395" t="s">
        <v>33</v>
      </c>
      <c r="M643" s="563" t="s">
        <v>74</v>
      </c>
      <c r="N643" s="69" t="s">
        <v>95</v>
      </c>
      <c r="O643" s="307" t="s">
        <v>35</v>
      </c>
      <c r="P643" s="314" t="s">
        <v>91</v>
      </c>
      <c r="Q643" s="501" t="s">
        <v>435</v>
      </c>
      <c r="R643" s="564" t="s">
        <v>400</v>
      </c>
      <c r="S643" s="176"/>
      <c r="T643" s="145"/>
      <c r="U643" s="145"/>
    </row>
    <row r="644" spans="1:21">
      <c r="A644" s="167">
        <v>874.6</v>
      </c>
      <c r="B644" s="196" t="s">
        <v>89</v>
      </c>
      <c r="C644" s="196">
        <v>12</v>
      </c>
      <c r="D644" s="196">
        <v>1</v>
      </c>
      <c r="E644" s="573" t="s">
        <v>101</v>
      </c>
      <c r="F644" s="335">
        <v>104.2</v>
      </c>
      <c r="G644" s="253"/>
      <c r="H644" s="96">
        <v>55.986923217773438</v>
      </c>
      <c r="I644" s="335">
        <v>-2.08</v>
      </c>
      <c r="J644" s="449">
        <v>-0.89</v>
      </c>
      <c r="K644" s="789">
        <f t="shared" si="11"/>
        <v>21.749048999999999</v>
      </c>
      <c r="L644" s="395" t="s">
        <v>33</v>
      </c>
      <c r="M644" s="563" t="s">
        <v>74</v>
      </c>
      <c r="N644" s="69" t="s">
        <v>95</v>
      </c>
      <c r="O644" s="307" t="s">
        <v>35</v>
      </c>
      <c r="P644" s="314" t="s">
        <v>91</v>
      </c>
      <c r="Q644" s="501" t="s">
        <v>435</v>
      </c>
      <c r="R644" s="564" t="s">
        <v>400</v>
      </c>
      <c r="S644" s="176"/>
      <c r="T644" s="145"/>
      <c r="U644" s="145"/>
    </row>
    <row r="645" spans="1:21">
      <c r="A645" s="167">
        <v>874.8</v>
      </c>
      <c r="B645" s="196" t="s">
        <v>89</v>
      </c>
      <c r="C645" s="196">
        <v>12</v>
      </c>
      <c r="D645" s="196">
        <v>1</v>
      </c>
      <c r="E645" s="573" t="s">
        <v>101</v>
      </c>
      <c r="F645" s="335">
        <v>104.2</v>
      </c>
      <c r="G645" s="253"/>
      <c r="H645" s="96">
        <v>55.986923217773438</v>
      </c>
      <c r="I645" s="335">
        <v>-2.0299999999999998</v>
      </c>
      <c r="J645" s="449">
        <v>-0.89</v>
      </c>
      <c r="K645" s="789">
        <f t="shared" si="11"/>
        <v>21.506564000000001</v>
      </c>
      <c r="L645" s="395" t="s">
        <v>33</v>
      </c>
      <c r="M645" s="563" t="s">
        <v>74</v>
      </c>
      <c r="N645" s="69" t="s">
        <v>95</v>
      </c>
      <c r="O645" s="307" t="s">
        <v>35</v>
      </c>
      <c r="P645" s="314" t="s">
        <v>91</v>
      </c>
      <c r="Q645" s="501" t="s">
        <v>435</v>
      </c>
      <c r="R645" s="564" t="s">
        <v>400</v>
      </c>
      <c r="S645" s="176"/>
      <c r="T645" s="145"/>
      <c r="U645" s="145"/>
    </row>
    <row r="646" spans="1:21">
      <c r="A646" s="167">
        <v>875</v>
      </c>
      <c r="B646" s="196" t="s">
        <v>89</v>
      </c>
      <c r="C646" s="196">
        <v>12</v>
      </c>
      <c r="D646" s="196">
        <v>1</v>
      </c>
      <c r="E646" s="573" t="s">
        <v>101</v>
      </c>
      <c r="F646" s="335">
        <v>104.2</v>
      </c>
      <c r="G646" s="253"/>
      <c r="H646" s="96">
        <v>55.986923217773438</v>
      </c>
      <c r="I646" s="335">
        <v>-2</v>
      </c>
      <c r="J646" s="449">
        <v>-0.89</v>
      </c>
      <c r="K646" s="789">
        <f t="shared" si="11"/>
        <v>21.361288999999999</v>
      </c>
      <c r="L646" s="395" t="s">
        <v>33</v>
      </c>
      <c r="M646" s="563" t="s">
        <v>74</v>
      </c>
      <c r="N646" s="69" t="s">
        <v>95</v>
      </c>
      <c r="O646" s="307" t="s">
        <v>35</v>
      </c>
      <c r="P646" s="314" t="s">
        <v>91</v>
      </c>
      <c r="Q646" s="501" t="s">
        <v>435</v>
      </c>
      <c r="R646" s="564" t="s">
        <v>400</v>
      </c>
      <c r="S646" s="176"/>
      <c r="T646" s="145"/>
      <c r="U646" s="145"/>
    </row>
    <row r="647" spans="1:21">
      <c r="A647" s="167">
        <v>875.2</v>
      </c>
      <c r="B647" s="196" t="s">
        <v>89</v>
      </c>
      <c r="C647" s="196">
        <v>12</v>
      </c>
      <c r="D647" s="196">
        <v>1</v>
      </c>
      <c r="E647" s="573" t="s">
        <v>574</v>
      </c>
      <c r="F647" s="335">
        <v>104.7</v>
      </c>
      <c r="G647" s="253"/>
      <c r="H647" s="96">
        <v>56.031795501708984</v>
      </c>
      <c r="I647" s="335">
        <v>-2.02</v>
      </c>
      <c r="J647" s="449">
        <v>-0.89</v>
      </c>
      <c r="K647" s="789">
        <f t="shared" si="11"/>
        <v>21.458120999999998</v>
      </c>
      <c r="L647" s="395" t="s">
        <v>33</v>
      </c>
      <c r="M647" s="563" t="s">
        <v>74</v>
      </c>
      <c r="N647" s="69" t="s">
        <v>95</v>
      </c>
      <c r="O647" s="307" t="s">
        <v>35</v>
      </c>
      <c r="P647" s="314" t="s">
        <v>91</v>
      </c>
      <c r="Q647" s="501" t="s">
        <v>435</v>
      </c>
      <c r="R647" s="564" t="s">
        <v>400</v>
      </c>
      <c r="S647" s="176"/>
      <c r="T647" s="145"/>
      <c r="U647" s="145"/>
    </row>
    <row r="648" spans="1:21">
      <c r="A648" s="167">
        <v>875.4</v>
      </c>
      <c r="B648" s="196" t="s">
        <v>89</v>
      </c>
      <c r="C648" s="196">
        <v>12</v>
      </c>
      <c r="D648" s="196">
        <v>2</v>
      </c>
      <c r="E648" s="573" t="s">
        <v>113</v>
      </c>
      <c r="F648" s="335">
        <v>105.2</v>
      </c>
      <c r="G648" s="253" t="s">
        <v>196</v>
      </c>
      <c r="H648" s="96">
        <v>56.076667785644531</v>
      </c>
      <c r="I648" s="335">
        <v>-1.9</v>
      </c>
      <c r="J648" s="449">
        <v>-0.89</v>
      </c>
      <c r="K648" s="65">
        <f t="shared" si="11"/>
        <v>20.878209000000002</v>
      </c>
      <c r="L648" s="395" t="s">
        <v>33</v>
      </c>
      <c r="M648" s="563" t="s">
        <v>74</v>
      </c>
      <c r="N648" s="69" t="s">
        <v>95</v>
      </c>
      <c r="O648" s="307" t="s">
        <v>35</v>
      </c>
      <c r="P648" s="314" t="s">
        <v>91</v>
      </c>
      <c r="Q648" s="501" t="s">
        <v>435</v>
      </c>
      <c r="R648" s="564" t="s">
        <v>400</v>
      </c>
      <c r="S648" s="176"/>
      <c r="T648" s="145"/>
      <c r="U648" s="145"/>
    </row>
    <row r="649" spans="1:21">
      <c r="A649" s="167">
        <v>875.6</v>
      </c>
      <c r="B649" s="196" t="s">
        <v>89</v>
      </c>
      <c r="C649" s="196">
        <v>12</v>
      </c>
      <c r="D649" s="196">
        <v>2</v>
      </c>
      <c r="E649" s="573" t="s">
        <v>101</v>
      </c>
      <c r="F649" s="335">
        <v>105.7</v>
      </c>
      <c r="G649" s="253" t="s">
        <v>196</v>
      </c>
      <c r="H649" s="96">
        <v>56.121540069580078</v>
      </c>
      <c r="I649" s="335">
        <v>-1.88</v>
      </c>
      <c r="J649" s="449">
        <v>-0.89</v>
      </c>
      <c r="K649" s="65">
        <f t="shared" si="11"/>
        <v>20.781808999999999</v>
      </c>
      <c r="L649" s="395" t="s">
        <v>33</v>
      </c>
      <c r="M649" s="563" t="s">
        <v>74</v>
      </c>
      <c r="N649" s="69" t="s">
        <v>95</v>
      </c>
      <c r="O649" s="307" t="s">
        <v>35</v>
      </c>
      <c r="P649" s="314" t="s">
        <v>91</v>
      </c>
      <c r="Q649" s="501" t="s">
        <v>435</v>
      </c>
      <c r="R649" s="564" t="s">
        <v>400</v>
      </c>
      <c r="S649" s="176" t="s">
        <v>741</v>
      </c>
      <c r="T649" s="145"/>
      <c r="U649" s="145"/>
    </row>
    <row r="650" spans="1:21">
      <c r="A650" s="167">
        <v>875.8</v>
      </c>
      <c r="B650" s="196" t="s">
        <v>89</v>
      </c>
      <c r="C650" s="196">
        <v>12</v>
      </c>
      <c r="D650" s="196">
        <v>2</v>
      </c>
      <c r="E650" s="573" t="s">
        <v>101</v>
      </c>
      <c r="F650" s="335">
        <v>105.7</v>
      </c>
      <c r="G650" s="253" t="s">
        <v>196</v>
      </c>
      <c r="H650" s="96">
        <v>56.121540069580078</v>
      </c>
      <c r="I650" s="335">
        <v>-1.98</v>
      </c>
      <c r="J650" s="449">
        <v>-0.89</v>
      </c>
      <c r="K650" s="65">
        <f t="shared" si="11"/>
        <v>21.264529000000003</v>
      </c>
      <c r="L650" s="395" t="s">
        <v>33</v>
      </c>
      <c r="M650" s="563" t="s">
        <v>74</v>
      </c>
      <c r="N650" s="69" t="s">
        <v>95</v>
      </c>
      <c r="O650" s="307" t="s">
        <v>35</v>
      </c>
      <c r="P650" s="314" t="s">
        <v>91</v>
      </c>
      <c r="Q650" s="501" t="s">
        <v>435</v>
      </c>
      <c r="R650" s="564" t="s">
        <v>400</v>
      </c>
      <c r="S650" s="176" t="s">
        <v>741</v>
      </c>
      <c r="T650" s="145"/>
      <c r="U650" s="145"/>
    </row>
    <row r="651" spans="1:21">
      <c r="A651" s="167">
        <v>876</v>
      </c>
      <c r="B651" s="196" t="s">
        <v>89</v>
      </c>
      <c r="C651" s="196">
        <v>12</v>
      </c>
      <c r="D651" s="196">
        <v>2</v>
      </c>
      <c r="E651" s="573" t="s">
        <v>574</v>
      </c>
      <c r="F651" s="335">
        <v>106.2</v>
      </c>
      <c r="G651" s="253" t="s">
        <v>196</v>
      </c>
      <c r="H651" s="96">
        <v>56.166408538818359</v>
      </c>
      <c r="I651" s="335">
        <v>-1.97</v>
      </c>
      <c r="J651" s="449">
        <v>-0.89</v>
      </c>
      <c r="K651" s="65">
        <f t="shared" si="11"/>
        <v>21.216176000000001</v>
      </c>
      <c r="L651" s="395" t="s">
        <v>33</v>
      </c>
      <c r="M651" s="563" t="s">
        <v>74</v>
      </c>
      <c r="N651" s="69" t="s">
        <v>95</v>
      </c>
      <c r="O651" s="307" t="s">
        <v>35</v>
      </c>
      <c r="P651" s="314" t="s">
        <v>91</v>
      </c>
      <c r="Q651" s="501" t="s">
        <v>435</v>
      </c>
      <c r="R651" s="564" t="s">
        <v>400</v>
      </c>
      <c r="S651" s="176" t="s">
        <v>741</v>
      </c>
      <c r="T651" s="145"/>
      <c r="U651" s="145"/>
    </row>
    <row r="652" spans="1:21">
      <c r="A652" s="167">
        <v>876.2</v>
      </c>
      <c r="B652" s="196" t="s">
        <v>89</v>
      </c>
      <c r="C652" s="196">
        <v>12</v>
      </c>
      <c r="D652" s="196">
        <v>3</v>
      </c>
      <c r="E652" s="573" t="s">
        <v>113</v>
      </c>
      <c r="F652" s="335">
        <v>106.7</v>
      </c>
      <c r="G652" s="253" t="s">
        <v>196</v>
      </c>
      <c r="H652" s="96">
        <v>56.211280822753906</v>
      </c>
      <c r="I652" s="335">
        <v>-1.95</v>
      </c>
      <c r="J652" s="449">
        <v>-0.89</v>
      </c>
      <c r="K652" s="65">
        <f t="shared" si="11"/>
        <v>21.119523999999998</v>
      </c>
      <c r="L652" s="395" t="s">
        <v>33</v>
      </c>
      <c r="M652" s="563" t="s">
        <v>74</v>
      </c>
      <c r="N652" s="69" t="s">
        <v>95</v>
      </c>
      <c r="O652" s="307" t="s">
        <v>35</v>
      </c>
      <c r="P652" s="314" t="s">
        <v>91</v>
      </c>
      <c r="Q652" s="501" t="s">
        <v>435</v>
      </c>
      <c r="R652" s="564" t="s">
        <v>400</v>
      </c>
      <c r="S652" s="176" t="s">
        <v>741</v>
      </c>
      <c r="T652" s="145"/>
      <c r="U652" s="145"/>
    </row>
    <row r="653" spans="1:21">
      <c r="A653" s="167">
        <v>876.4</v>
      </c>
      <c r="B653" s="196" t="s">
        <v>89</v>
      </c>
      <c r="C653" s="196">
        <v>12</v>
      </c>
      <c r="D653" s="196">
        <v>3</v>
      </c>
      <c r="E653" s="573" t="s">
        <v>101</v>
      </c>
      <c r="F653" s="335">
        <v>107.2</v>
      </c>
      <c r="G653" s="253" t="s">
        <v>196</v>
      </c>
      <c r="H653" s="96">
        <v>56.256153106689453</v>
      </c>
      <c r="I653" s="335">
        <v>-1.84</v>
      </c>
      <c r="J653" s="449">
        <v>-0.89</v>
      </c>
      <c r="K653" s="65">
        <f t="shared" si="11"/>
        <v>20.589225000000003</v>
      </c>
      <c r="L653" s="395" t="s">
        <v>33</v>
      </c>
      <c r="M653" s="563" t="s">
        <v>74</v>
      </c>
      <c r="N653" s="69" t="s">
        <v>95</v>
      </c>
      <c r="O653" s="307" t="s">
        <v>35</v>
      </c>
      <c r="P653" s="314" t="s">
        <v>91</v>
      </c>
      <c r="Q653" s="501" t="s">
        <v>435</v>
      </c>
      <c r="R653" s="564" t="s">
        <v>400</v>
      </c>
      <c r="S653" s="176" t="s">
        <v>741</v>
      </c>
      <c r="T653" s="145"/>
      <c r="U653" s="145"/>
    </row>
    <row r="654" spans="1:21">
      <c r="A654" s="167">
        <v>876.6</v>
      </c>
      <c r="B654" s="196" t="s">
        <v>89</v>
      </c>
      <c r="C654" s="196">
        <v>12</v>
      </c>
      <c r="D654" s="196">
        <v>3</v>
      </c>
      <c r="E654" s="573" t="s">
        <v>574</v>
      </c>
      <c r="F654" s="335">
        <v>107.7</v>
      </c>
      <c r="G654" s="253" t="s">
        <v>196</v>
      </c>
      <c r="H654" s="96">
        <v>56.301025390625</v>
      </c>
      <c r="I654" s="335">
        <v>-2.0099999999999998</v>
      </c>
      <c r="J654" s="449">
        <v>-0.89</v>
      </c>
      <c r="K654" s="65">
        <f t="shared" si="11"/>
        <v>21.409695999999997</v>
      </c>
      <c r="L654" s="395" t="s">
        <v>33</v>
      </c>
      <c r="M654" s="563" t="s">
        <v>74</v>
      </c>
      <c r="N654" s="69" t="s">
        <v>95</v>
      </c>
      <c r="O654" s="307" t="s">
        <v>35</v>
      </c>
      <c r="P654" s="314" t="s">
        <v>91</v>
      </c>
      <c r="Q654" s="501" t="s">
        <v>435</v>
      </c>
      <c r="R654" s="564" t="s">
        <v>400</v>
      </c>
      <c r="S654" s="176" t="s">
        <v>741</v>
      </c>
      <c r="T654" s="145"/>
      <c r="U654" s="145"/>
    </row>
    <row r="655" spans="1:21">
      <c r="A655" s="167">
        <v>876.8</v>
      </c>
      <c r="B655" s="196" t="s">
        <v>89</v>
      </c>
      <c r="C655" s="196">
        <v>12</v>
      </c>
      <c r="D655" s="196">
        <v>3</v>
      </c>
      <c r="E655" s="253" t="s">
        <v>101</v>
      </c>
      <c r="F655" s="335">
        <v>108.7</v>
      </c>
      <c r="G655" s="253" t="s">
        <v>196</v>
      </c>
      <c r="H655" s="96">
        <v>56.390769958496094</v>
      </c>
      <c r="I655" s="335">
        <v>-1.74</v>
      </c>
      <c r="J655" s="449">
        <v>-0.89</v>
      </c>
      <c r="K655" s="65">
        <f t="shared" si="11"/>
        <v>20.109024999999999</v>
      </c>
      <c r="L655" s="395" t="s">
        <v>33</v>
      </c>
      <c r="M655" s="563" t="s">
        <v>74</v>
      </c>
      <c r="N655" s="69" t="s">
        <v>95</v>
      </c>
      <c r="O655" s="307" t="s">
        <v>35</v>
      </c>
      <c r="P655" s="314" t="s">
        <v>91</v>
      </c>
      <c r="Q655" s="501" t="s">
        <v>435</v>
      </c>
      <c r="R655" s="564" t="s">
        <v>400</v>
      </c>
      <c r="S655" s="176" t="s">
        <v>741</v>
      </c>
      <c r="T655" s="145"/>
      <c r="U655" s="145"/>
    </row>
    <row r="656" spans="1:21">
      <c r="A656" s="167">
        <v>877</v>
      </c>
      <c r="B656" s="196" t="s">
        <v>89</v>
      </c>
      <c r="C656" s="196">
        <v>12</v>
      </c>
      <c r="D656" s="196">
        <v>3</v>
      </c>
      <c r="E656" s="253" t="s">
        <v>113</v>
      </c>
      <c r="F656" s="335">
        <v>109.7</v>
      </c>
      <c r="G656" s="253" t="s">
        <v>196</v>
      </c>
      <c r="H656" s="96">
        <v>56.480514526367188</v>
      </c>
      <c r="I656" s="335">
        <v>-1.82</v>
      </c>
      <c r="J656" s="449">
        <v>-0.89</v>
      </c>
      <c r="K656" s="65">
        <f t="shared" si="11"/>
        <v>20.493041000000002</v>
      </c>
      <c r="L656" s="395" t="s">
        <v>33</v>
      </c>
      <c r="M656" s="563" t="s">
        <v>74</v>
      </c>
      <c r="N656" s="69" t="s">
        <v>95</v>
      </c>
      <c r="O656" s="307" t="s">
        <v>35</v>
      </c>
      <c r="P656" s="314" t="s">
        <v>91</v>
      </c>
      <c r="Q656" s="501" t="s">
        <v>435</v>
      </c>
      <c r="R656" s="564" t="s">
        <v>400</v>
      </c>
      <c r="S656" s="176" t="s">
        <v>741</v>
      </c>
      <c r="T656" s="145"/>
      <c r="U656" s="145"/>
    </row>
    <row r="657" spans="1:21" ht="13.5" thickBot="1">
      <c r="A657" s="254"/>
      <c r="B657" s="255"/>
      <c r="C657" s="255"/>
      <c r="D657" s="255"/>
      <c r="E657" s="255"/>
      <c r="F657" s="255"/>
      <c r="G657" s="255"/>
      <c r="H657" s="256"/>
      <c r="I657" s="254"/>
      <c r="J657" s="257"/>
      <c r="K657" s="609"/>
      <c r="L657" s="255"/>
      <c r="M657" s="255"/>
      <c r="N657" s="255"/>
      <c r="O657" s="256"/>
      <c r="P657" s="254"/>
      <c r="Q657" s="256"/>
      <c r="R657" s="257"/>
      <c r="S657" s="258"/>
      <c r="T657" s="145"/>
      <c r="U657" s="145"/>
    </row>
    <row r="659" spans="1:21" ht="13.5" thickBot="1"/>
    <row r="660" spans="1:21" ht="13.5" thickBot="1">
      <c r="G660" s="760"/>
      <c r="H660" s="761" t="s">
        <v>607</v>
      </c>
      <c r="I660" s="761" t="s">
        <v>605</v>
      </c>
      <c r="J660" s="762">
        <v>0.05</v>
      </c>
      <c r="K660" s="761" t="s">
        <v>602</v>
      </c>
      <c r="L660" s="762">
        <v>0.95</v>
      </c>
      <c r="M660" s="763" t="s">
        <v>606</v>
      </c>
    </row>
    <row r="661" spans="1:21">
      <c r="G661" s="322" t="s">
        <v>21</v>
      </c>
      <c r="H661" s="244">
        <f>COUNT(K414:K435,K570:K571,K589:K610)</f>
        <v>46</v>
      </c>
      <c r="I661" s="756">
        <f>MIN(K414:K435,K570:K571,K589:K610)</f>
        <v>16.564900000000002</v>
      </c>
      <c r="J661" s="756">
        <f>_xlfn.PERCENTILE.INC((K414:K435,K570:K571,K589:K610),0.05)</f>
        <v>16.821369000000004</v>
      </c>
      <c r="K661" s="756">
        <f>AVERAGE(K414:K435,K570:K571,K589:K610)</f>
        <v>20.039314260869567</v>
      </c>
      <c r="L661" s="756">
        <f>_xlfn.PERCENTILE.INC((K414:K435,K570:K571,K589:K610),0.95)</f>
        <v>22.235612</v>
      </c>
      <c r="M661" s="757">
        <f>MAX(K414:K435,K570:K571,K589:K610)</f>
        <v>22.772400000000001</v>
      </c>
    </row>
    <row r="662" spans="1:21">
      <c r="G662" s="322" t="s">
        <v>20</v>
      </c>
      <c r="H662" s="244">
        <f>COUNT(K14:K22,K44:K54,K66:K89,K161:K204,K257:K289,K389:K395,K465:K475,K638:K643)</f>
        <v>145</v>
      </c>
      <c r="I662" s="756">
        <f>MIN(K14:K22,K44:K54,K66:K89,K161:K204,K257:K289,K389:K395,K465:K475,K638:K643)</f>
        <v>16.239281000000002</v>
      </c>
      <c r="J662" s="756">
        <f>_xlfn.PERCENTILE.INC((K14:K22,K44:K54,K66:K89,K161:K204,K257:K289,K389:K395,K465:K475,K638:K643),0.05)</f>
        <v>17.697408200000002</v>
      </c>
      <c r="K662" s="756">
        <f>AVERAGE(K14:K22,K44:K54,K66:K89,K161:K204,K257:K289,K389:K395,K465:K475,K638:K643)</f>
        <v>20.452993041379305</v>
      </c>
      <c r="L662" s="756">
        <f>_xlfn.PERCENTILE.INC((K14:K22,K44:K54,K66:K89,K161:K204,K257:K289,K389:K395,K465:K475,K638:K643),0.95)</f>
        <v>22.586656999999999</v>
      </c>
      <c r="M662" s="757">
        <f>MAX(K14:K22,K44:K54,K66:K89,K161:K204,K257:K289,K389:K395,K465:K475,K638:K643)</f>
        <v>23.902321000000001</v>
      </c>
    </row>
    <row r="663" spans="1:21" ht="13.5" thickBot="1">
      <c r="G663" s="748" t="s">
        <v>601</v>
      </c>
      <c r="H663" s="327">
        <f>COUNT(K328:K338,K402:K413,K481:K499,K572:K585,K648:K656)</f>
        <v>65</v>
      </c>
      <c r="I663" s="758">
        <f>MIN(K328:K338,K364:K374,K402:K413,K481:K499,K572:K585,K648:K656)</f>
        <v>13.939081000000002</v>
      </c>
      <c r="J663" s="758">
        <f>_xlfn.PERCENTILE.INC((K328:K338,K364:K374,K402:K413,K481:K499,K572:K585,K648:K656),0.05)</f>
        <v>17.899747000000001</v>
      </c>
      <c r="K663" s="758">
        <f>AVERAGE(K328:K338,K364:K374,K402:K413,K481:K499,K572:K585,K648:K656)</f>
        <v>20.250968842105259</v>
      </c>
      <c r="L663" s="758">
        <f>_xlfn.PERCENTILE.INC((K328:K338,K364:K374,K402:K413,K481:K499,K572:K585,K648:K656),0.95)</f>
        <v>21.555025000000001</v>
      </c>
      <c r="M663" s="759">
        <f>MAX(K328:K338,K364:K374,K402:K413,K481:K499,K572:K585,K648:K656)</f>
        <v>22.870276</v>
      </c>
    </row>
    <row r="664" spans="1:21">
      <c r="H664" s="156">
        <f>SUM(H661:H663)</f>
        <v>256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1"/>
  <sheetViews>
    <sheetView zoomScale="70" zoomScaleNormal="70" zoomScalePageLayoutView="70" workbookViewId="0">
      <selection activeCell="B6" sqref="B6"/>
    </sheetView>
  </sheetViews>
  <sheetFormatPr defaultColWidth="10.625" defaultRowHeight="12.75"/>
  <cols>
    <col min="1" max="1" width="15.625" style="69" customWidth="1"/>
    <col min="2" max="2" width="20.625" style="69" customWidth="1"/>
    <col min="3" max="6" width="10.625" style="69"/>
    <col min="7" max="7" width="13.5" style="69" bestFit="1" customWidth="1"/>
    <col min="8" max="8" width="10.625" style="69"/>
    <col min="9" max="9" width="16.875" style="156" bestFit="1" customWidth="1"/>
    <col min="10" max="11" width="10.625" style="69"/>
    <col min="12" max="12" width="15.625" style="69" customWidth="1"/>
    <col min="13" max="13" width="13.875" style="69" bestFit="1" customWidth="1"/>
    <col min="14" max="14" width="13" style="69" bestFit="1" customWidth="1"/>
    <col min="15" max="17" width="10.625" style="69"/>
    <col min="18" max="19" width="15.5" style="69" bestFit="1" customWidth="1"/>
    <col min="20" max="20" width="10.625" style="69"/>
    <col min="21" max="21" width="78.625" style="69" bestFit="1" customWidth="1"/>
    <col min="22" max="16384" width="10.625" style="69"/>
  </cols>
  <sheetData>
    <row r="1" spans="1:21" s="11" customFormat="1" ht="15.75">
      <c r="A1" s="205" t="s">
        <v>62</v>
      </c>
      <c r="B1" s="205" t="s">
        <v>93</v>
      </c>
      <c r="C1" s="207"/>
      <c r="D1" s="20"/>
      <c r="E1" s="20"/>
      <c r="F1" s="20"/>
      <c r="G1" s="20"/>
      <c r="H1" s="20"/>
      <c r="I1" s="20"/>
      <c r="J1" s="20"/>
      <c r="K1" s="20"/>
      <c r="L1" s="20"/>
      <c r="M1" s="20"/>
      <c r="N1" s="20"/>
      <c r="O1" s="20"/>
      <c r="P1" s="20"/>
      <c r="Q1" s="20"/>
      <c r="R1" s="19"/>
      <c r="S1" s="19"/>
      <c r="T1" s="19"/>
      <c r="U1" s="19"/>
    </row>
    <row r="2" spans="1:21">
      <c r="A2" s="141" t="s">
        <v>655</v>
      </c>
      <c r="B2" s="146" t="s">
        <v>656</v>
      </c>
      <c r="C2" s="143"/>
      <c r="D2" s="144"/>
      <c r="E2" s="144"/>
      <c r="F2" s="144"/>
      <c r="G2" s="144"/>
      <c r="H2" s="144"/>
      <c r="I2" s="144"/>
      <c r="J2" s="144"/>
      <c r="K2" s="144"/>
      <c r="L2" s="144"/>
      <c r="M2" s="144"/>
      <c r="N2" s="144"/>
      <c r="O2" s="144"/>
      <c r="P2" s="144"/>
      <c r="Q2" s="144"/>
      <c r="R2" s="145"/>
      <c r="S2" s="145"/>
      <c r="T2" s="145"/>
      <c r="U2" s="145"/>
    </row>
    <row r="3" spans="1:21">
      <c r="A3" s="141" t="s">
        <v>61</v>
      </c>
      <c r="B3" s="146" t="s">
        <v>635</v>
      </c>
      <c r="C3" s="143"/>
      <c r="D3" s="144"/>
      <c r="E3" s="144"/>
      <c r="F3" s="144"/>
      <c r="G3" s="144"/>
      <c r="H3" s="144"/>
      <c r="I3" s="144"/>
      <c r="J3" s="144"/>
      <c r="K3" s="144"/>
      <c r="L3" s="144"/>
      <c r="M3" s="144"/>
      <c r="N3" s="144"/>
      <c r="O3" s="144"/>
      <c r="P3" s="144"/>
      <c r="Q3" s="144"/>
      <c r="R3" s="145"/>
      <c r="S3" s="145"/>
      <c r="T3" s="145"/>
      <c r="U3" s="145"/>
    </row>
    <row r="4" spans="1:21">
      <c r="A4" s="147" t="s">
        <v>621</v>
      </c>
      <c r="B4" s="582">
        <v>18.548999999999999</v>
      </c>
      <c r="C4" s="583"/>
      <c r="D4" s="144"/>
      <c r="E4" s="144"/>
      <c r="F4" s="144"/>
      <c r="G4" s="144"/>
      <c r="H4" s="144"/>
      <c r="I4" s="144"/>
      <c r="J4" s="144"/>
      <c r="K4" s="144"/>
      <c r="L4" s="144"/>
      <c r="M4" s="144"/>
      <c r="N4" s="144"/>
      <c r="O4" s="144"/>
      <c r="P4" s="144"/>
      <c r="Q4" s="144"/>
      <c r="R4" s="145"/>
      <c r="S4" s="145"/>
      <c r="T4" s="145"/>
      <c r="U4" s="145"/>
    </row>
    <row r="5" spans="1:21">
      <c r="A5" s="147" t="s">
        <v>622</v>
      </c>
      <c r="B5" s="582">
        <v>-179.64699999999999</v>
      </c>
      <c r="C5" s="142"/>
      <c r="D5" s="144"/>
      <c r="E5" s="144"/>
      <c r="F5" s="144"/>
      <c r="G5" s="144"/>
      <c r="H5" s="144"/>
      <c r="I5" s="144"/>
      <c r="J5" s="144"/>
      <c r="K5" s="144"/>
      <c r="L5" s="144"/>
      <c r="M5" s="144"/>
      <c r="N5" s="144"/>
      <c r="O5" s="144"/>
      <c r="P5" s="144"/>
      <c r="Q5" s="144"/>
      <c r="R5" s="145"/>
      <c r="S5" s="145"/>
      <c r="T5" s="145"/>
      <c r="U5" s="145"/>
    </row>
    <row r="6" spans="1:21">
      <c r="A6" s="149" t="s">
        <v>50</v>
      </c>
      <c r="B6" s="51">
        <v>13.663319829000001</v>
      </c>
      <c r="C6" s="143"/>
      <c r="D6" s="144"/>
      <c r="E6" s="144"/>
      <c r="F6" s="144"/>
      <c r="G6" s="144"/>
      <c r="H6" s="144"/>
      <c r="I6" s="144"/>
      <c r="J6" s="144"/>
      <c r="K6" s="144"/>
      <c r="L6" s="144"/>
      <c r="M6" s="144"/>
      <c r="N6" s="144"/>
      <c r="O6" s="144"/>
      <c r="P6" s="144"/>
      <c r="Q6" s="144"/>
      <c r="R6" s="145"/>
      <c r="S6" s="145"/>
      <c r="T6" s="145"/>
      <c r="U6" s="145"/>
    </row>
    <row r="7" spans="1:21">
      <c r="A7" s="141" t="s">
        <v>696</v>
      </c>
      <c r="B7" s="272" t="s">
        <v>719</v>
      </c>
      <c r="C7" s="552" t="s">
        <v>738</v>
      </c>
      <c r="D7" s="144"/>
      <c r="E7" s="144"/>
      <c r="F7" s="144"/>
      <c r="G7" s="144"/>
      <c r="H7" s="144"/>
      <c r="I7" s="144"/>
      <c r="J7" s="144"/>
      <c r="K7" s="144"/>
      <c r="L7" s="144"/>
      <c r="M7" s="144"/>
      <c r="N7" s="144"/>
      <c r="O7" s="144"/>
      <c r="P7" s="144"/>
      <c r="Q7" s="144"/>
      <c r="R7" s="145"/>
      <c r="S7" s="145"/>
      <c r="T7" s="145"/>
      <c r="U7" s="145"/>
    </row>
    <row r="8" spans="1:21" ht="51">
      <c r="A8" s="141" t="s">
        <v>63</v>
      </c>
      <c r="B8" s="153" t="s">
        <v>739</v>
      </c>
      <c r="C8" s="146" t="s">
        <v>634</v>
      </c>
      <c r="D8" s="144"/>
      <c r="E8" s="144"/>
      <c r="F8" s="144"/>
      <c r="G8" s="144"/>
      <c r="H8" s="144"/>
      <c r="I8" s="144"/>
      <c r="J8" s="144"/>
      <c r="K8" s="144"/>
      <c r="L8" s="144"/>
      <c r="M8" s="144"/>
      <c r="N8" s="144"/>
      <c r="O8" s="144"/>
      <c r="P8" s="144"/>
      <c r="Q8" s="144"/>
      <c r="R8" s="145"/>
      <c r="S8" s="145"/>
      <c r="T8" s="145"/>
      <c r="U8" s="145"/>
    </row>
    <row r="9" spans="1:21">
      <c r="A9" s="141" t="s">
        <v>64</v>
      </c>
      <c r="B9" s="146" t="s">
        <v>197</v>
      </c>
      <c r="C9" s="143"/>
      <c r="D9" s="144"/>
      <c r="E9" s="144"/>
      <c r="F9" s="144"/>
      <c r="G9" s="144"/>
      <c r="H9" s="144"/>
      <c r="I9" s="144"/>
      <c r="J9" s="144"/>
      <c r="K9" s="144"/>
      <c r="L9" s="144"/>
      <c r="M9" s="144"/>
      <c r="N9" s="144"/>
      <c r="O9" s="144"/>
      <c r="P9" s="144"/>
      <c r="Q9" s="144"/>
      <c r="R9" s="145"/>
      <c r="S9" s="145"/>
      <c r="T9" s="145"/>
      <c r="U9" s="145"/>
    </row>
    <row r="10" spans="1:21">
      <c r="A10" s="141" t="s">
        <v>65</v>
      </c>
      <c r="B10" s="152" t="s">
        <v>42</v>
      </c>
      <c r="C10" s="144"/>
      <c r="D10" s="144"/>
      <c r="E10" s="144"/>
      <c r="F10" s="144"/>
      <c r="G10" s="144"/>
      <c r="H10" s="144"/>
      <c r="I10" s="144"/>
      <c r="J10" s="144"/>
      <c r="K10" s="144"/>
      <c r="L10" s="144"/>
      <c r="M10" s="144"/>
      <c r="N10" s="144"/>
      <c r="O10" s="144"/>
      <c r="P10" s="144"/>
      <c r="Q10" s="144"/>
      <c r="R10" s="145"/>
      <c r="S10" s="145"/>
      <c r="T10" s="145"/>
      <c r="U10" s="145"/>
    </row>
    <row r="11" spans="1:21" ht="13.5" thickBot="1">
      <c r="A11" s="141"/>
      <c r="B11" s="152"/>
      <c r="C11" s="144"/>
      <c r="D11" s="144"/>
      <c r="E11" s="144"/>
      <c r="F11" s="144"/>
      <c r="G11" s="144"/>
      <c r="H11" s="144"/>
      <c r="I11" s="144"/>
      <c r="J11" s="144"/>
      <c r="K11" s="144"/>
      <c r="L11" s="144"/>
      <c r="M11" s="144"/>
      <c r="N11" s="144"/>
      <c r="O11" s="144"/>
      <c r="P11" s="144"/>
      <c r="Q11" s="144"/>
      <c r="R11" s="145"/>
      <c r="S11" s="145"/>
      <c r="T11" s="145"/>
      <c r="U11" s="145"/>
    </row>
    <row r="12" spans="1:21" ht="77.25" thickBot="1">
      <c r="A12" s="211" t="s">
        <v>18</v>
      </c>
      <c r="B12" s="212" t="s">
        <v>66</v>
      </c>
      <c r="C12" s="212" t="s">
        <v>67</v>
      </c>
      <c r="D12" s="212" t="s">
        <v>68</v>
      </c>
      <c r="E12" s="212" t="s">
        <v>69</v>
      </c>
      <c r="F12" s="212" t="s">
        <v>43</v>
      </c>
      <c r="G12" s="212" t="s">
        <v>31</v>
      </c>
      <c r="H12" s="213" t="s">
        <v>10</v>
      </c>
      <c r="I12" s="214" t="s">
        <v>725</v>
      </c>
      <c r="J12" s="575" t="s">
        <v>49</v>
      </c>
      <c r="K12" s="159" t="s">
        <v>52</v>
      </c>
      <c r="L12" s="216" t="s">
        <v>659</v>
      </c>
      <c r="M12" s="217" t="s">
        <v>70</v>
      </c>
      <c r="N12" s="217" t="s">
        <v>71</v>
      </c>
      <c r="O12" s="217" t="s">
        <v>36</v>
      </c>
      <c r="P12" s="217" t="s">
        <v>34</v>
      </c>
      <c r="Q12" s="576" t="s">
        <v>72</v>
      </c>
      <c r="R12" s="218" t="s">
        <v>73</v>
      </c>
      <c r="S12" s="160" t="s">
        <v>15</v>
      </c>
      <c r="T12" s="1015" t="s">
        <v>38</v>
      </c>
      <c r="U12" s="1016"/>
    </row>
    <row r="13" spans="1:21">
      <c r="A13" s="236"/>
      <c r="B13" s="237"/>
      <c r="C13" s="237"/>
      <c r="D13" s="237"/>
      <c r="E13" s="237"/>
      <c r="F13" s="237"/>
      <c r="G13" s="237"/>
      <c r="H13" s="499"/>
      <c r="I13" s="239"/>
      <c r="J13" s="577"/>
      <c r="K13" s="577"/>
      <c r="L13" s="578"/>
      <c r="M13" s="241"/>
      <c r="N13" s="241"/>
      <c r="O13" s="241"/>
      <c r="P13" s="241"/>
      <c r="Q13" s="240"/>
      <c r="R13" s="242"/>
      <c r="S13" s="500"/>
      <c r="T13" s="579"/>
      <c r="U13" s="194"/>
    </row>
    <row r="14" spans="1:21">
      <c r="A14" s="243">
        <v>865</v>
      </c>
      <c r="B14" s="196" t="s">
        <v>89</v>
      </c>
      <c r="C14" s="196" t="s">
        <v>608</v>
      </c>
      <c r="D14" s="196">
        <v>2</v>
      </c>
      <c r="E14" s="196">
        <v>70</v>
      </c>
      <c r="F14" s="196">
        <v>77.2</v>
      </c>
      <c r="G14" s="244"/>
      <c r="H14" s="377">
        <v>48.052497863769531</v>
      </c>
      <c r="I14" s="57">
        <v>-2.93</v>
      </c>
      <c r="J14" s="377">
        <v>-1.1599999999999999</v>
      </c>
      <c r="K14" s="382">
        <v>-0.89012341618537905</v>
      </c>
      <c r="L14" s="491">
        <f>16.1-4.64*($I14-K14)+0.09*($I14-K14)^2</f>
        <v>25.939526031847411</v>
      </c>
      <c r="M14" s="395" t="s">
        <v>609</v>
      </c>
      <c r="N14" s="296" t="s">
        <v>74</v>
      </c>
      <c r="O14" s="296" t="s">
        <v>95</v>
      </c>
      <c r="P14" s="296" t="s">
        <v>35</v>
      </c>
      <c r="Q14" s="314" t="s">
        <v>91</v>
      </c>
      <c r="R14" s="501" t="s">
        <v>610</v>
      </c>
      <c r="S14" s="315" t="s">
        <v>610</v>
      </c>
      <c r="T14" s="195">
        <v>0.88</v>
      </c>
      <c r="U14" s="198" t="s">
        <v>611</v>
      </c>
    </row>
    <row r="15" spans="1:21">
      <c r="A15" s="243">
        <v>865</v>
      </c>
      <c r="B15" s="196" t="s">
        <v>89</v>
      </c>
      <c r="C15" s="196" t="s">
        <v>608</v>
      </c>
      <c r="D15" s="196">
        <v>3</v>
      </c>
      <c r="E15" s="196">
        <v>20</v>
      </c>
      <c r="F15" s="196">
        <v>78.2</v>
      </c>
      <c r="G15" s="244"/>
      <c r="H15" s="55">
        <v>48.493125915527344</v>
      </c>
      <c r="I15" s="57">
        <v>-2.38</v>
      </c>
      <c r="J15" s="377">
        <v>-1.1599999999999999</v>
      </c>
      <c r="K15" s="382">
        <v>-0.89012341618537905</v>
      </c>
      <c r="L15" s="491">
        <f t="shared" ref="L15:L24" si="0">16.1-4.64*($I15-K15)+0.09*($I15-K15)^2</f>
        <v>23.21280325004976</v>
      </c>
      <c r="M15" s="395" t="s">
        <v>609</v>
      </c>
      <c r="N15" s="296" t="s">
        <v>74</v>
      </c>
      <c r="O15" s="296" t="s">
        <v>95</v>
      </c>
      <c r="P15" s="296" t="s">
        <v>35</v>
      </c>
      <c r="Q15" s="314" t="s">
        <v>91</v>
      </c>
      <c r="R15" s="501" t="s">
        <v>610</v>
      </c>
      <c r="S15" s="315" t="s">
        <v>610</v>
      </c>
      <c r="T15" s="195">
        <v>0.42</v>
      </c>
      <c r="U15" s="198" t="s">
        <v>611</v>
      </c>
    </row>
    <row r="16" spans="1:21">
      <c r="A16" s="243">
        <v>865</v>
      </c>
      <c r="B16" s="196" t="s">
        <v>89</v>
      </c>
      <c r="C16" s="196" t="s">
        <v>608</v>
      </c>
      <c r="D16" s="196">
        <v>3</v>
      </c>
      <c r="E16" s="196">
        <v>70</v>
      </c>
      <c r="F16" s="196">
        <v>78.7</v>
      </c>
      <c r="G16" s="244"/>
      <c r="H16" s="55">
        <v>48.713436126708984</v>
      </c>
      <c r="I16" s="57">
        <v>-2.62</v>
      </c>
      <c r="J16" s="377">
        <v>-1.1599999999999999</v>
      </c>
      <c r="K16" s="382">
        <v>-0.89012341618537905</v>
      </c>
      <c r="L16" s="491">
        <f t="shared" si="0"/>
        <v>24.395949918470556</v>
      </c>
      <c r="M16" s="395" t="s">
        <v>609</v>
      </c>
      <c r="N16" s="296" t="s">
        <v>74</v>
      </c>
      <c r="O16" s="296" t="s">
        <v>95</v>
      </c>
      <c r="P16" s="296" t="s">
        <v>35</v>
      </c>
      <c r="Q16" s="314" t="s">
        <v>91</v>
      </c>
      <c r="R16" s="501" t="s">
        <v>610</v>
      </c>
      <c r="S16" s="315" t="s">
        <v>610</v>
      </c>
      <c r="T16" s="195">
        <v>0.08</v>
      </c>
      <c r="U16" s="198" t="s">
        <v>611</v>
      </c>
    </row>
    <row r="17" spans="1:21">
      <c r="A17" s="243">
        <v>865</v>
      </c>
      <c r="B17" s="196" t="s">
        <v>89</v>
      </c>
      <c r="C17" s="196" t="s">
        <v>608</v>
      </c>
      <c r="D17" s="196">
        <v>4</v>
      </c>
      <c r="E17" s="196">
        <v>10</v>
      </c>
      <c r="F17" s="196">
        <v>79.599999999999994</v>
      </c>
      <c r="G17" s="196" t="s">
        <v>21</v>
      </c>
      <c r="H17" s="196">
        <v>49.110000610351563</v>
      </c>
      <c r="I17" s="57">
        <v>-2.86</v>
      </c>
      <c r="J17" s="377">
        <v>-1.1599999999999999</v>
      </c>
      <c r="K17" s="382">
        <v>-0.89012341618537905</v>
      </c>
      <c r="L17" s="530">
        <f t="shared" si="0"/>
        <v>25.589464586891349</v>
      </c>
      <c r="M17" s="395" t="s">
        <v>609</v>
      </c>
      <c r="N17" s="296" t="s">
        <v>74</v>
      </c>
      <c r="O17" s="296" t="s">
        <v>95</v>
      </c>
      <c r="P17" s="296" t="s">
        <v>35</v>
      </c>
      <c r="Q17" s="314" t="s">
        <v>91</v>
      </c>
      <c r="R17" s="501" t="s">
        <v>610</v>
      </c>
      <c r="S17" s="315" t="s">
        <v>610</v>
      </c>
      <c r="T17" s="195">
        <v>0.46</v>
      </c>
      <c r="U17" s="198" t="s">
        <v>611</v>
      </c>
    </row>
    <row r="18" spans="1:21">
      <c r="A18" s="243">
        <v>865</v>
      </c>
      <c r="B18" s="196" t="s">
        <v>89</v>
      </c>
      <c r="C18" s="196" t="s">
        <v>608</v>
      </c>
      <c r="D18" s="196">
        <v>4</v>
      </c>
      <c r="E18" s="196">
        <v>70</v>
      </c>
      <c r="F18" s="196">
        <v>80.2</v>
      </c>
      <c r="G18" s="196" t="s">
        <v>21</v>
      </c>
      <c r="H18" s="196">
        <v>49.385398864746094</v>
      </c>
      <c r="I18" s="57">
        <v>-2.4</v>
      </c>
      <c r="J18" s="377">
        <v>-1.1599999999999999</v>
      </c>
      <c r="K18" s="382">
        <v>-0.89012341618537905</v>
      </c>
      <c r="L18" s="530">
        <f t="shared" si="0"/>
        <v>23.311002805751496</v>
      </c>
      <c r="M18" s="395" t="s">
        <v>609</v>
      </c>
      <c r="N18" s="296" t="s">
        <v>74</v>
      </c>
      <c r="O18" s="296" t="s">
        <v>95</v>
      </c>
      <c r="P18" s="296" t="s">
        <v>35</v>
      </c>
      <c r="Q18" s="314" t="s">
        <v>91</v>
      </c>
      <c r="R18" s="501" t="s">
        <v>610</v>
      </c>
      <c r="S18" s="315" t="s">
        <v>610</v>
      </c>
      <c r="T18" s="195">
        <v>0.72</v>
      </c>
      <c r="U18" s="198" t="s">
        <v>611</v>
      </c>
    </row>
    <row r="19" spans="1:21">
      <c r="A19" s="243">
        <v>865</v>
      </c>
      <c r="B19" s="196" t="s">
        <v>89</v>
      </c>
      <c r="C19" s="196" t="s">
        <v>608</v>
      </c>
      <c r="D19" s="196">
        <v>4</v>
      </c>
      <c r="E19" s="196">
        <v>120</v>
      </c>
      <c r="F19" s="196">
        <v>80.7</v>
      </c>
      <c r="G19" s="196" t="s">
        <v>21</v>
      </c>
      <c r="H19" s="196">
        <v>49.614898681640625</v>
      </c>
      <c r="I19" s="57">
        <v>-3.17</v>
      </c>
      <c r="J19" s="377">
        <v>-1.1599999999999999</v>
      </c>
      <c r="K19" s="382">
        <v>-0.89012341618537905</v>
      </c>
      <c r="L19" s="530">
        <f t="shared" si="0"/>
        <v>27.1464327002682</v>
      </c>
      <c r="M19" s="395" t="s">
        <v>609</v>
      </c>
      <c r="N19" s="296" t="s">
        <v>74</v>
      </c>
      <c r="O19" s="296" t="s">
        <v>95</v>
      </c>
      <c r="P19" s="296" t="s">
        <v>35</v>
      </c>
      <c r="Q19" s="314" t="s">
        <v>91</v>
      </c>
      <c r="R19" s="501" t="s">
        <v>610</v>
      </c>
      <c r="S19" s="315" t="s">
        <v>610</v>
      </c>
      <c r="T19" s="195">
        <v>0.28000000000000003</v>
      </c>
      <c r="U19" s="198" t="s">
        <v>611</v>
      </c>
    </row>
    <row r="20" spans="1:21">
      <c r="A20" s="243">
        <v>865</v>
      </c>
      <c r="B20" s="196" t="s">
        <v>89</v>
      </c>
      <c r="C20" s="196" t="s">
        <v>608</v>
      </c>
      <c r="D20" s="196">
        <v>5</v>
      </c>
      <c r="E20" s="196">
        <v>70</v>
      </c>
      <c r="F20" s="196">
        <v>81.7</v>
      </c>
      <c r="G20" s="196" t="s">
        <v>21</v>
      </c>
      <c r="H20" s="196">
        <v>50.073898315429688</v>
      </c>
      <c r="I20" s="57">
        <v>-3.14</v>
      </c>
      <c r="J20" s="377">
        <v>-1.1599999999999999</v>
      </c>
      <c r="K20" s="382">
        <v>-0.89012341618537905</v>
      </c>
      <c r="L20" s="530">
        <f t="shared" si="0"/>
        <v>26.995002366715603</v>
      </c>
      <c r="M20" s="395" t="s">
        <v>609</v>
      </c>
      <c r="N20" s="296" t="s">
        <v>74</v>
      </c>
      <c r="O20" s="296" t="s">
        <v>95</v>
      </c>
      <c r="P20" s="296" t="s">
        <v>35</v>
      </c>
      <c r="Q20" s="314" t="s">
        <v>91</v>
      </c>
      <c r="R20" s="501" t="s">
        <v>610</v>
      </c>
      <c r="S20" s="315" t="s">
        <v>610</v>
      </c>
      <c r="T20" s="195">
        <v>0.71</v>
      </c>
      <c r="U20" s="198" t="s">
        <v>611</v>
      </c>
    </row>
    <row r="21" spans="1:21">
      <c r="A21" s="243">
        <v>865</v>
      </c>
      <c r="B21" s="196" t="s">
        <v>89</v>
      </c>
      <c r="C21" s="196" t="s">
        <v>608</v>
      </c>
      <c r="D21" s="196">
        <v>6</v>
      </c>
      <c r="E21" s="196">
        <v>6</v>
      </c>
      <c r="F21" s="196">
        <v>82.56</v>
      </c>
      <c r="G21" s="196" t="s">
        <v>21</v>
      </c>
      <c r="H21" s="196">
        <v>50.468639373779297</v>
      </c>
      <c r="I21" s="57">
        <v>-3.06</v>
      </c>
      <c r="J21" s="377">
        <v>-1.1599999999999999</v>
      </c>
      <c r="K21" s="382">
        <v>-0.89012341618537905</v>
      </c>
      <c r="L21" s="530">
        <f t="shared" si="0"/>
        <v>26.591980143908671</v>
      </c>
      <c r="M21" s="395" t="s">
        <v>609</v>
      </c>
      <c r="N21" s="296" t="s">
        <v>74</v>
      </c>
      <c r="O21" s="296" t="s">
        <v>95</v>
      </c>
      <c r="P21" s="296" t="s">
        <v>35</v>
      </c>
      <c r="Q21" s="314" t="s">
        <v>91</v>
      </c>
      <c r="R21" s="501" t="s">
        <v>610</v>
      </c>
      <c r="S21" s="315" t="s">
        <v>610</v>
      </c>
      <c r="T21" s="195">
        <v>0.11</v>
      </c>
      <c r="U21" s="198" t="s">
        <v>611</v>
      </c>
    </row>
    <row r="22" spans="1:21">
      <c r="A22" s="243">
        <v>865</v>
      </c>
      <c r="B22" s="196" t="s">
        <v>89</v>
      </c>
      <c r="C22" s="196" t="s">
        <v>612</v>
      </c>
      <c r="D22" s="196">
        <v>1</v>
      </c>
      <c r="E22" s="196">
        <v>83</v>
      </c>
      <c r="F22" s="196">
        <v>85.33</v>
      </c>
      <c r="G22" s="196" t="s">
        <v>21</v>
      </c>
      <c r="H22" s="196">
        <v>51.740070343017578</v>
      </c>
      <c r="I22" s="57">
        <v>-3.03</v>
      </c>
      <c r="J22" s="377">
        <v>-1.1599999999999999</v>
      </c>
      <c r="K22" s="382">
        <v>-0.89012341618537905</v>
      </c>
      <c r="L22" s="530">
        <f t="shared" si="0"/>
        <v>26.441143810356074</v>
      </c>
      <c r="M22" s="395" t="s">
        <v>609</v>
      </c>
      <c r="N22" s="296" t="s">
        <v>74</v>
      </c>
      <c r="O22" s="296" t="s">
        <v>95</v>
      </c>
      <c r="P22" s="296" t="s">
        <v>35</v>
      </c>
      <c r="Q22" s="314" t="s">
        <v>91</v>
      </c>
      <c r="R22" s="501" t="s">
        <v>610</v>
      </c>
      <c r="S22" s="315" t="s">
        <v>610</v>
      </c>
      <c r="T22" s="195">
        <v>0.45</v>
      </c>
      <c r="U22" s="198" t="s">
        <v>611</v>
      </c>
    </row>
    <row r="23" spans="1:21">
      <c r="A23" s="243">
        <v>865</v>
      </c>
      <c r="B23" s="196" t="s">
        <v>89</v>
      </c>
      <c r="C23" s="196" t="s">
        <v>612</v>
      </c>
      <c r="D23" s="196">
        <v>2</v>
      </c>
      <c r="E23" s="196">
        <v>60</v>
      </c>
      <c r="F23" s="196">
        <v>86.6</v>
      </c>
      <c r="G23" s="196" t="s">
        <v>21</v>
      </c>
      <c r="H23" s="196">
        <v>52.322998046875</v>
      </c>
      <c r="I23" s="57">
        <v>-2.29</v>
      </c>
      <c r="J23" s="377">
        <v>-1.1599999999999999</v>
      </c>
      <c r="K23" s="382">
        <v>-0.89012341618537905</v>
      </c>
      <c r="L23" s="530">
        <f t="shared" si="0"/>
        <v>22.771796249391969</v>
      </c>
      <c r="M23" s="395" t="s">
        <v>609</v>
      </c>
      <c r="N23" s="296" t="s">
        <v>74</v>
      </c>
      <c r="O23" s="296" t="s">
        <v>95</v>
      </c>
      <c r="P23" s="296" t="s">
        <v>35</v>
      </c>
      <c r="Q23" s="314" t="s">
        <v>91</v>
      </c>
      <c r="R23" s="501" t="s">
        <v>610</v>
      </c>
      <c r="S23" s="315" t="s">
        <v>610</v>
      </c>
      <c r="T23" s="195">
        <v>0.12</v>
      </c>
      <c r="U23" s="198" t="s">
        <v>611</v>
      </c>
    </row>
    <row r="24" spans="1:21">
      <c r="A24" s="557">
        <v>865</v>
      </c>
      <c r="B24" s="226" t="s">
        <v>89</v>
      </c>
      <c r="C24" s="226" t="s">
        <v>612</v>
      </c>
      <c r="D24" s="226">
        <v>3</v>
      </c>
      <c r="E24" s="226">
        <v>4</v>
      </c>
      <c r="F24" s="226">
        <v>87.54</v>
      </c>
      <c r="G24" s="226" t="s">
        <v>21</v>
      </c>
      <c r="H24" s="226">
        <v>52.754459381103516</v>
      </c>
      <c r="I24" s="541">
        <v>-3.42</v>
      </c>
      <c r="J24" s="434">
        <v>-1.1599999999999999</v>
      </c>
      <c r="K24" s="385">
        <v>-0.89012341618537905</v>
      </c>
      <c r="L24" s="585">
        <f t="shared" si="0"/>
        <v>28.414652146539858</v>
      </c>
      <c r="M24" s="229" t="s">
        <v>609</v>
      </c>
      <c r="N24" s="386" t="s">
        <v>74</v>
      </c>
      <c r="O24" s="386" t="s">
        <v>95</v>
      </c>
      <c r="P24" s="386" t="s">
        <v>35</v>
      </c>
      <c r="Q24" s="388" t="s">
        <v>91</v>
      </c>
      <c r="R24" s="504" t="s">
        <v>610</v>
      </c>
      <c r="S24" s="315" t="s">
        <v>610</v>
      </c>
      <c r="T24" s="195">
        <v>0.66</v>
      </c>
      <c r="U24" s="198" t="s">
        <v>611</v>
      </c>
    </row>
    <row r="25" spans="1:21">
      <c r="A25" s="243">
        <v>865</v>
      </c>
      <c r="B25" s="196" t="s">
        <v>89</v>
      </c>
      <c r="C25" s="196" t="s">
        <v>612</v>
      </c>
      <c r="D25" s="196">
        <v>5</v>
      </c>
      <c r="E25" s="196">
        <v>60</v>
      </c>
      <c r="F25" s="196">
        <v>91.1</v>
      </c>
      <c r="G25" s="196"/>
      <c r="H25" s="196">
        <v>54.225673675537109</v>
      </c>
      <c r="I25" s="57">
        <v>-3.06</v>
      </c>
      <c r="J25" s="377">
        <v>-1.1599999999999999</v>
      </c>
      <c r="K25" s="382">
        <v>-0.89012341618537905</v>
      </c>
      <c r="L25" s="491">
        <f>16.1-4.64*($I25-K25)+0.09*($I25-K25)^2</f>
        <v>26.591980143908671</v>
      </c>
      <c r="M25" s="529" t="s">
        <v>613</v>
      </c>
      <c r="N25" s="296" t="s">
        <v>74</v>
      </c>
      <c r="O25" s="296" t="s">
        <v>95</v>
      </c>
      <c r="P25" s="296" t="s">
        <v>35</v>
      </c>
      <c r="Q25" s="314" t="s">
        <v>91</v>
      </c>
      <c r="R25" s="501" t="s">
        <v>610</v>
      </c>
      <c r="S25" s="315" t="s">
        <v>610</v>
      </c>
      <c r="T25" s="195">
        <v>0.35</v>
      </c>
      <c r="U25" s="198" t="s">
        <v>611</v>
      </c>
    </row>
    <row r="26" spans="1:21">
      <c r="A26" s="243">
        <v>865</v>
      </c>
      <c r="B26" s="196" t="s">
        <v>89</v>
      </c>
      <c r="C26" s="196" t="s">
        <v>399</v>
      </c>
      <c r="D26" s="196">
        <v>1</v>
      </c>
      <c r="E26" s="196">
        <v>20</v>
      </c>
      <c r="F26" s="196">
        <v>94.2</v>
      </c>
      <c r="G26" s="196"/>
      <c r="H26" s="196">
        <v>54.533878326416016</v>
      </c>
      <c r="I26" s="57">
        <v>-3.33</v>
      </c>
      <c r="J26" s="377">
        <v>-1.1599999999999999</v>
      </c>
      <c r="K26" s="382">
        <v>-0.89012341618537905</v>
      </c>
      <c r="L26" s="491">
        <f>16.1-4.64*($I26-K26)+0.09*($I26-K26)^2</f>
        <v>27.956797145882064</v>
      </c>
      <c r="M26" s="529" t="s">
        <v>613</v>
      </c>
      <c r="N26" s="296" t="s">
        <v>74</v>
      </c>
      <c r="O26" s="296" t="s">
        <v>95</v>
      </c>
      <c r="P26" s="296" t="s">
        <v>35</v>
      </c>
      <c r="Q26" s="314" t="s">
        <v>91</v>
      </c>
      <c r="R26" s="501" t="s">
        <v>610</v>
      </c>
      <c r="S26" s="315" t="s">
        <v>610</v>
      </c>
      <c r="T26" s="195">
        <v>0.47</v>
      </c>
      <c r="U26" s="198" t="s">
        <v>611</v>
      </c>
    </row>
    <row r="27" spans="1:21">
      <c r="A27" s="243">
        <v>865</v>
      </c>
      <c r="B27" s="196" t="s">
        <v>89</v>
      </c>
      <c r="C27" s="196" t="s">
        <v>399</v>
      </c>
      <c r="D27" s="196">
        <v>3</v>
      </c>
      <c r="E27" s="196">
        <v>85</v>
      </c>
      <c r="F27" s="196">
        <v>97.85</v>
      </c>
      <c r="G27" s="196"/>
      <c r="H27" s="196">
        <v>54.896766662597656</v>
      </c>
      <c r="I27" s="57">
        <v>-3.38</v>
      </c>
      <c r="J27" s="377">
        <v>-1.1599999999999999</v>
      </c>
      <c r="K27" s="382">
        <v>-0.89012341618537905</v>
      </c>
      <c r="L27" s="491">
        <f>16.1-4.64*($I27-K27)+0.09*($I27-K27)^2</f>
        <v>28.210981035136392</v>
      </c>
      <c r="M27" s="529" t="s">
        <v>613</v>
      </c>
      <c r="N27" s="296" t="s">
        <v>74</v>
      </c>
      <c r="O27" s="296" t="s">
        <v>95</v>
      </c>
      <c r="P27" s="296" t="s">
        <v>35</v>
      </c>
      <c r="Q27" s="314" t="s">
        <v>91</v>
      </c>
      <c r="R27" s="501" t="s">
        <v>610</v>
      </c>
      <c r="S27" s="315" t="s">
        <v>610</v>
      </c>
      <c r="T27" s="195">
        <v>0.4</v>
      </c>
      <c r="U27" s="198" t="s">
        <v>611</v>
      </c>
    </row>
    <row r="28" spans="1:21">
      <c r="A28" s="557">
        <v>865</v>
      </c>
      <c r="B28" s="226" t="s">
        <v>89</v>
      </c>
      <c r="C28" s="226" t="s">
        <v>399</v>
      </c>
      <c r="D28" s="226">
        <v>4</v>
      </c>
      <c r="E28" s="226">
        <v>20</v>
      </c>
      <c r="F28" s="226">
        <v>98.7</v>
      </c>
      <c r="G28" s="226"/>
      <c r="H28" s="226">
        <v>54.981273651123047</v>
      </c>
      <c r="I28" s="541">
        <v>-2.69</v>
      </c>
      <c r="J28" s="434">
        <v>-1.1599999999999999</v>
      </c>
      <c r="K28" s="385">
        <v>-0.89012341618537905</v>
      </c>
      <c r="L28" s="496">
        <f>16.1-4.64*($I28-K28)+0.09*($I28-K28)^2</f>
        <v>24.742987363426618</v>
      </c>
      <c r="M28" s="580" t="s">
        <v>613</v>
      </c>
      <c r="N28" s="386" t="s">
        <v>74</v>
      </c>
      <c r="O28" s="386" t="s">
        <v>95</v>
      </c>
      <c r="P28" s="386" t="s">
        <v>35</v>
      </c>
      <c r="Q28" s="388" t="s">
        <v>91</v>
      </c>
      <c r="R28" s="504" t="s">
        <v>610</v>
      </c>
      <c r="S28" s="315" t="s">
        <v>610</v>
      </c>
      <c r="T28" s="195">
        <v>0.67</v>
      </c>
      <c r="U28" s="198" t="s">
        <v>611</v>
      </c>
    </row>
    <row r="29" spans="1:21">
      <c r="A29" s="243">
        <v>865</v>
      </c>
      <c r="B29" s="196" t="s">
        <v>98</v>
      </c>
      <c r="C29" s="196" t="s">
        <v>97</v>
      </c>
      <c r="D29" s="196">
        <v>2</v>
      </c>
      <c r="E29" s="196">
        <v>70</v>
      </c>
      <c r="F29" s="196">
        <v>100.5</v>
      </c>
      <c r="G29" s="196"/>
      <c r="H29" s="196">
        <v>55.572307586669922</v>
      </c>
      <c r="I29" s="57">
        <v>-3.55</v>
      </c>
      <c r="J29" s="377">
        <v>-1.1599999999999999</v>
      </c>
      <c r="K29" s="382">
        <v>-0.89012341618537905</v>
      </c>
      <c r="L29" s="491">
        <f>16.1-4.64*($I29-K29)+0.09*($I29-K29)^2</f>
        <v>29.078572258601124</v>
      </c>
      <c r="M29" s="529" t="s">
        <v>614</v>
      </c>
      <c r="N29" s="296" t="s">
        <v>74</v>
      </c>
      <c r="O29" s="296" t="s">
        <v>95</v>
      </c>
      <c r="P29" s="296" t="s">
        <v>35</v>
      </c>
      <c r="Q29" s="314" t="s">
        <v>91</v>
      </c>
      <c r="R29" s="501" t="s">
        <v>610</v>
      </c>
      <c r="S29" s="315" t="s">
        <v>610</v>
      </c>
      <c r="T29" s="195">
        <v>0.56999999999999995</v>
      </c>
      <c r="U29" s="198" t="s">
        <v>611</v>
      </c>
    </row>
    <row r="30" spans="1:21">
      <c r="A30" s="243">
        <v>865</v>
      </c>
      <c r="B30" s="196" t="s">
        <v>98</v>
      </c>
      <c r="C30" s="196" t="s">
        <v>97</v>
      </c>
      <c r="D30" s="196">
        <v>3</v>
      </c>
      <c r="E30" s="196">
        <v>0</v>
      </c>
      <c r="F30" s="196">
        <v>101.3</v>
      </c>
      <c r="G30" s="196"/>
      <c r="H30" s="196">
        <v>55.703998565673828</v>
      </c>
      <c r="I30" s="57">
        <v>-3.84</v>
      </c>
      <c r="J30" s="377">
        <v>-1.1599999999999999</v>
      </c>
      <c r="K30" s="382">
        <v>-0.89012341618537905</v>
      </c>
      <c r="L30" s="491">
        <f t="shared" ref="L30:L54" si="1">16.1-4.64*($I30-K30)+0.09*($I30-K30)^2</f>
        <v>30.570586816276244</v>
      </c>
      <c r="M30" s="529" t="s">
        <v>614</v>
      </c>
      <c r="N30" s="296" t="s">
        <v>74</v>
      </c>
      <c r="O30" s="296" t="s">
        <v>95</v>
      </c>
      <c r="P30" s="296" t="s">
        <v>35</v>
      </c>
      <c r="Q30" s="314" t="s">
        <v>91</v>
      </c>
      <c r="R30" s="501" t="s">
        <v>610</v>
      </c>
      <c r="S30" s="315" t="s">
        <v>610</v>
      </c>
      <c r="T30" s="195">
        <v>0.19</v>
      </c>
      <c r="U30" s="198" t="s">
        <v>611</v>
      </c>
    </row>
    <row r="31" spans="1:21">
      <c r="A31" s="243">
        <v>865</v>
      </c>
      <c r="B31" s="196" t="s">
        <v>98</v>
      </c>
      <c r="C31" s="196" t="s">
        <v>97</v>
      </c>
      <c r="D31" s="196">
        <v>3</v>
      </c>
      <c r="E31" s="196">
        <v>30</v>
      </c>
      <c r="F31" s="196">
        <v>101.6</v>
      </c>
      <c r="G31" s="196"/>
      <c r="H31" s="196">
        <v>55.751998901367188</v>
      </c>
      <c r="I31" s="57">
        <v>-3.88</v>
      </c>
      <c r="J31" s="377">
        <v>-1.1599999999999999</v>
      </c>
      <c r="K31" s="382">
        <v>-0.89012341618537905</v>
      </c>
      <c r="L31" s="491">
        <f t="shared" si="1"/>
        <v>30.777569927679711</v>
      </c>
      <c r="M31" s="529" t="s">
        <v>614</v>
      </c>
      <c r="N31" s="296" t="s">
        <v>74</v>
      </c>
      <c r="O31" s="296" t="s">
        <v>95</v>
      </c>
      <c r="P31" s="296" t="s">
        <v>35</v>
      </c>
      <c r="Q31" s="314" t="s">
        <v>91</v>
      </c>
      <c r="R31" s="501" t="s">
        <v>610</v>
      </c>
      <c r="S31" s="315" t="s">
        <v>610</v>
      </c>
      <c r="T31" s="195">
        <v>0.32</v>
      </c>
      <c r="U31" s="198" t="s">
        <v>611</v>
      </c>
    </row>
    <row r="32" spans="1:21">
      <c r="A32" s="243">
        <v>865</v>
      </c>
      <c r="B32" s="196" t="s">
        <v>98</v>
      </c>
      <c r="C32" s="196" t="s">
        <v>97</v>
      </c>
      <c r="D32" s="196">
        <v>3</v>
      </c>
      <c r="E32" s="196">
        <v>70</v>
      </c>
      <c r="F32" s="196">
        <v>102</v>
      </c>
      <c r="G32" s="196"/>
      <c r="H32" s="196">
        <v>55.815998077392578</v>
      </c>
      <c r="I32" s="57">
        <v>-3.3</v>
      </c>
      <c r="J32" s="377">
        <v>-1.1599999999999999</v>
      </c>
      <c r="K32" s="382">
        <v>-0.89012341618537905</v>
      </c>
      <c r="L32" s="491">
        <f t="shared" si="1"/>
        <v>27.80450281232946</v>
      </c>
      <c r="M32" s="529" t="s">
        <v>614</v>
      </c>
      <c r="N32" s="296" t="s">
        <v>74</v>
      </c>
      <c r="O32" s="296" t="s">
        <v>95</v>
      </c>
      <c r="P32" s="296" t="s">
        <v>35</v>
      </c>
      <c r="Q32" s="314" t="s">
        <v>91</v>
      </c>
      <c r="R32" s="501" t="s">
        <v>610</v>
      </c>
      <c r="S32" s="315" t="s">
        <v>610</v>
      </c>
      <c r="T32" s="195">
        <v>0.45</v>
      </c>
      <c r="U32" s="198" t="s">
        <v>611</v>
      </c>
    </row>
    <row r="33" spans="1:21">
      <c r="A33" s="243">
        <v>865</v>
      </c>
      <c r="B33" s="196" t="s">
        <v>98</v>
      </c>
      <c r="C33" s="196" t="s">
        <v>97</v>
      </c>
      <c r="D33" s="196">
        <v>3</v>
      </c>
      <c r="E33" s="196">
        <v>110</v>
      </c>
      <c r="F33" s="196">
        <v>102.4</v>
      </c>
      <c r="G33" s="196" t="s">
        <v>587</v>
      </c>
      <c r="H33" s="196">
        <v>55.880001068115234</v>
      </c>
      <c r="I33" s="57">
        <v>-4.28</v>
      </c>
      <c r="J33" s="377">
        <v>-1.1599999999999999</v>
      </c>
      <c r="K33" s="382">
        <v>-0.89012341618537905</v>
      </c>
      <c r="L33" s="492">
        <f t="shared" si="1"/>
        <v>32.863241041714367</v>
      </c>
      <c r="M33" s="529" t="s">
        <v>614</v>
      </c>
      <c r="N33" s="296" t="s">
        <v>74</v>
      </c>
      <c r="O33" s="296" t="s">
        <v>95</v>
      </c>
      <c r="P33" s="296" t="s">
        <v>35</v>
      </c>
      <c r="Q33" s="314" t="s">
        <v>91</v>
      </c>
      <c r="R33" s="501" t="s">
        <v>610</v>
      </c>
      <c r="S33" s="315" t="s">
        <v>610</v>
      </c>
      <c r="T33" s="195">
        <v>0.27</v>
      </c>
      <c r="U33" s="198" t="s">
        <v>611</v>
      </c>
    </row>
    <row r="34" spans="1:21">
      <c r="A34" s="243">
        <v>865</v>
      </c>
      <c r="B34" s="196" t="s">
        <v>98</v>
      </c>
      <c r="C34" s="196" t="s">
        <v>97</v>
      </c>
      <c r="D34" s="196">
        <v>3</v>
      </c>
      <c r="E34" s="196">
        <v>130</v>
      </c>
      <c r="F34" s="196">
        <v>102.6</v>
      </c>
      <c r="G34" s="196" t="s">
        <v>587</v>
      </c>
      <c r="H34" s="196">
        <v>55.911998748779297</v>
      </c>
      <c r="I34" s="57">
        <v>-3.44</v>
      </c>
      <c r="J34" s="377">
        <v>-1.1599999999999999</v>
      </c>
      <c r="K34" s="382">
        <v>-0.89012341618537905</v>
      </c>
      <c r="L34" s="492">
        <f t="shared" si="1"/>
        <v>28.516595702241592</v>
      </c>
      <c r="M34" s="529" t="s">
        <v>614</v>
      </c>
      <c r="N34" s="296" t="s">
        <v>74</v>
      </c>
      <c r="O34" s="296" t="s">
        <v>95</v>
      </c>
      <c r="P34" s="296" t="s">
        <v>35</v>
      </c>
      <c r="Q34" s="314" t="s">
        <v>91</v>
      </c>
      <c r="R34" s="501" t="s">
        <v>610</v>
      </c>
      <c r="S34" s="315" t="s">
        <v>610</v>
      </c>
      <c r="T34" s="195">
        <v>0.28999999999999998</v>
      </c>
      <c r="U34" s="198" t="s">
        <v>611</v>
      </c>
    </row>
    <row r="35" spans="1:21">
      <c r="A35" s="243">
        <v>865</v>
      </c>
      <c r="B35" s="196" t="s">
        <v>98</v>
      </c>
      <c r="C35" s="196" t="s">
        <v>97</v>
      </c>
      <c r="D35" s="196">
        <v>3</v>
      </c>
      <c r="E35" s="196">
        <v>146</v>
      </c>
      <c r="F35" s="196">
        <v>102.75</v>
      </c>
      <c r="G35" s="196" t="s">
        <v>587</v>
      </c>
      <c r="H35" s="196">
        <v>55.936000823974609</v>
      </c>
      <c r="I35" s="57">
        <v>-4.26</v>
      </c>
      <c r="J35" s="377">
        <v>-1.1599999999999999</v>
      </c>
      <c r="K35" s="382">
        <v>-0.89012341618537905</v>
      </c>
      <c r="L35" s="492">
        <f t="shared" si="1"/>
        <v>32.758273486012627</v>
      </c>
      <c r="M35" s="529" t="s">
        <v>614</v>
      </c>
      <c r="N35" s="296" t="s">
        <v>74</v>
      </c>
      <c r="O35" s="296" t="s">
        <v>95</v>
      </c>
      <c r="P35" s="296" t="s">
        <v>35</v>
      </c>
      <c r="Q35" s="314" t="s">
        <v>91</v>
      </c>
      <c r="R35" s="501" t="s">
        <v>610</v>
      </c>
      <c r="S35" s="315" t="s">
        <v>610</v>
      </c>
      <c r="T35" s="195">
        <v>0.42</v>
      </c>
      <c r="U35" s="198" t="s">
        <v>611</v>
      </c>
    </row>
    <row r="36" spans="1:21">
      <c r="A36" s="243">
        <v>865</v>
      </c>
      <c r="B36" s="196" t="s">
        <v>98</v>
      </c>
      <c r="C36" s="196" t="s">
        <v>97</v>
      </c>
      <c r="D36" s="196">
        <v>4</v>
      </c>
      <c r="E36" s="196">
        <v>4</v>
      </c>
      <c r="F36" s="196">
        <v>102.84</v>
      </c>
      <c r="G36" s="196" t="s">
        <v>587</v>
      </c>
      <c r="H36" s="196">
        <v>55.950397491455078</v>
      </c>
      <c r="I36" s="57">
        <v>-4.04</v>
      </c>
      <c r="J36" s="377">
        <v>-1.1599999999999999</v>
      </c>
      <c r="K36" s="382">
        <v>-0.89012341618537905</v>
      </c>
      <c r="L36" s="492">
        <f t="shared" si="1"/>
        <v>31.608382373293573</v>
      </c>
      <c r="M36" s="529" t="s">
        <v>614</v>
      </c>
      <c r="N36" s="296" t="s">
        <v>74</v>
      </c>
      <c r="O36" s="296" t="s">
        <v>95</v>
      </c>
      <c r="P36" s="296" t="s">
        <v>35</v>
      </c>
      <c r="Q36" s="314" t="s">
        <v>91</v>
      </c>
      <c r="R36" s="501" t="s">
        <v>610</v>
      </c>
      <c r="S36" s="315" t="s">
        <v>610</v>
      </c>
      <c r="T36" s="195">
        <v>0.3</v>
      </c>
      <c r="U36" s="198" t="s">
        <v>611</v>
      </c>
    </row>
    <row r="37" spans="1:21">
      <c r="A37" s="243">
        <v>865</v>
      </c>
      <c r="B37" s="196" t="s">
        <v>98</v>
      </c>
      <c r="C37" s="196" t="s">
        <v>97</v>
      </c>
      <c r="D37" s="196">
        <v>4</v>
      </c>
      <c r="E37" s="196">
        <v>6</v>
      </c>
      <c r="F37" s="196">
        <v>102.87</v>
      </c>
      <c r="G37" s="196" t="s">
        <v>587</v>
      </c>
      <c r="H37" s="196">
        <v>55.9552001953125</v>
      </c>
      <c r="I37" s="57">
        <v>-3.82</v>
      </c>
      <c r="J37" s="377">
        <v>-1.1599999999999999</v>
      </c>
      <c r="K37" s="382">
        <v>-0.89012341618537905</v>
      </c>
      <c r="L37" s="492">
        <f t="shared" si="1"/>
        <v>30.467203260574514</v>
      </c>
      <c r="M37" s="529" t="s">
        <v>614</v>
      </c>
      <c r="N37" s="296" t="s">
        <v>74</v>
      </c>
      <c r="O37" s="296" t="s">
        <v>95</v>
      </c>
      <c r="P37" s="296" t="s">
        <v>35</v>
      </c>
      <c r="Q37" s="314" t="s">
        <v>91</v>
      </c>
      <c r="R37" s="501" t="s">
        <v>610</v>
      </c>
      <c r="S37" s="315" t="s">
        <v>610</v>
      </c>
      <c r="T37" s="195">
        <v>0.7</v>
      </c>
      <c r="U37" s="198" t="s">
        <v>611</v>
      </c>
    </row>
    <row r="38" spans="1:21">
      <c r="A38" s="243">
        <v>865</v>
      </c>
      <c r="B38" s="196" t="s">
        <v>98</v>
      </c>
      <c r="C38" s="196" t="s">
        <v>97</v>
      </c>
      <c r="D38" s="196">
        <v>4</v>
      </c>
      <c r="E38" s="196">
        <v>9</v>
      </c>
      <c r="F38" s="196">
        <v>102.89</v>
      </c>
      <c r="G38" s="196" t="s">
        <v>587</v>
      </c>
      <c r="H38" s="196">
        <v>55.958400726318359</v>
      </c>
      <c r="I38" s="57">
        <v>-3.63</v>
      </c>
      <c r="J38" s="377">
        <v>-1.1599999999999999</v>
      </c>
      <c r="K38" s="382">
        <v>-0.89012341618537905</v>
      </c>
      <c r="L38" s="492">
        <f t="shared" si="1"/>
        <v>29.488650481408051</v>
      </c>
      <c r="M38" s="529" t="s">
        <v>614</v>
      </c>
      <c r="N38" s="296" t="s">
        <v>74</v>
      </c>
      <c r="O38" s="296" t="s">
        <v>95</v>
      </c>
      <c r="P38" s="296" t="s">
        <v>35</v>
      </c>
      <c r="Q38" s="314" t="s">
        <v>91</v>
      </c>
      <c r="R38" s="501" t="s">
        <v>610</v>
      </c>
      <c r="S38" s="315" t="s">
        <v>610</v>
      </c>
      <c r="T38" s="195">
        <v>0.13</v>
      </c>
      <c r="U38" s="198" t="s">
        <v>611</v>
      </c>
    </row>
    <row r="39" spans="1:21">
      <c r="A39" s="243">
        <v>865</v>
      </c>
      <c r="B39" s="196" t="s">
        <v>98</v>
      </c>
      <c r="C39" s="196" t="s">
        <v>97</v>
      </c>
      <c r="D39" s="196">
        <v>4</v>
      </c>
      <c r="E39" s="196">
        <v>10</v>
      </c>
      <c r="F39" s="196">
        <v>102.9</v>
      </c>
      <c r="G39" s="196" t="s">
        <v>587</v>
      </c>
      <c r="H39" s="196">
        <v>55.959999084472656</v>
      </c>
      <c r="I39" s="57">
        <v>-3.09</v>
      </c>
      <c r="J39" s="377">
        <v>-1.1599999999999999</v>
      </c>
      <c r="K39" s="382">
        <v>-0.89012341618537905</v>
      </c>
      <c r="L39" s="492">
        <f t="shared" si="1"/>
        <v>26.742978477461271</v>
      </c>
      <c r="M39" s="529" t="s">
        <v>614</v>
      </c>
      <c r="N39" s="296" t="s">
        <v>74</v>
      </c>
      <c r="O39" s="296" t="s">
        <v>95</v>
      </c>
      <c r="P39" s="296" t="s">
        <v>35</v>
      </c>
      <c r="Q39" s="314" t="s">
        <v>91</v>
      </c>
      <c r="R39" s="501" t="s">
        <v>610</v>
      </c>
      <c r="S39" s="315" t="s">
        <v>610</v>
      </c>
      <c r="T39" s="195">
        <v>0.13</v>
      </c>
      <c r="U39" s="198" t="s">
        <v>611</v>
      </c>
    </row>
    <row r="40" spans="1:21">
      <c r="A40" s="243">
        <v>865</v>
      </c>
      <c r="B40" s="196" t="s">
        <v>98</v>
      </c>
      <c r="C40" s="196" t="s">
        <v>97</v>
      </c>
      <c r="D40" s="196">
        <v>4</v>
      </c>
      <c r="E40" s="196">
        <v>30</v>
      </c>
      <c r="F40" s="196">
        <v>103.1</v>
      </c>
      <c r="G40" s="196"/>
      <c r="H40" s="196">
        <v>55.984561920166016</v>
      </c>
      <c r="I40" s="57">
        <v>-3.39</v>
      </c>
      <c r="J40" s="377">
        <v>-1.1599999999999999</v>
      </c>
      <c r="K40" s="382">
        <v>-0.89012341618537905</v>
      </c>
      <c r="L40" s="491">
        <f t="shared" si="1"/>
        <v>28.261871812987263</v>
      </c>
      <c r="M40" s="529" t="s">
        <v>614</v>
      </c>
      <c r="N40" s="296" t="s">
        <v>74</v>
      </c>
      <c r="O40" s="296" t="s">
        <v>95</v>
      </c>
      <c r="P40" s="296" t="s">
        <v>35</v>
      </c>
      <c r="Q40" s="314" t="s">
        <v>91</v>
      </c>
      <c r="R40" s="501" t="s">
        <v>610</v>
      </c>
      <c r="S40" s="315" t="s">
        <v>610</v>
      </c>
      <c r="T40" s="195">
        <v>0.26</v>
      </c>
      <c r="U40" s="198" t="s">
        <v>611</v>
      </c>
    </row>
    <row r="41" spans="1:21">
      <c r="A41" s="243">
        <v>865</v>
      </c>
      <c r="B41" s="196" t="s">
        <v>98</v>
      </c>
      <c r="C41" s="196" t="s">
        <v>97</v>
      </c>
      <c r="D41" s="196">
        <v>4</v>
      </c>
      <c r="E41" s="196">
        <v>70</v>
      </c>
      <c r="F41" s="196">
        <v>103.5</v>
      </c>
      <c r="G41" s="196" t="s">
        <v>196</v>
      </c>
      <c r="H41" s="196">
        <v>56.033683776855469</v>
      </c>
      <c r="I41" s="57">
        <v>-3.91</v>
      </c>
      <c r="J41" s="377">
        <v>-1.1599999999999999</v>
      </c>
      <c r="K41" s="382">
        <v>-0.89012341618537905</v>
      </c>
      <c r="L41" s="494">
        <f t="shared" si="1"/>
        <v>30.932996261232311</v>
      </c>
      <c r="M41" s="529" t="s">
        <v>614</v>
      </c>
      <c r="N41" s="296" t="s">
        <v>74</v>
      </c>
      <c r="O41" s="296" t="s">
        <v>95</v>
      </c>
      <c r="P41" s="296" t="s">
        <v>35</v>
      </c>
      <c r="Q41" s="314" t="s">
        <v>91</v>
      </c>
      <c r="R41" s="501" t="s">
        <v>610</v>
      </c>
      <c r="S41" s="315" t="s">
        <v>610</v>
      </c>
      <c r="T41" s="195">
        <v>0.17</v>
      </c>
      <c r="U41" s="198" t="s">
        <v>611</v>
      </c>
    </row>
    <row r="42" spans="1:21">
      <c r="A42" s="243">
        <v>865</v>
      </c>
      <c r="B42" s="196" t="s">
        <v>98</v>
      </c>
      <c r="C42" s="196" t="s">
        <v>97</v>
      </c>
      <c r="D42" s="196">
        <v>4</v>
      </c>
      <c r="E42" s="196">
        <v>90</v>
      </c>
      <c r="F42" s="196">
        <v>103.7</v>
      </c>
      <c r="G42" s="196" t="s">
        <v>196</v>
      </c>
      <c r="H42" s="196">
        <v>56.058246612548828</v>
      </c>
      <c r="I42" s="57">
        <v>-3.67</v>
      </c>
      <c r="J42" s="377">
        <v>-1.1599999999999999</v>
      </c>
      <c r="K42" s="382">
        <v>-0.89012341618537905</v>
      </c>
      <c r="L42" s="494">
        <f t="shared" si="1"/>
        <v>29.694121592811516</v>
      </c>
      <c r="M42" s="529" t="s">
        <v>614</v>
      </c>
      <c r="N42" s="296" t="s">
        <v>74</v>
      </c>
      <c r="O42" s="296" t="s">
        <v>95</v>
      </c>
      <c r="P42" s="296" t="s">
        <v>35</v>
      </c>
      <c r="Q42" s="314" t="s">
        <v>91</v>
      </c>
      <c r="R42" s="501" t="s">
        <v>610</v>
      </c>
      <c r="S42" s="315" t="s">
        <v>610</v>
      </c>
      <c r="T42" s="195">
        <v>0.56999999999999995</v>
      </c>
      <c r="U42" s="198" t="s">
        <v>611</v>
      </c>
    </row>
    <row r="43" spans="1:21">
      <c r="A43" s="243">
        <v>865</v>
      </c>
      <c r="B43" s="196" t="s">
        <v>98</v>
      </c>
      <c r="C43" s="196" t="s">
        <v>97</v>
      </c>
      <c r="D43" s="196">
        <v>4</v>
      </c>
      <c r="E43" s="196">
        <v>120</v>
      </c>
      <c r="F43" s="196">
        <v>104</v>
      </c>
      <c r="G43" s="196" t="s">
        <v>196</v>
      </c>
      <c r="H43" s="196">
        <v>56.095088958740234</v>
      </c>
      <c r="I43" s="57">
        <v>-3.88</v>
      </c>
      <c r="J43" s="377">
        <v>-1.1599999999999999</v>
      </c>
      <c r="K43" s="382">
        <v>-0.89012341618537905</v>
      </c>
      <c r="L43" s="494">
        <f t="shared" si="1"/>
        <v>30.777569927679711</v>
      </c>
      <c r="M43" s="529" t="s">
        <v>614</v>
      </c>
      <c r="N43" s="296" t="s">
        <v>74</v>
      </c>
      <c r="O43" s="296" t="s">
        <v>95</v>
      </c>
      <c r="P43" s="296" t="s">
        <v>35</v>
      </c>
      <c r="Q43" s="314" t="s">
        <v>91</v>
      </c>
      <c r="R43" s="501" t="s">
        <v>610</v>
      </c>
      <c r="S43" s="315" t="s">
        <v>610</v>
      </c>
      <c r="T43" s="195">
        <v>0.33</v>
      </c>
      <c r="U43" s="198" t="s">
        <v>611</v>
      </c>
    </row>
    <row r="44" spans="1:21">
      <c r="A44" s="243">
        <v>865</v>
      </c>
      <c r="B44" s="196" t="s">
        <v>98</v>
      </c>
      <c r="C44" s="196" t="s">
        <v>97</v>
      </c>
      <c r="D44" s="196">
        <v>4</v>
      </c>
      <c r="E44" s="196">
        <v>140</v>
      </c>
      <c r="F44" s="196">
        <v>104.2</v>
      </c>
      <c r="G44" s="196" t="s">
        <v>196</v>
      </c>
      <c r="H44" s="196">
        <v>56.119647979736328</v>
      </c>
      <c r="I44" s="57">
        <v>-3.21</v>
      </c>
      <c r="J44" s="377">
        <v>-1.1599999999999999</v>
      </c>
      <c r="K44" s="382">
        <v>-0.89012341618537905</v>
      </c>
      <c r="L44" s="494">
        <f t="shared" si="1"/>
        <v>27.348591811671668</v>
      </c>
      <c r="M44" s="529" t="s">
        <v>614</v>
      </c>
      <c r="N44" s="296" t="s">
        <v>74</v>
      </c>
      <c r="O44" s="296" t="s">
        <v>95</v>
      </c>
      <c r="P44" s="296" t="s">
        <v>35</v>
      </c>
      <c r="Q44" s="314" t="s">
        <v>91</v>
      </c>
      <c r="R44" s="501" t="s">
        <v>610</v>
      </c>
      <c r="S44" s="315" t="s">
        <v>610</v>
      </c>
      <c r="T44" s="195">
        <v>0.03</v>
      </c>
      <c r="U44" s="198" t="s">
        <v>611</v>
      </c>
    </row>
    <row r="45" spans="1:21">
      <c r="A45" s="243">
        <v>865</v>
      </c>
      <c r="B45" s="196" t="s">
        <v>98</v>
      </c>
      <c r="C45" s="196" t="s">
        <v>97</v>
      </c>
      <c r="D45" s="196">
        <v>4</v>
      </c>
      <c r="E45" s="196">
        <v>146</v>
      </c>
      <c r="F45" s="196">
        <v>104.28</v>
      </c>
      <c r="G45" s="196" t="s">
        <v>196</v>
      </c>
      <c r="H45" s="196">
        <v>56.129474639892578</v>
      </c>
      <c r="I45" s="57">
        <v>-3.65</v>
      </c>
      <c r="J45" s="377">
        <v>-1.1599999999999999</v>
      </c>
      <c r="K45" s="382">
        <v>-0.89012341618537905</v>
      </c>
      <c r="L45" s="494">
        <f t="shared" si="1"/>
        <v>29.591350037109784</v>
      </c>
      <c r="M45" s="529" t="s">
        <v>614</v>
      </c>
      <c r="N45" s="296" t="s">
        <v>74</v>
      </c>
      <c r="O45" s="296" t="s">
        <v>95</v>
      </c>
      <c r="P45" s="296" t="s">
        <v>35</v>
      </c>
      <c r="Q45" s="314" t="s">
        <v>91</v>
      </c>
      <c r="R45" s="501" t="s">
        <v>610</v>
      </c>
      <c r="S45" s="315" t="s">
        <v>610</v>
      </c>
      <c r="T45" s="195">
        <v>0.53</v>
      </c>
      <c r="U45" s="198" t="s">
        <v>611</v>
      </c>
    </row>
    <row r="46" spans="1:21">
      <c r="A46" s="243">
        <v>865</v>
      </c>
      <c r="B46" s="196" t="s">
        <v>98</v>
      </c>
      <c r="C46" s="196" t="s">
        <v>97</v>
      </c>
      <c r="D46" s="196">
        <v>5</v>
      </c>
      <c r="E46" s="196">
        <v>0</v>
      </c>
      <c r="F46" s="196">
        <v>104.3</v>
      </c>
      <c r="G46" s="196" t="s">
        <v>196</v>
      </c>
      <c r="H46" s="196">
        <v>56.131931304931641</v>
      </c>
      <c r="I46" s="57">
        <v>-3.74</v>
      </c>
      <c r="J46" s="377">
        <v>-1.1599999999999999</v>
      </c>
      <c r="K46" s="382">
        <v>-0.89012341618537905</v>
      </c>
      <c r="L46" s="494">
        <f t="shared" si="1"/>
        <v>30.054389037767582</v>
      </c>
      <c r="M46" s="529" t="s">
        <v>614</v>
      </c>
      <c r="N46" s="296" t="s">
        <v>74</v>
      </c>
      <c r="O46" s="296" t="s">
        <v>95</v>
      </c>
      <c r="P46" s="296" t="s">
        <v>35</v>
      </c>
      <c r="Q46" s="314" t="s">
        <v>91</v>
      </c>
      <c r="R46" s="501" t="s">
        <v>610</v>
      </c>
      <c r="S46" s="315" t="s">
        <v>610</v>
      </c>
      <c r="T46" s="195"/>
      <c r="U46" s="198"/>
    </row>
    <row r="47" spans="1:21">
      <c r="A47" s="557">
        <v>865</v>
      </c>
      <c r="B47" s="226" t="s">
        <v>98</v>
      </c>
      <c r="C47" s="226" t="s">
        <v>97</v>
      </c>
      <c r="D47" s="226">
        <v>5</v>
      </c>
      <c r="E47" s="226">
        <v>70</v>
      </c>
      <c r="F47" s="226">
        <v>105</v>
      </c>
      <c r="G47" s="226" t="s">
        <v>196</v>
      </c>
      <c r="H47" s="226">
        <v>56.2178955078125</v>
      </c>
      <c r="I47" s="541">
        <v>-3.37</v>
      </c>
      <c r="J47" s="434">
        <v>-1.1599999999999999</v>
      </c>
      <c r="K47" s="385">
        <v>-0.89012341618537905</v>
      </c>
      <c r="L47" s="493">
        <f t="shared" si="1"/>
        <v>28.160108257285529</v>
      </c>
      <c r="M47" s="580" t="s">
        <v>614</v>
      </c>
      <c r="N47" s="386" t="s">
        <v>74</v>
      </c>
      <c r="O47" s="386" t="s">
        <v>95</v>
      </c>
      <c r="P47" s="386" t="s">
        <v>35</v>
      </c>
      <c r="Q47" s="388" t="s">
        <v>91</v>
      </c>
      <c r="R47" s="504" t="s">
        <v>610</v>
      </c>
      <c r="S47" s="315" t="s">
        <v>610</v>
      </c>
      <c r="T47" s="195">
        <v>0.25</v>
      </c>
      <c r="U47" s="198" t="s">
        <v>611</v>
      </c>
    </row>
    <row r="48" spans="1:21">
      <c r="A48" s="243">
        <v>865</v>
      </c>
      <c r="B48" s="196" t="s">
        <v>98</v>
      </c>
      <c r="C48" s="196" t="s">
        <v>97</v>
      </c>
      <c r="D48" s="196">
        <v>4</v>
      </c>
      <c r="E48" s="196">
        <v>6</v>
      </c>
      <c r="F48" s="196">
        <v>102.87</v>
      </c>
      <c r="G48" s="196" t="s">
        <v>587</v>
      </c>
      <c r="H48" s="196">
        <v>55.9552001953125</v>
      </c>
      <c r="I48" s="57">
        <v>-4.24</v>
      </c>
      <c r="J48" s="377">
        <v>-1.1599999999999999</v>
      </c>
      <c r="K48" s="382">
        <v>-0.89012341618537905</v>
      </c>
      <c r="L48" s="492">
        <f t="shared" si="1"/>
        <v>32.653377930310896</v>
      </c>
      <c r="M48" s="529" t="s">
        <v>615</v>
      </c>
      <c r="N48" s="296" t="s">
        <v>74</v>
      </c>
      <c r="O48" s="296" t="s">
        <v>95</v>
      </c>
      <c r="P48" s="296" t="s">
        <v>35</v>
      </c>
      <c r="Q48" s="314" t="s">
        <v>91</v>
      </c>
      <c r="R48" s="501" t="s">
        <v>610</v>
      </c>
      <c r="S48" s="315" t="s">
        <v>610</v>
      </c>
      <c r="T48" s="195">
        <v>7.0000000000000007E-2</v>
      </c>
      <c r="U48" s="198" t="s">
        <v>611</v>
      </c>
    </row>
    <row r="49" spans="1:21">
      <c r="A49" s="243">
        <v>865</v>
      </c>
      <c r="B49" s="196" t="s">
        <v>98</v>
      </c>
      <c r="C49" s="196" t="s">
        <v>97</v>
      </c>
      <c r="D49" s="196">
        <v>4</v>
      </c>
      <c r="E49" s="196">
        <v>10</v>
      </c>
      <c r="F49" s="196">
        <v>102.9</v>
      </c>
      <c r="G49" s="196" t="s">
        <v>587</v>
      </c>
      <c r="H49" s="196">
        <v>55.959999084472656</v>
      </c>
      <c r="I49" s="57">
        <v>-4.12</v>
      </c>
      <c r="J49" s="377">
        <v>-1.1599999999999999</v>
      </c>
      <c r="K49" s="382">
        <v>-0.89012341618537905</v>
      </c>
      <c r="L49" s="492">
        <f t="shared" si="1"/>
        <v>32.025516596100502</v>
      </c>
      <c r="M49" s="529" t="s">
        <v>615</v>
      </c>
      <c r="N49" s="296" t="s">
        <v>74</v>
      </c>
      <c r="O49" s="296" t="s">
        <v>95</v>
      </c>
      <c r="P49" s="296" t="s">
        <v>35</v>
      </c>
      <c r="Q49" s="314" t="s">
        <v>91</v>
      </c>
      <c r="R49" s="501" t="s">
        <v>610</v>
      </c>
      <c r="S49" s="315" t="s">
        <v>610</v>
      </c>
      <c r="T49" s="195">
        <v>0.36</v>
      </c>
      <c r="U49" s="198" t="s">
        <v>611</v>
      </c>
    </row>
    <row r="50" spans="1:21">
      <c r="A50" s="243">
        <v>865</v>
      </c>
      <c r="B50" s="196" t="s">
        <v>98</v>
      </c>
      <c r="C50" s="196" t="s">
        <v>97</v>
      </c>
      <c r="D50" s="196">
        <v>4</v>
      </c>
      <c r="E50" s="196">
        <v>20</v>
      </c>
      <c r="F50" s="196">
        <v>103</v>
      </c>
      <c r="G50" s="196"/>
      <c r="H50" s="196">
        <v>55.972282409667969</v>
      </c>
      <c r="I50" s="57">
        <v>-4.03</v>
      </c>
      <c r="J50" s="377">
        <v>-1.1599999999999999</v>
      </c>
      <c r="K50" s="382">
        <v>-0.89012341618537905</v>
      </c>
      <c r="L50" s="491">
        <f t="shared" si="1"/>
        <v>31.556321595442707</v>
      </c>
      <c r="M50" s="529" t="s">
        <v>615</v>
      </c>
      <c r="N50" s="296" t="s">
        <v>74</v>
      </c>
      <c r="O50" s="296" t="s">
        <v>95</v>
      </c>
      <c r="P50" s="296" t="s">
        <v>35</v>
      </c>
      <c r="Q50" s="314" t="s">
        <v>91</v>
      </c>
      <c r="R50" s="501" t="s">
        <v>610</v>
      </c>
      <c r="S50" s="315" t="s">
        <v>610</v>
      </c>
      <c r="T50" s="195">
        <v>0.17</v>
      </c>
      <c r="U50" s="198" t="s">
        <v>611</v>
      </c>
    </row>
    <row r="51" spans="1:21">
      <c r="A51" s="557">
        <v>865</v>
      </c>
      <c r="B51" s="226" t="s">
        <v>98</v>
      </c>
      <c r="C51" s="226" t="s">
        <v>97</v>
      </c>
      <c r="D51" s="226">
        <v>4</v>
      </c>
      <c r="E51" s="226">
        <v>20</v>
      </c>
      <c r="F51" s="226">
        <v>103</v>
      </c>
      <c r="G51" s="226"/>
      <c r="H51" s="226">
        <v>55.972282409667969</v>
      </c>
      <c r="I51" s="541">
        <v>-3.51</v>
      </c>
      <c r="J51" s="434">
        <v>-1.1599999999999999</v>
      </c>
      <c r="K51" s="385">
        <v>-0.89012341618537905</v>
      </c>
      <c r="L51" s="496">
        <f t="shared" si="1"/>
        <v>28.873965147197655</v>
      </c>
      <c r="M51" s="580" t="s">
        <v>615</v>
      </c>
      <c r="N51" s="386" t="s">
        <v>74</v>
      </c>
      <c r="O51" s="386" t="s">
        <v>95</v>
      </c>
      <c r="P51" s="386" t="s">
        <v>35</v>
      </c>
      <c r="Q51" s="388" t="s">
        <v>91</v>
      </c>
      <c r="R51" s="504" t="s">
        <v>610</v>
      </c>
      <c r="S51" s="505" t="s">
        <v>610</v>
      </c>
      <c r="T51" s="195">
        <v>0.17</v>
      </c>
      <c r="U51" s="198" t="s">
        <v>611</v>
      </c>
    </row>
    <row r="52" spans="1:21">
      <c r="A52" s="243">
        <v>865</v>
      </c>
      <c r="B52" s="196" t="s">
        <v>98</v>
      </c>
      <c r="C52" s="196" t="s">
        <v>97</v>
      </c>
      <c r="D52" s="196">
        <v>4</v>
      </c>
      <c r="E52" s="555" t="s">
        <v>360</v>
      </c>
      <c r="F52" s="196">
        <v>102.9</v>
      </c>
      <c r="G52" s="196" t="s">
        <v>587</v>
      </c>
      <c r="H52" s="196">
        <v>55.959999084472656</v>
      </c>
      <c r="I52" s="57">
        <f>AVERAGE(-3,-3.2,-3.2,-3.4)</f>
        <v>-3.2</v>
      </c>
      <c r="J52" s="377">
        <v>-1.1599999999999999</v>
      </c>
      <c r="K52" s="382">
        <v>-0.89012341618537905</v>
      </c>
      <c r="L52" s="492">
        <f t="shared" si="1"/>
        <v>27.298025033820803</v>
      </c>
      <c r="M52" s="529" t="s">
        <v>614</v>
      </c>
      <c r="N52" s="296" t="s">
        <v>85</v>
      </c>
      <c r="O52" s="296" t="s">
        <v>192</v>
      </c>
      <c r="P52" s="296" t="s">
        <v>35</v>
      </c>
      <c r="Q52" s="314" t="s">
        <v>91</v>
      </c>
      <c r="R52" s="501" t="s">
        <v>616</v>
      </c>
      <c r="S52" s="315" t="s">
        <v>617</v>
      </c>
      <c r="T52" s="195">
        <v>0.54</v>
      </c>
      <c r="U52" s="198" t="s">
        <v>618</v>
      </c>
    </row>
    <row r="53" spans="1:21">
      <c r="A53" s="243">
        <v>865</v>
      </c>
      <c r="B53" s="196" t="s">
        <v>98</v>
      </c>
      <c r="C53" s="196" t="s">
        <v>97</v>
      </c>
      <c r="D53" s="196">
        <v>4</v>
      </c>
      <c r="E53" s="555" t="s">
        <v>360</v>
      </c>
      <c r="F53" s="196">
        <v>102.9</v>
      </c>
      <c r="G53" s="196" t="s">
        <v>587</v>
      </c>
      <c r="H53" s="196">
        <v>55.959999084472656</v>
      </c>
      <c r="I53" s="581">
        <f>AVERAGE(-3.8,-5.2,-3.9,-3.6,-3.5,-4.2,-3.4)</f>
        <v>-3.9428571428571426</v>
      </c>
      <c r="J53" s="377">
        <v>-1.1599999999999999</v>
      </c>
      <c r="K53" s="382">
        <v>-0.89012341618537905</v>
      </c>
      <c r="L53" s="492">
        <f t="shared" si="1"/>
        <v>31.103410980293315</v>
      </c>
      <c r="M53" s="529" t="s">
        <v>614</v>
      </c>
      <c r="N53" s="296" t="s">
        <v>85</v>
      </c>
      <c r="O53" s="296" t="s">
        <v>192</v>
      </c>
      <c r="P53" s="296" t="s">
        <v>35</v>
      </c>
      <c r="Q53" s="314" t="s">
        <v>91</v>
      </c>
      <c r="R53" s="501" t="s">
        <v>616</v>
      </c>
      <c r="S53" s="315" t="s">
        <v>617</v>
      </c>
      <c r="T53" s="195">
        <v>0.8</v>
      </c>
      <c r="U53" s="198" t="s">
        <v>618</v>
      </c>
    </row>
    <row r="54" spans="1:21">
      <c r="A54" s="243">
        <v>865</v>
      </c>
      <c r="B54" s="196" t="s">
        <v>98</v>
      </c>
      <c r="C54" s="196" t="s">
        <v>97</v>
      </c>
      <c r="D54" s="196">
        <v>4</v>
      </c>
      <c r="E54" s="555" t="s">
        <v>360</v>
      </c>
      <c r="F54" s="196">
        <v>102.9</v>
      </c>
      <c r="G54" s="196" t="s">
        <v>587</v>
      </c>
      <c r="H54" s="196">
        <v>55.959999084472656</v>
      </c>
      <c r="I54" s="57">
        <f>AVERAGE(-5.5,-3.3,-3.4,-6)</f>
        <v>-4.5500000000000007</v>
      </c>
      <c r="J54" s="377">
        <v>-1.1599999999999999</v>
      </c>
      <c r="K54" s="382">
        <v>-0.89012341618537905</v>
      </c>
      <c r="L54" s="492">
        <f t="shared" si="1"/>
        <v>34.287350043687766</v>
      </c>
      <c r="M54" s="529" t="s">
        <v>614</v>
      </c>
      <c r="N54" s="296" t="s">
        <v>85</v>
      </c>
      <c r="O54" s="296" t="s">
        <v>192</v>
      </c>
      <c r="P54" s="296" t="s">
        <v>35</v>
      </c>
      <c r="Q54" s="314" t="s">
        <v>91</v>
      </c>
      <c r="R54" s="501" t="s">
        <v>616</v>
      </c>
      <c r="S54" s="315" t="s">
        <v>617</v>
      </c>
      <c r="T54" s="195">
        <v>0.99</v>
      </c>
      <c r="U54" s="198" t="s">
        <v>618</v>
      </c>
    </row>
    <row r="55" spans="1:21" ht="13.5" thickBot="1">
      <c r="A55" s="325"/>
      <c r="B55" s="202"/>
      <c r="C55" s="202"/>
      <c r="D55" s="202"/>
      <c r="E55" s="202"/>
      <c r="F55" s="202"/>
      <c r="G55" s="202"/>
      <c r="H55" s="202"/>
      <c r="I55" s="326"/>
      <c r="J55" s="201"/>
      <c r="K55" s="201"/>
      <c r="L55" s="329"/>
      <c r="M55" s="201"/>
      <c r="N55" s="201"/>
      <c r="O55" s="201"/>
      <c r="P55" s="201"/>
      <c r="Q55" s="200"/>
      <c r="R55" s="204"/>
      <c r="S55" s="329"/>
      <c r="T55" s="200"/>
      <c r="U55" s="204"/>
    </row>
    <row r="56" spans="1:21">
      <c r="A56" s="156"/>
      <c r="B56" s="156"/>
      <c r="C56" s="156"/>
      <c r="D56" s="156"/>
      <c r="E56" s="156"/>
      <c r="F56" s="156"/>
      <c r="G56" s="156"/>
      <c r="H56" s="156"/>
    </row>
    <row r="57" spans="1:21" ht="13.5" thickBot="1">
      <c r="A57" s="156"/>
      <c r="B57" s="156"/>
      <c r="C57" s="156"/>
      <c r="D57" s="156"/>
      <c r="E57" s="156"/>
      <c r="F57" s="156"/>
      <c r="G57" s="156"/>
      <c r="H57" s="156"/>
    </row>
    <row r="58" spans="1:21" ht="13.5" thickBot="1">
      <c r="A58" s="156"/>
      <c r="B58" s="156"/>
      <c r="C58" s="156"/>
      <c r="D58" s="156"/>
      <c r="E58" s="156"/>
      <c r="F58" s="156"/>
      <c r="G58" s="729"/>
      <c r="H58" s="730" t="s">
        <v>607</v>
      </c>
      <c r="I58" s="730" t="s">
        <v>605</v>
      </c>
      <c r="J58" s="731">
        <v>0.05</v>
      </c>
      <c r="K58" s="730" t="s">
        <v>602</v>
      </c>
      <c r="L58" s="731">
        <v>0.95</v>
      </c>
      <c r="M58" s="732" t="s">
        <v>606</v>
      </c>
    </row>
    <row r="59" spans="1:21">
      <c r="A59" s="156"/>
      <c r="B59" s="156"/>
      <c r="C59" s="156"/>
      <c r="D59" s="156"/>
      <c r="E59" s="156"/>
      <c r="F59" s="156"/>
      <c r="G59" s="673" t="s">
        <v>21</v>
      </c>
      <c r="H59" s="674">
        <f>COUNT($L17:$L24)</f>
        <v>8</v>
      </c>
      <c r="I59" s="675">
        <f>MIN($L17:$L24)</f>
        <v>22.771796249391969</v>
      </c>
      <c r="J59" s="675">
        <f>_xlfn.PERCENTILE.INC(($L17:$L24),0.05)</f>
        <v>22.960518544117804</v>
      </c>
      <c r="K59" s="675">
        <f>AVERAGE($L17:$L24)</f>
        <v>25.9076843512279</v>
      </c>
      <c r="L59" s="675">
        <f>_xlfn.PERCENTILE.INC(($L17:$L24),0.95)</f>
        <v>27.970775340344776</v>
      </c>
      <c r="M59" s="676">
        <f>MAX($L17:$L24)</f>
        <v>28.414652146539858</v>
      </c>
    </row>
    <row r="60" spans="1:21">
      <c r="A60" s="156"/>
      <c r="B60" s="156"/>
      <c r="C60" s="156"/>
      <c r="D60" s="156"/>
      <c r="E60" s="156"/>
      <c r="F60" s="156"/>
      <c r="G60" s="673" t="s">
        <v>20</v>
      </c>
      <c r="H60" s="674">
        <f>COUNT($L33:$L39,$L48:$L49,$L5:$L52)</f>
        <v>48</v>
      </c>
      <c r="I60" s="675">
        <f>MIN($L33:$L39,$L48:$L49,$L5:$L52)</f>
        <v>22.771796249391969</v>
      </c>
      <c r="J60" s="675">
        <f>_xlfn.PERCENTILE.INC(($L33:$L39,$L48:$L49,$L5:$L52),0.05)</f>
        <v>23.690734295203168</v>
      </c>
      <c r="K60" s="675">
        <f>AVERAGE($L33:$L39,$L48:$L49,$L52:$L54)</f>
        <v>30.8177504505766</v>
      </c>
      <c r="L60" s="675">
        <f>_xlfn.PERCENTILE.INC(($L33:$L39,$L48:$L49,$L5:$L52),0.95)</f>
        <v>32.758273486012627</v>
      </c>
      <c r="M60" s="676">
        <f>MAX($L33:$L39,$L48:$L49,$L5:$L52)</f>
        <v>32.863241041714367</v>
      </c>
    </row>
    <row r="61" spans="1:21" ht="13.5" thickBot="1">
      <c r="G61" s="677" t="s">
        <v>601</v>
      </c>
      <c r="H61" s="678">
        <f>COUNT($L41:$L47)</f>
        <v>7</v>
      </c>
      <c r="I61" s="679">
        <f>MIN($L41:$L47)</f>
        <v>27.348591811671668</v>
      </c>
      <c r="J61" s="679">
        <f>_xlfn.PERCENTILE.INC(($L41:$L47),0.05)</f>
        <v>27.592046745355827</v>
      </c>
      <c r="K61" s="679">
        <f>AVERAGE($L41:$L47)</f>
        <v>29.508446703651153</v>
      </c>
      <c r="L61" s="679">
        <f>_xlfn.PERCENTILE.INC(($L41:$L47),0.95)</f>
        <v>30.886368361166532</v>
      </c>
      <c r="M61" s="680">
        <f>MAX($L41:$L47)</f>
        <v>30.932996261232311</v>
      </c>
    </row>
  </sheetData>
  <mergeCells count="1">
    <mergeCell ref="T12:U1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44"/>
  <sheetViews>
    <sheetView zoomScale="80" zoomScaleNormal="80" zoomScalePageLayoutView="80" workbookViewId="0">
      <selection activeCell="B3" sqref="B3"/>
    </sheetView>
  </sheetViews>
  <sheetFormatPr defaultColWidth="10.625" defaultRowHeight="12.75"/>
  <cols>
    <col min="1" max="1" width="14.5" style="69" customWidth="1"/>
    <col min="2" max="2" width="30.625" style="69" bestFit="1" customWidth="1"/>
    <col min="3" max="5" width="10.625" style="69"/>
    <col min="6" max="6" width="10.625" style="156"/>
    <col min="7" max="7" width="13.5" style="156" bestFit="1" customWidth="1"/>
    <col min="8" max="9" width="10.625" style="156"/>
    <col min="10" max="10" width="10.625" style="69"/>
    <col min="11" max="11" width="15.625" style="69" customWidth="1"/>
    <col min="12" max="12" width="15.125" style="69" bestFit="1" customWidth="1"/>
    <col min="13" max="13" width="13" style="69" bestFit="1" customWidth="1"/>
    <col min="14" max="16" width="10.625" style="69"/>
    <col min="17" max="17" width="25.5" style="69" customWidth="1"/>
    <col min="18" max="18" width="15.5" style="69" bestFit="1" customWidth="1"/>
    <col min="19" max="19" width="17.625" style="69" bestFit="1" customWidth="1"/>
    <col min="20" max="16384" width="10.625" style="69"/>
  </cols>
  <sheetData>
    <row r="1" spans="1:19" s="11" customFormat="1" ht="15.75">
      <c r="A1" s="205" t="s">
        <v>62</v>
      </c>
      <c r="B1" s="591" t="s">
        <v>638</v>
      </c>
      <c r="C1" s="207"/>
      <c r="D1" s="20"/>
      <c r="E1" s="20"/>
      <c r="F1" s="20"/>
      <c r="G1" s="20"/>
      <c r="H1" s="20"/>
      <c r="I1" s="20"/>
      <c r="J1" s="20"/>
      <c r="K1" s="20"/>
      <c r="L1" s="20"/>
      <c r="M1" s="20"/>
      <c r="N1" s="20"/>
      <c r="O1" s="20"/>
      <c r="P1" s="20"/>
      <c r="Q1" s="20"/>
      <c r="R1" s="19"/>
      <c r="S1" s="19"/>
    </row>
    <row r="2" spans="1:19">
      <c r="A2" s="141" t="s">
        <v>636</v>
      </c>
      <c r="B2" s="586" t="s">
        <v>637</v>
      </c>
      <c r="C2" s="143"/>
      <c r="D2" s="144"/>
      <c r="E2" s="144"/>
      <c r="F2" s="144"/>
      <c r="G2" s="144"/>
      <c r="H2" s="144"/>
      <c r="I2" s="144"/>
      <c r="J2" s="144"/>
      <c r="K2" s="144"/>
      <c r="L2" s="144"/>
      <c r="M2" s="144"/>
      <c r="N2" s="144"/>
      <c r="O2" s="144"/>
      <c r="P2" s="144"/>
      <c r="Q2" s="144"/>
      <c r="R2" s="145"/>
      <c r="S2" s="145"/>
    </row>
    <row r="3" spans="1:19">
      <c r="A3" s="141" t="s">
        <v>61</v>
      </c>
      <c r="B3" s="152" t="s">
        <v>407</v>
      </c>
      <c r="C3" s="143"/>
      <c r="D3" s="144"/>
      <c r="E3" s="144"/>
      <c r="F3" s="144"/>
      <c r="G3" s="144"/>
      <c r="H3" s="144"/>
      <c r="I3" s="144"/>
      <c r="J3" s="144"/>
      <c r="K3" s="144"/>
      <c r="L3" s="144"/>
      <c r="M3" s="144"/>
      <c r="N3" s="144"/>
      <c r="O3" s="144"/>
      <c r="P3" s="144"/>
      <c r="Q3" s="144"/>
      <c r="R3" s="145"/>
      <c r="S3" s="145"/>
    </row>
    <row r="4" spans="1:19">
      <c r="A4" s="141" t="s">
        <v>621</v>
      </c>
      <c r="B4" s="544">
        <v>6.8</v>
      </c>
      <c r="C4" s="589"/>
      <c r="D4" s="144"/>
      <c r="E4" s="144"/>
      <c r="F4" s="144"/>
      <c r="G4" s="144"/>
      <c r="H4" s="144"/>
      <c r="I4" s="144"/>
      <c r="J4" s="144"/>
      <c r="K4" s="144"/>
      <c r="L4" s="144"/>
      <c r="M4" s="144"/>
      <c r="N4" s="144"/>
      <c r="O4" s="144"/>
      <c r="P4" s="144"/>
      <c r="Q4" s="144"/>
      <c r="R4" s="145"/>
      <c r="S4" s="145"/>
    </row>
    <row r="5" spans="1:19">
      <c r="A5" s="141" t="s">
        <v>622</v>
      </c>
      <c r="B5" s="544">
        <v>3.63</v>
      </c>
      <c r="C5" s="142"/>
      <c r="D5" s="144"/>
      <c r="E5" s="144"/>
      <c r="F5" s="144"/>
      <c r="G5" s="144"/>
      <c r="H5" s="144"/>
      <c r="I5" s="144"/>
      <c r="J5" s="144"/>
      <c r="K5" s="144"/>
      <c r="L5" s="144"/>
      <c r="M5" s="144"/>
      <c r="N5" s="144"/>
      <c r="O5" s="144"/>
      <c r="P5" s="144"/>
      <c r="Q5" s="144"/>
      <c r="R5" s="145"/>
      <c r="S5" s="145"/>
    </row>
    <row r="6" spans="1:19">
      <c r="A6" s="587" t="s">
        <v>50</v>
      </c>
      <c r="B6" s="51">
        <v>-6.8817274092199998</v>
      </c>
      <c r="C6" s="143"/>
      <c r="D6" s="144"/>
      <c r="E6" s="144"/>
      <c r="F6" s="144"/>
      <c r="G6" s="144"/>
      <c r="H6" s="144"/>
      <c r="I6" s="144"/>
      <c r="J6" s="144"/>
      <c r="K6" s="144"/>
      <c r="L6" s="144"/>
      <c r="M6" s="144"/>
      <c r="N6" s="144"/>
      <c r="O6" s="144"/>
      <c r="P6" s="144"/>
      <c r="Q6" s="144"/>
      <c r="R6" s="145"/>
      <c r="S6" s="145"/>
    </row>
    <row r="7" spans="1:19">
      <c r="A7" s="141" t="s">
        <v>696</v>
      </c>
      <c r="B7" s="545" t="s">
        <v>190</v>
      </c>
      <c r="C7" s="72" t="s">
        <v>411</v>
      </c>
      <c r="D7" s="144"/>
      <c r="E7" s="144"/>
      <c r="F7" s="144"/>
      <c r="G7" s="144"/>
      <c r="H7" s="144"/>
      <c r="I7" s="144"/>
      <c r="J7" s="144"/>
      <c r="K7" s="144"/>
      <c r="L7" s="144"/>
      <c r="M7" s="144"/>
      <c r="N7" s="144"/>
      <c r="O7" s="144"/>
      <c r="P7" s="144"/>
      <c r="Q7" s="144"/>
      <c r="R7" s="145"/>
      <c r="S7" s="145"/>
    </row>
    <row r="8" spans="1:19">
      <c r="A8" s="141" t="s">
        <v>623</v>
      </c>
      <c r="B8" s="50" t="s">
        <v>735</v>
      </c>
      <c r="C8" s="72" t="s">
        <v>411</v>
      </c>
      <c r="D8" s="154"/>
      <c r="E8" s="154"/>
      <c r="F8" s="144"/>
      <c r="G8" s="144"/>
      <c r="H8" s="144"/>
      <c r="I8" s="144"/>
      <c r="J8" s="144"/>
      <c r="K8" s="144"/>
      <c r="L8" s="144"/>
      <c r="M8" s="144"/>
      <c r="N8" s="144"/>
      <c r="O8" s="144"/>
      <c r="P8" s="144"/>
      <c r="Q8" s="144"/>
      <c r="R8" s="145"/>
      <c r="S8" s="145"/>
    </row>
    <row r="9" spans="1:19">
      <c r="A9" s="141" t="s">
        <v>64</v>
      </c>
      <c r="B9" s="146" t="s">
        <v>410</v>
      </c>
      <c r="C9" s="72" t="s">
        <v>411</v>
      </c>
      <c r="D9" s="154"/>
      <c r="E9" s="154"/>
      <c r="F9" s="144"/>
      <c r="G9" s="144"/>
      <c r="H9" s="144"/>
      <c r="I9" s="144"/>
      <c r="J9" s="144"/>
      <c r="K9" s="144"/>
      <c r="L9" s="144"/>
      <c r="M9" s="144"/>
      <c r="N9" s="144"/>
      <c r="O9" s="144"/>
      <c r="P9" s="144"/>
      <c r="Q9" s="144"/>
      <c r="R9" s="145"/>
      <c r="S9" s="145"/>
    </row>
    <row r="10" spans="1:19">
      <c r="A10" s="141" t="s">
        <v>65</v>
      </c>
      <c r="B10" s="152" t="s">
        <v>264</v>
      </c>
      <c r="C10" s="152"/>
      <c r="D10" s="144"/>
      <c r="E10" s="144"/>
      <c r="F10" s="144"/>
      <c r="G10" s="144"/>
      <c r="I10" s="144"/>
      <c r="J10" s="144"/>
      <c r="K10" s="144"/>
      <c r="L10" s="144"/>
      <c r="M10" s="144"/>
      <c r="N10" s="144"/>
      <c r="O10" s="144"/>
      <c r="P10" s="144"/>
      <c r="Q10" s="144"/>
      <c r="R10" s="145"/>
      <c r="S10" s="145"/>
    </row>
    <row r="11" spans="1:19" ht="13.5" thickBot="1">
      <c r="A11" s="145"/>
      <c r="B11" s="145"/>
      <c r="C11" s="144"/>
      <c r="D11" s="144"/>
      <c r="E11" s="144"/>
      <c r="F11" s="144"/>
      <c r="G11" s="144"/>
      <c r="H11" s="154"/>
      <c r="I11" s="144"/>
      <c r="J11" s="144"/>
      <c r="K11" s="168"/>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13" t="s">
        <v>10</v>
      </c>
      <c r="I12" s="214" t="s">
        <v>725</v>
      </c>
      <c r="J12" s="161" t="s">
        <v>664</v>
      </c>
      <c r="K12" s="216" t="s">
        <v>659</v>
      </c>
      <c r="L12" s="217" t="s">
        <v>70</v>
      </c>
      <c r="M12" s="217" t="s">
        <v>71</v>
      </c>
      <c r="N12" s="217" t="s">
        <v>36</v>
      </c>
      <c r="O12" s="218" t="s">
        <v>34</v>
      </c>
      <c r="P12" s="217" t="s">
        <v>72</v>
      </c>
      <c r="Q12" s="218" t="s">
        <v>73</v>
      </c>
      <c r="R12" s="160" t="s">
        <v>15</v>
      </c>
      <c r="S12" s="166" t="s">
        <v>38</v>
      </c>
    </row>
    <row r="13" spans="1:19">
      <c r="A13" s="236"/>
      <c r="B13" s="237"/>
      <c r="C13" s="237"/>
      <c r="D13" s="237"/>
      <c r="E13" s="237"/>
      <c r="F13" s="237"/>
      <c r="G13" s="237"/>
      <c r="H13" s="499"/>
      <c r="I13" s="239"/>
      <c r="J13" s="239"/>
      <c r="K13" s="561"/>
      <c r="L13" s="289"/>
      <c r="M13" s="241"/>
      <c r="N13" s="241"/>
      <c r="O13" s="242"/>
      <c r="P13" s="240"/>
      <c r="Q13" s="242"/>
      <c r="R13" s="239"/>
      <c r="S13" s="176"/>
    </row>
    <row r="14" spans="1:19">
      <c r="A14" s="167" t="s">
        <v>408</v>
      </c>
      <c r="B14" s="168"/>
      <c r="C14" s="168"/>
      <c r="D14" s="168"/>
      <c r="E14" s="168"/>
      <c r="F14" s="54">
        <v>8.3000000000000007</v>
      </c>
      <c r="G14" s="196"/>
      <c r="H14" s="60"/>
      <c r="I14" s="451">
        <v>-3.7067200000000002</v>
      </c>
      <c r="J14" s="500">
        <v>-0.84352856397628806</v>
      </c>
      <c r="K14" s="590">
        <f t="shared" ref="K14" si="0">16.1-4.64*($I14-J14)+0.09*($I14-J14)^2</f>
        <v>30.123016131088786</v>
      </c>
      <c r="L14" s="188" t="s">
        <v>258</v>
      </c>
      <c r="M14" s="69" t="s">
        <v>74</v>
      </c>
      <c r="N14" s="171"/>
      <c r="O14" s="172" t="s">
        <v>35</v>
      </c>
      <c r="P14" s="173" t="s">
        <v>58</v>
      </c>
      <c r="Q14" s="174" t="s">
        <v>409</v>
      </c>
      <c r="R14" s="249" t="s">
        <v>407</v>
      </c>
      <c r="S14" s="176"/>
    </row>
    <row r="15" spans="1:19">
      <c r="A15" s="167" t="s">
        <v>408</v>
      </c>
      <c r="B15" s="168"/>
      <c r="C15" s="168"/>
      <c r="D15" s="168"/>
      <c r="E15" s="168"/>
      <c r="F15" s="53">
        <v>9.0500000000000007</v>
      </c>
      <c r="G15" s="196" t="s">
        <v>196</v>
      </c>
      <c r="H15" s="60"/>
      <c r="I15" s="451">
        <v>-3.7281500000000003</v>
      </c>
      <c r="J15" s="500">
        <v>-0.84352856397628806</v>
      </c>
      <c r="K15" s="590">
        <f t="shared" ref="K15:K37" si="1">16.1-4.64*($I15-J15)+0.09*($I15-J15)^2</f>
        <v>30.233537137775102</v>
      </c>
      <c r="L15" s="188" t="s">
        <v>258</v>
      </c>
      <c r="M15" s="69" t="s">
        <v>74</v>
      </c>
      <c r="N15" s="171"/>
      <c r="O15" s="172" t="s">
        <v>35</v>
      </c>
      <c r="P15" s="173" t="s">
        <v>58</v>
      </c>
      <c r="Q15" s="174" t="s">
        <v>409</v>
      </c>
      <c r="R15" s="249" t="s">
        <v>407</v>
      </c>
      <c r="S15" s="176" t="s">
        <v>736</v>
      </c>
    </row>
    <row r="16" spans="1:19">
      <c r="A16" s="167" t="s">
        <v>408</v>
      </c>
      <c r="B16" s="168"/>
      <c r="C16" s="168"/>
      <c r="D16" s="168"/>
      <c r="E16" s="168"/>
      <c r="F16" s="53">
        <v>10.7</v>
      </c>
      <c r="G16" s="196"/>
      <c r="H16" s="60"/>
      <c r="I16" s="451">
        <v>-3.7650000000000001</v>
      </c>
      <c r="J16" s="500">
        <v>-0.84352856397628806</v>
      </c>
      <c r="K16" s="757">
        <f t="shared" si="1"/>
        <v>30.423777044785247</v>
      </c>
      <c r="L16" s="188" t="s">
        <v>258</v>
      </c>
      <c r="M16" s="69" t="s">
        <v>74</v>
      </c>
      <c r="N16" s="171"/>
      <c r="O16" s="172" t="s">
        <v>35</v>
      </c>
      <c r="P16" s="173" t="s">
        <v>58</v>
      </c>
      <c r="Q16" s="174" t="s">
        <v>409</v>
      </c>
      <c r="R16" s="249" t="s">
        <v>407</v>
      </c>
      <c r="S16" s="176"/>
    </row>
    <row r="17" spans="1:19">
      <c r="A17" s="167" t="s">
        <v>408</v>
      </c>
      <c r="B17" s="168"/>
      <c r="C17" s="168"/>
      <c r="D17" s="168"/>
      <c r="E17" s="168"/>
      <c r="F17" s="54">
        <v>11.6</v>
      </c>
      <c r="G17" s="196"/>
      <c r="H17" s="60"/>
      <c r="I17" s="451">
        <v>-3.8290000000000002</v>
      </c>
      <c r="J17" s="500">
        <v>-0.84352856397628806</v>
      </c>
      <c r="K17" s="757">
        <f t="shared" si="1"/>
        <v>30.754761035728237</v>
      </c>
      <c r="L17" s="188" t="s">
        <v>258</v>
      </c>
      <c r="M17" s="69" t="s">
        <v>74</v>
      </c>
      <c r="N17" s="171"/>
      <c r="O17" s="172" t="s">
        <v>35</v>
      </c>
      <c r="P17" s="173" t="s">
        <v>58</v>
      </c>
      <c r="Q17" s="174" t="s">
        <v>409</v>
      </c>
      <c r="R17" s="249" t="s">
        <v>407</v>
      </c>
      <c r="S17" s="176"/>
    </row>
    <row r="18" spans="1:19">
      <c r="A18" s="167" t="s">
        <v>408</v>
      </c>
      <c r="B18" s="168"/>
      <c r="C18" s="168"/>
      <c r="D18" s="168"/>
      <c r="E18" s="168"/>
      <c r="F18" s="53">
        <v>12.4</v>
      </c>
      <c r="G18" s="196"/>
      <c r="H18" s="60"/>
      <c r="I18" s="451">
        <v>-3.9995333333333338</v>
      </c>
      <c r="J18" s="500">
        <v>-0.84352856397628806</v>
      </c>
      <c r="K18" s="757">
        <f t="shared" si="1"/>
        <v>31.640295079195088</v>
      </c>
      <c r="L18" s="188" t="s">
        <v>258</v>
      </c>
      <c r="M18" s="69" t="s">
        <v>74</v>
      </c>
      <c r="N18" s="171"/>
      <c r="O18" s="172" t="s">
        <v>35</v>
      </c>
      <c r="P18" s="173" t="s">
        <v>58</v>
      </c>
      <c r="Q18" s="174" t="s">
        <v>409</v>
      </c>
      <c r="R18" s="249" t="s">
        <v>407</v>
      </c>
      <c r="S18" s="176"/>
    </row>
    <row r="19" spans="1:19">
      <c r="A19" s="167" t="s">
        <v>408</v>
      </c>
      <c r="B19" s="168"/>
      <c r="C19" s="168"/>
      <c r="D19" s="168"/>
      <c r="E19" s="168"/>
      <c r="F19" s="54">
        <v>13.2</v>
      </c>
      <c r="G19" s="196"/>
      <c r="H19" s="60"/>
      <c r="I19" s="451">
        <v>-3.8769749999999998</v>
      </c>
      <c r="J19" s="500">
        <v>-0.84352856397628806</v>
      </c>
      <c r="K19" s="757">
        <f t="shared" si="1"/>
        <v>31.003353218370268</v>
      </c>
      <c r="L19" s="188" t="s">
        <v>258</v>
      </c>
      <c r="M19" s="69" t="s">
        <v>74</v>
      </c>
      <c r="N19" s="171"/>
      <c r="O19" s="172" t="s">
        <v>35</v>
      </c>
      <c r="P19" s="173" t="s">
        <v>58</v>
      </c>
      <c r="Q19" s="174" t="s">
        <v>409</v>
      </c>
      <c r="R19" s="249" t="s">
        <v>407</v>
      </c>
      <c r="S19" s="176"/>
    </row>
    <row r="20" spans="1:19">
      <c r="A20" s="167" t="s">
        <v>408</v>
      </c>
      <c r="B20" s="168"/>
      <c r="C20" s="168"/>
      <c r="D20" s="168"/>
      <c r="E20" s="168"/>
      <c r="F20" s="53">
        <v>13.65</v>
      </c>
      <c r="G20" s="196"/>
      <c r="H20" s="60"/>
      <c r="I20" s="451">
        <v>-3.6300400000000002</v>
      </c>
      <c r="J20" s="500">
        <v>-0.84352856397628806</v>
      </c>
      <c r="K20" s="757">
        <f t="shared" si="1"/>
        <v>29.728231201628208</v>
      </c>
      <c r="L20" s="188" t="s">
        <v>258</v>
      </c>
      <c r="M20" s="69" t="s">
        <v>74</v>
      </c>
      <c r="N20" s="171"/>
      <c r="O20" s="172" t="s">
        <v>35</v>
      </c>
      <c r="P20" s="173" t="s">
        <v>58</v>
      </c>
      <c r="Q20" s="174" t="s">
        <v>409</v>
      </c>
      <c r="R20" s="249" t="s">
        <v>407</v>
      </c>
      <c r="S20" s="176"/>
    </row>
    <row r="21" spans="1:19">
      <c r="A21" s="167" t="s">
        <v>408</v>
      </c>
      <c r="B21" s="168"/>
      <c r="C21" s="168"/>
      <c r="D21" s="168"/>
      <c r="E21" s="168"/>
      <c r="F21" s="54">
        <v>14.1</v>
      </c>
      <c r="G21" s="196"/>
      <c r="H21" s="60"/>
      <c r="I21" s="451">
        <v>-3.9209999999999998</v>
      </c>
      <c r="J21" s="500">
        <v>-0.84352856397628806</v>
      </c>
      <c r="K21" s="757">
        <f t="shared" si="1"/>
        <v>31.231842202708787</v>
      </c>
      <c r="L21" s="188" t="s">
        <v>258</v>
      </c>
      <c r="M21" s="69" t="s">
        <v>74</v>
      </c>
      <c r="N21" s="171"/>
      <c r="O21" s="172" t="s">
        <v>35</v>
      </c>
      <c r="P21" s="173" t="s">
        <v>58</v>
      </c>
      <c r="Q21" s="174" t="s">
        <v>409</v>
      </c>
      <c r="R21" s="249" t="s">
        <v>407</v>
      </c>
      <c r="S21" s="176"/>
    </row>
    <row r="22" spans="1:19">
      <c r="A22" s="167" t="s">
        <v>408</v>
      </c>
      <c r="B22" s="168"/>
      <c r="C22" s="168"/>
      <c r="D22" s="168"/>
      <c r="E22" s="168"/>
      <c r="F22" s="53">
        <v>14.45</v>
      </c>
      <c r="G22" s="196"/>
      <c r="H22" s="60"/>
      <c r="I22" s="451">
        <v>-3.75</v>
      </c>
      <c r="J22" s="500">
        <v>-0.84352856397628806</v>
      </c>
      <c r="K22" s="757">
        <f t="shared" si="1"/>
        <v>30.346309321907981</v>
      </c>
      <c r="L22" s="188" t="s">
        <v>258</v>
      </c>
      <c r="M22" s="69" t="s">
        <v>74</v>
      </c>
      <c r="N22" s="171"/>
      <c r="O22" s="172" t="s">
        <v>35</v>
      </c>
      <c r="P22" s="173" t="s">
        <v>58</v>
      </c>
      <c r="Q22" s="174" t="s">
        <v>409</v>
      </c>
      <c r="R22" s="249" t="s">
        <v>407</v>
      </c>
      <c r="S22" s="176"/>
    </row>
    <row r="23" spans="1:19">
      <c r="A23" s="167" t="s">
        <v>408</v>
      </c>
      <c r="B23" s="168"/>
      <c r="C23" s="168"/>
      <c r="D23" s="168"/>
      <c r="E23" s="168"/>
      <c r="F23" s="54">
        <v>14.8</v>
      </c>
      <c r="G23" s="196"/>
      <c r="H23" s="60"/>
      <c r="I23" s="451">
        <v>-3.819</v>
      </c>
      <c r="J23" s="500">
        <v>-0.84352856397628806</v>
      </c>
      <c r="K23" s="757">
        <f t="shared" si="1"/>
        <v>30.702996187143398</v>
      </c>
      <c r="L23" s="188" t="s">
        <v>258</v>
      </c>
      <c r="M23" s="69" t="s">
        <v>74</v>
      </c>
      <c r="N23" s="171"/>
      <c r="O23" s="172" t="s">
        <v>35</v>
      </c>
      <c r="P23" s="173" t="s">
        <v>58</v>
      </c>
      <c r="Q23" s="174" t="s">
        <v>409</v>
      </c>
      <c r="R23" s="249" t="s">
        <v>407</v>
      </c>
      <c r="S23" s="176"/>
    </row>
    <row r="24" spans="1:19">
      <c r="A24" s="167" t="s">
        <v>408</v>
      </c>
      <c r="B24" s="168"/>
      <c r="C24" s="168"/>
      <c r="D24" s="168"/>
      <c r="E24" s="168"/>
      <c r="F24" s="54">
        <v>15.1</v>
      </c>
      <c r="G24" s="196"/>
      <c r="H24" s="60"/>
      <c r="I24" s="451">
        <v>-3.5509599999999999</v>
      </c>
      <c r="J24" s="500">
        <v>-0.84352856397628806</v>
      </c>
      <c r="K24" s="757">
        <f t="shared" si="1"/>
        <v>29.322198511419273</v>
      </c>
      <c r="L24" s="188" t="s">
        <v>258</v>
      </c>
      <c r="M24" s="69" t="s">
        <v>74</v>
      </c>
      <c r="N24" s="171"/>
      <c r="O24" s="172" t="s">
        <v>35</v>
      </c>
      <c r="P24" s="173" t="s">
        <v>58</v>
      </c>
      <c r="Q24" s="174" t="s">
        <v>409</v>
      </c>
      <c r="R24" s="249" t="s">
        <v>407</v>
      </c>
      <c r="S24" s="176"/>
    </row>
    <row r="25" spans="1:19">
      <c r="A25" s="177" t="s">
        <v>408</v>
      </c>
      <c r="B25" s="178"/>
      <c r="C25" s="178"/>
      <c r="D25" s="178"/>
      <c r="E25" s="178"/>
      <c r="F25" s="179">
        <v>15.55</v>
      </c>
      <c r="G25" s="226"/>
      <c r="H25" s="179"/>
      <c r="I25" s="454">
        <v>-3.7064400000000002</v>
      </c>
      <c r="J25" s="588">
        <v>-0.84352856397628806</v>
      </c>
      <c r="K25" s="791">
        <f t="shared" si="1"/>
        <v>30.121572633296406</v>
      </c>
      <c r="L25" s="189" t="s">
        <v>258</v>
      </c>
      <c r="M25" s="183" t="s">
        <v>74</v>
      </c>
      <c r="N25" s="184"/>
      <c r="O25" s="185" t="s">
        <v>35</v>
      </c>
      <c r="P25" s="186" t="s">
        <v>58</v>
      </c>
      <c r="Q25" s="187" t="s">
        <v>409</v>
      </c>
      <c r="R25" s="249" t="s">
        <v>407</v>
      </c>
      <c r="S25" s="176"/>
    </row>
    <row r="26" spans="1:19">
      <c r="A26" s="167" t="s">
        <v>408</v>
      </c>
      <c r="B26" s="168"/>
      <c r="C26" s="168"/>
      <c r="D26" s="168"/>
      <c r="E26" s="168"/>
      <c r="F26" s="54">
        <v>8.3000000000000007</v>
      </c>
      <c r="G26" s="196"/>
      <c r="H26" s="60"/>
      <c r="I26" s="451">
        <v>-3.387</v>
      </c>
      <c r="J26" s="500">
        <v>-0.84352856397628806</v>
      </c>
      <c r="K26" s="590">
        <f t="shared" si="1"/>
        <v>28.483939688278191</v>
      </c>
      <c r="L26" s="188" t="s">
        <v>666</v>
      </c>
      <c r="M26" s="69" t="s">
        <v>74</v>
      </c>
      <c r="N26" s="171"/>
      <c r="O26" s="172" t="s">
        <v>35</v>
      </c>
      <c r="P26" s="173" t="s">
        <v>58</v>
      </c>
      <c r="Q26" s="174" t="s">
        <v>409</v>
      </c>
      <c r="R26" s="249" t="s">
        <v>407</v>
      </c>
      <c r="S26" s="176"/>
    </row>
    <row r="27" spans="1:19">
      <c r="A27" s="167" t="s">
        <v>408</v>
      </c>
      <c r="B27" s="168"/>
      <c r="C27" s="168"/>
      <c r="D27" s="168"/>
      <c r="E27" s="168"/>
      <c r="F27" s="53">
        <v>9.0500000000000007</v>
      </c>
      <c r="G27" s="196" t="s">
        <v>196</v>
      </c>
      <c r="H27" s="60"/>
      <c r="I27" s="451">
        <v>-3.3</v>
      </c>
      <c r="J27" s="500">
        <v>-0.84352856397628806</v>
      </c>
      <c r="K27" s="590">
        <f t="shared" si="1"/>
        <v>28.04111013559006</v>
      </c>
      <c r="L27" s="188" t="s">
        <v>666</v>
      </c>
      <c r="M27" s="69" t="s">
        <v>74</v>
      </c>
      <c r="N27" s="171"/>
      <c r="O27" s="172" t="s">
        <v>35</v>
      </c>
      <c r="P27" s="173" t="s">
        <v>58</v>
      </c>
      <c r="Q27" s="174" t="s">
        <v>409</v>
      </c>
      <c r="R27" s="249" t="s">
        <v>407</v>
      </c>
      <c r="S27" s="176" t="s">
        <v>736</v>
      </c>
    </row>
    <row r="28" spans="1:19">
      <c r="A28" s="167" t="s">
        <v>408</v>
      </c>
      <c r="B28" s="168"/>
      <c r="C28" s="168"/>
      <c r="D28" s="168"/>
      <c r="E28" s="168"/>
      <c r="F28" s="53">
        <v>10.7</v>
      </c>
      <c r="G28" s="55"/>
      <c r="H28" s="60"/>
      <c r="I28" s="451">
        <v>-3.145</v>
      </c>
      <c r="J28" s="500">
        <v>-0.84352856397628806</v>
      </c>
      <c r="K28" s="757">
        <f t="shared" si="1"/>
        <v>27.255536832524996</v>
      </c>
      <c r="L28" s="188" t="s">
        <v>666</v>
      </c>
      <c r="M28" s="69" t="s">
        <v>74</v>
      </c>
      <c r="N28" s="171"/>
      <c r="O28" s="172" t="s">
        <v>35</v>
      </c>
      <c r="P28" s="173" t="s">
        <v>58</v>
      </c>
      <c r="Q28" s="174" t="s">
        <v>409</v>
      </c>
      <c r="R28" s="249" t="s">
        <v>407</v>
      </c>
      <c r="S28" s="176"/>
    </row>
    <row r="29" spans="1:19">
      <c r="A29" s="167" t="s">
        <v>408</v>
      </c>
      <c r="B29" s="168"/>
      <c r="C29" s="168"/>
      <c r="D29" s="168"/>
      <c r="E29" s="168"/>
      <c r="F29" s="54">
        <v>11.6</v>
      </c>
      <c r="G29" s="55"/>
      <c r="H29" s="60"/>
      <c r="I29" s="449">
        <v>-3.524</v>
      </c>
      <c r="J29" s="500">
        <v>-0.84352856397628806</v>
      </c>
      <c r="K29" s="757">
        <f t="shared" si="1"/>
        <v>29.184030903890537</v>
      </c>
      <c r="L29" s="188" t="s">
        <v>666</v>
      </c>
      <c r="M29" s="69" t="s">
        <v>74</v>
      </c>
      <c r="N29" s="171"/>
      <c r="O29" s="172" t="s">
        <v>35</v>
      </c>
      <c r="P29" s="173" t="s">
        <v>58</v>
      </c>
      <c r="Q29" s="174" t="s">
        <v>409</v>
      </c>
      <c r="R29" s="249" t="s">
        <v>407</v>
      </c>
      <c r="S29" s="176"/>
    </row>
    <row r="30" spans="1:19">
      <c r="A30" s="167" t="s">
        <v>408</v>
      </c>
      <c r="B30" s="168"/>
      <c r="C30" s="168"/>
      <c r="D30" s="168"/>
      <c r="E30" s="168"/>
      <c r="F30" s="53">
        <v>12.4</v>
      </c>
      <c r="G30" s="55"/>
      <c r="H30" s="60"/>
      <c r="I30" s="449">
        <v>-3.6852</v>
      </c>
      <c r="J30" s="500">
        <v>-0.84352856397628806</v>
      </c>
      <c r="K30" s="757">
        <f t="shared" si="1"/>
        <v>30.012114152678201</v>
      </c>
      <c r="L30" s="188" t="s">
        <v>666</v>
      </c>
      <c r="M30" s="69" t="s">
        <v>74</v>
      </c>
      <c r="N30" s="171"/>
      <c r="O30" s="172" t="s">
        <v>35</v>
      </c>
      <c r="P30" s="173" t="s">
        <v>58</v>
      </c>
      <c r="Q30" s="174" t="s">
        <v>409</v>
      </c>
      <c r="R30" s="249" t="s">
        <v>407</v>
      </c>
      <c r="S30" s="176"/>
    </row>
    <row r="31" spans="1:19">
      <c r="A31" s="167" t="s">
        <v>408</v>
      </c>
      <c r="B31" s="168"/>
      <c r="C31" s="168"/>
      <c r="D31" s="168"/>
      <c r="E31" s="168"/>
      <c r="F31" s="54">
        <v>13.2</v>
      </c>
      <c r="G31" s="196"/>
      <c r="H31" s="60"/>
      <c r="I31" s="449">
        <v>-3.8696000000000002</v>
      </c>
      <c r="J31" s="500">
        <v>-0.84352856397628806</v>
      </c>
      <c r="K31" s="757">
        <f t="shared" si="1"/>
        <v>30.965111213382698</v>
      </c>
      <c r="L31" s="188" t="s">
        <v>666</v>
      </c>
      <c r="M31" s="69" t="s">
        <v>74</v>
      </c>
      <c r="N31" s="171"/>
      <c r="O31" s="172" t="s">
        <v>35</v>
      </c>
      <c r="P31" s="173" t="s">
        <v>58</v>
      </c>
      <c r="Q31" s="174" t="s">
        <v>409</v>
      </c>
      <c r="R31" s="249" t="s">
        <v>407</v>
      </c>
      <c r="S31" s="176"/>
    </row>
    <row r="32" spans="1:19">
      <c r="A32" s="167" t="s">
        <v>408</v>
      </c>
      <c r="B32" s="168"/>
      <c r="C32" s="168"/>
      <c r="D32" s="168"/>
      <c r="E32" s="168"/>
      <c r="F32" s="53">
        <v>13.65</v>
      </c>
      <c r="G32" s="55"/>
      <c r="H32" s="60"/>
      <c r="I32" s="449">
        <v>-3.4039999999999999</v>
      </c>
      <c r="J32" s="500">
        <v>-0.84352856397628806</v>
      </c>
      <c r="K32" s="757">
        <f t="shared" si="1"/>
        <v>28.570628720872424</v>
      </c>
      <c r="L32" s="188" t="s">
        <v>666</v>
      </c>
      <c r="M32" s="69" t="s">
        <v>74</v>
      </c>
      <c r="N32" s="171"/>
      <c r="O32" s="172" t="s">
        <v>35</v>
      </c>
      <c r="P32" s="173" t="s">
        <v>58</v>
      </c>
      <c r="Q32" s="174" t="s">
        <v>409</v>
      </c>
      <c r="R32" s="249" t="s">
        <v>407</v>
      </c>
      <c r="S32" s="176"/>
    </row>
    <row r="33" spans="1:19">
      <c r="A33" s="167" t="s">
        <v>408</v>
      </c>
      <c r="B33" s="168"/>
      <c r="C33" s="168"/>
      <c r="D33" s="168"/>
      <c r="E33" s="168"/>
      <c r="F33" s="54">
        <v>14.1</v>
      </c>
      <c r="G33" s="55"/>
      <c r="H33" s="60"/>
      <c r="I33" s="449">
        <v>-3.2262749999999998</v>
      </c>
      <c r="J33" s="500">
        <v>-0.84352856397628806</v>
      </c>
      <c r="K33" s="757">
        <f t="shared" si="1"/>
        <v>27.666916715204557</v>
      </c>
      <c r="L33" s="188" t="s">
        <v>666</v>
      </c>
      <c r="M33" s="69" t="s">
        <v>74</v>
      </c>
      <c r="N33" s="171"/>
      <c r="O33" s="172" t="s">
        <v>35</v>
      </c>
      <c r="P33" s="173" t="s">
        <v>58</v>
      </c>
      <c r="Q33" s="174" t="s">
        <v>409</v>
      </c>
      <c r="R33" s="249" t="s">
        <v>407</v>
      </c>
      <c r="S33" s="176"/>
    </row>
    <row r="34" spans="1:19">
      <c r="A34" s="167" t="s">
        <v>408</v>
      </c>
      <c r="B34" s="168"/>
      <c r="C34" s="168"/>
      <c r="D34" s="168"/>
      <c r="E34" s="168"/>
      <c r="F34" s="53">
        <v>14.45</v>
      </c>
      <c r="G34" s="55"/>
      <c r="H34" s="60"/>
      <c r="I34" s="449">
        <v>-3.1160600000000001</v>
      </c>
      <c r="J34" s="500">
        <v>-0.84352856397628806</v>
      </c>
      <c r="K34" s="757">
        <f t="shared" si="1"/>
        <v>27.109341784644464</v>
      </c>
      <c r="L34" s="188" t="s">
        <v>666</v>
      </c>
      <c r="M34" s="69" t="s">
        <v>74</v>
      </c>
      <c r="N34" s="171"/>
      <c r="O34" s="172" t="s">
        <v>35</v>
      </c>
      <c r="P34" s="173" t="s">
        <v>58</v>
      </c>
      <c r="Q34" s="174" t="s">
        <v>409</v>
      </c>
      <c r="R34" s="249" t="s">
        <v>407</v>
      </c>
      <c r="S34" s="176"/>
    </row>
    <row r="35" spans="1:19">
      <c r="A35" s="167" t="s">
        <v>408</v>
      </c>
      <c r="B35" s="168"/>
      <c r="C35" s="168"/>
      <c r="D35" s="168"/>
      <c r="E35" s="168"/>
      <c r="F35" s="54">
        <v>14.8</v>
      </c>
      <c r="G35" s="55"/>
      <c r="H35" s="60"/>
      <c r="I35" s="449">
        <v>-3.617</v>
      </c>
      <c r="J35" s="500">
        <v>-0.84352856397628806</v>
      </c>
      <c r="K35" s="757">
        <f t="shared" si="1"/>
        <v>29.661200405729574</v>
      </c>
      <c r="L35" s="188" t="s">
        <v>666</v>
      </c>
      <c r="M35" s="69" t="s">
        <v>74</v>
      </c>
      <c r="N35" s="171"/>
      <c r="O35" s="172" t="s">
        <v>35</v>
      </c>
      <c r="P35" s="173" t="s">
        <v>58</v>
      </c>
      <c r="Q35" s="174" t="s">
        <v>409</v>
      </c>
      <c r="R35" s="249" t="s">
        <v>407</v>
      </c>
      <c r="S35" s="176"/>
    </row>
    <row r="36" spans="1:19">
      <c r="A36" s="167" t="s">
        <v>408</v>
      </c>
      <c r="B36" s="168"/>
      <c r="C36" s="168"/>
      <c r="D36" s="168"/>
      <c r="E36" s="168"/>
      <c r="F36" s="54">
        <v>15.1</v>
      </c>
      <c r="G36" s="55"/>
      <c r="H36" s="60"/>
      <c r="I36" s="449">
        <v>-3.2769999999999997</v>
      </c>
      <c r="J36" s="500">
        <v>-0.84352856397628806</v>
      </c>
      <c r="K36" s="757">
        <f t="shared" si="1"/>
        <v>27.924267953844918</v>
      </c>
      <c r="L36" s="188" t="s">
        <v>666</v>
      </c>
      <c r="M36" s="69" t="s">
        <v>74</v>
      </c>
      <c r="N36" s="171"/>
      <c r="O36" s="172" t="s">
        <v>35</v>
      </c>
      <c r="P36" s="173" t="s">
        <v>58</v>
      </c>
      <c r="Q36" s="174" t="s">
        <v>409</v>
      </c>
      <c r="R36" s="249" t="s">
        <v>407</v>
      </c>
      <c r="S36" s="176"/>
    </row>
    <row r="37" spans="1:19">
      <c r="A37" s="167" t="s">
        <v>408</v>
      </c>
      <c r="B37" s="168"/>
      <c r="C37" s="168"/>
      <c r="D37" s="168"/>
      <c r="E37" s="168"/>
      <c r="F37" s="53">
        <v>15.55</v>
      </c>
      <c r="G37" s="55"/>
      <c r="H37" s="60"/>
      <c r="I37" s="449">
        <v>-3.2161900000000001</v>
      </c>
      <c r="J37" s="500">
        <v>-0.84352856397628806</v>
      </c>
      <c r="K37" s="757">
        <f t="shared" si="1"/>
        <v>27.615806069249494</v>
      </c>
      <c r="L37" s="188" t="s">
        <v>666</v>
      </c>
      <c r="M37" s="69" t="s">
        <v>74</v>
      </c>
      <c r="N37" s="171"/>
      <c r="O37" s="172" t="s">
        <v>35</v>
      </c>
      <c r="P37" s="173" t="s">
        <v>58</v>
      </c>
      <c r="Q37" s="174" t="s">
        <v>409</v>
      </c>
      <c r="R37" s="249" t="s">
        <v>407</v>
      </c>
      <c r="S37" s="176"/>
    </row>
    <row r="38" spans="1:19" ht="13.5" thickBot="1">
      <c r="A38" s="506"/>
      <c r="B38" s="507"/>
      <c r="C38" s="255"/>
      <c r="D38" s="255"/>
      <c r="E38" s="255"/>
      <c r="F38" s="255"/>
      <c r="G38" s="255"/>
      <c r="H38" s="255"/>
      <c r="I38" s="257"/>
      <c r="J38" s="257"/>
      <c r="K38" s="766"/>
      <c r="L38" s="255"/>
      <c r="M38" s="255"/>
      <c r="N38" s="255"/>
      <c r="O38" s="256"/>
      <c r="P38" s="254"/>
      <c r="Q38" s="256"/>
      <c r="R38" s="258"/>
      <c r="S38" s="258"/>
    </row>
    <row r="39" spans="1:19">
      <c r="L39" s="156"/>
    </row>
    <row r="40" spans="1:19" ht="13.5" thickBot="1"/>
    <row r="41" spans="1:19" ht="13.5" thickBot="1">
      <c r="G41" s="729"/>
      <c r="H41" s="730" t="s">
        <v>607</v>
      </c>
      <c r="I41" s="730" t="s">
        <v>605</v>
      </c>
      <c r="J41" s="731">
        <v>0.05</v>
      </c>
      <c r="K41" s="730" t="s">
        <v>602</v>
      </c>
      <c r="L41" s="731">
        <v>0.95</v>
      </c>
      <c r="M41" s="732" t="s">
        <v>606</v>
      </c>
    </row>
    <row r="42" spans="1:19">
      <c r="G42" s="673" t="s">
        <v>21</v>
      </c>
      <c r="H42" s="674"/>
      <c r="I42" s="675"/>
      <c r="J42" s="675"/>
      <c r="K42" s="675"/>
      <c r="L42" s="675"/>
      <c r="M42" s="676"/>
    </row>
    <row r="43" spans="1:19">
      <c r="G43" s="673" t="s">
        <v>20</v>
      </c>
      <c r="H43" s="674"/>
      <c r="I43" s="675"/>
      <c r="J43" s="675"/>
      <c r="K43" s="675"/>
      <c r="L43" s="675"/>
      <c r="M43" s="676"/>
    </row>
    <row r="44" spans="1:19" ht="13.5" thickBot="1">
      <c r="G44" s="677" t="s">
        <v>601</v>
      </c>
      <c r="H44" s="678">
        <f>COUNT(K15,K27)</f>
        <v>2</v>
      </c>
      <c r="I44" s="679">
        <f>MIN(K15,K27)</f>
        <v>28.04111013559006</v>
      </c>
      <c r="J44" s="679">
        <f>_xlfn.PERCENTILE.INC((K15,K27),0.05)</f>
        <v>28.15073148569931</v>
      </c>
      <c r="K44" s="679">
        <f>AVERAGE(K15,K27)</f>
        <v>29.137323636682581</v>
      </c>
      <c r="L44" s="679">
        <f>_xlfn.PERCENTILE.INC((K15,K27),0.95)</f>
        <v>30.123915787665851</v>
      </c>
      <c r="M44" s="680">
        <f>MAX(K15,K27)</f>
        <v>30.233537137775102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55"/>
  <sheetViews>
    <sheetView workbookViewId="0">
      <selection activeCell="B3" sqref="B3"/>
    </sheetView>
  </sheetViews>
  <sheetFormatPr defaultColWidth="10.875" defaultRowHeight="12.75"/>
  <cols>
    <col min="1" max="1" width="15.625" style="69" customWidth="1"/>
    <col min="2" max="2" width="20.625" style="610" customWidth="1"/>
    <col min="3" max="3" width="19" style="69" bestFit="1" customWidth="1"/>
    <col min="4" max="4" width="10.875" style="69"/>
    <col min="5" max="6" width="10.875" style="156"/>
    <col min="7" max="10" width="10.875" style="69"/>
    <col min="11" max="11" width="15.625" style="69" customWidth="1"/>
    <col min="12" max="12" width="22.625" style="69" customWidth="1"/>
    <col min="13" max="13" width="13" style="69" bestFit="1" customWidth="1"/>
    <col min="14" max="15" width="10.875" style="69"/>
    <col min="16" max="16" width="10" style="69" bestFit="1" customWidth="1"/>
    <col min="17" max="17" width="16" style="69" bestFit="1" customWidth="1"/>
    <col min="18" max="18" width="19" style="69" bestFit="1" customWidth="1"/>
    <col min="19" max="19" width="41" style="69" bestFit="1" customWidth="1"/>
    <col min="20" max="16384" width="10.875" style="69"/>
  </cols>
  <sheetData>
    <row r="1" spans="1:19" s="11" customFormat="1" ht="15.75">
      <c r="A1" s="234" t="s">
        <v>62</v>
      </c>
      <c r="B1" s="665" t="s">
        <v>684</v>
      </c>
      <c r="C1" s="207"/>
      <c r="D1" s="20"/>
      <c r="E1" s="20"/>
      <c r="F1" s="20"/>
      <c r="G1" s="20"/>
      <c r="H1" s="20"/>
      <c r="I1" s="20"/>
      <c r="J1" s="20"/>
      <c r="K1" s="20"/>
      <c r="L1" s="20"/>
      <c r="M1" s="20"/>
      <c r="N1" s="20"/>
      <c r="O1" s="20"/>
      <c r="P1" s="20"/>
      <c r="Q1" s="20"/>
      <c r="R1" s="19"/>
      <c r="S1" s="19"/>
    </row>
    <row r="2" spans="1:19">
      <c r="A2" s="208" t="s">
        <v>636</v>
      </c>
      <c r="B2" s="153" t="s">
        <v>639</v>
      </c>
      <c r="C2" s="143"/>
      <c r="D2" s="144"/>
      <c r="E2" s="144"/>
      <c r="F2" s="144"/>
      <c r="G2" s="144"/>
      <c r="H2" s="144"/>
      <c r="I2" s="144"/>
      <c r="J2" s="144"/>
      <c r="K2" s="144"/>
      <c r="L2" s="144"/>
      <c r="M2" s="144"/>
      <c r="N2" s="144"/>
      <c r="O2" s="144"/>
      <c r="P2" s="144"/>
      <c r="Q2" s="144"/>
      <c r="R2" s="145"/>
      <c r="S2" s="145"/>
    </row>
    <row r="3" spans="1:19">
      <c r="A3" s="208" t="s">
        <v>61</v>
      </c>
      <c r="B3" s="146" t="s">
        <v>733</v>
      </c>
      <c r="C3" s="143"/>
      <c r="D3" s="144"/>
      <c r="E3" s="144"/>
      <c r="F3" s="144"/>
      <c r="G3" s="144"/>
      <c r="H3" s="144"/>
      <c r="I3" s="144"/>
      <c r="J3" s="144"/>
      <c r="K3" s="144"/>
      <c r="L3" s="144"/>
      <c r="M3" s="144"/>
      <c r="N3" s="144"/>
      <c r="O3" s="144"/>
      <c r="P3" s="144"/>
      <c r="Q3" s="144"/>
      <c r="R3" s="145"/>
      <c r="S3" s="145"/>
    </row>
    <row r="4" spans="1:19">
      <c r="A4" s="230" t="s">
        <v>621</v>
      </c>
      <c r="B4" s="594">
        <v>-8.85</v>
      </c>
      <c r="D4" s="144"/>
      <c r="E4" s="144"/>
      <c r="F4" s="144"/>
      <c r="G4" s="144"/>
      <c r="H4" s="144"/>
      <c r="I4" s="144"/>
      <c r="J4" s="144"/>
      <c r="K4" s="144"/>
      <c r="L4" s="144"/>
      <c r="M4" s="144"/>
      <c r="N4" s="144"/>
      <c r="O4" s="144"/>
      <c r="P4" s="144"/>
      <c r="Q4" s="144"/>
      <c r="R4" s="145"/>
      <c r="S4" s="145"/>
    </row>
    <row r="5" spans="1:19">
      <c r="A5" s="230" t="s">
        <v>622</v>
      </c>
      <c r="B5" s="594">
        <v>39.630000000000003</v>
      </c>
      <c r="D5" s="144"/>
      <c r="E5" s="144"/>
      <c r="F5" s="144"/>
      <c r="G5" s="144"/>
      <c r="H5" s="144"/>
      <c r="I5" s="144"/>
      <c r="J5" s="144"/>
      <c r="K5" s="144"/>
      <c r="L5" s="144"/>
      <c r="M5" s="144"/>
      <c r="N5" s="144"/>
      <c r="O5" s="144"/>
      <c r="P5" s="144"/>
      <c r="Q5" s="144"/>
      <c r="R5" s="145"/>
      <c r="S5" s="145"/>
    </row>
    <row r="6" spans="1:19">
      <c r="A6" s="232" t="s">
        <v>50</v>
      </c>
      <c r="B6" s="595">
        <v>-23.493405668099999</v>
      </c>
      <c r="C6" s="143"/>
      <c r="D6" s="144"/>
      <c r="E6" s="144"/>
      <c r="F6" s="144"/>
      <c r="G6" s="144"/>
      <c r="H6" s="144"/>
      <c r="I6" s="144"/>
      <c r="J6" s="144"/>
      <c r="K6" s="144"/>
      <c r="L6" s="144"/>
      <c r="M6" s="144"/>
      <c r="N6" s="144"/>
      <c r="O6" s="144"/>
      <c r="P6" s="144"/>
      <c r="Q6" s="144"/>
      <c r="R6" s="145"/>
      <c r="S6" s="145"/>
    </row>
    <row r="7" spans="1:19">
      <c r="A7" s="141" t="s">
        <v>696</v>
      </c>
      <c r="B7" s="596" t="s">
        <v>729</v>
      </c>
      <c r="C7" s="146" t="s">
        <v>364</v>
      </c>
      <c r="D7" s="144"/>
      <c r="E7" s="144"/>
      <c r="F7" s="144"/>
      <c r="G7" s="144"/>
      <c r="H7" s="144"/>
      <c r="I7" s="144"/>
      <c r="J7" s="144"/>
      <c r="K7" s="144"/>
      <c r="L7" s="144"/>
      <c r="M7" s="144"/>
      <c r="N7" s="144"/>
      <c r="O7" s="144"/>
      <c r="P7" s="144"/>
      <c r="Q7" s="144"/>
      <c r="R7" s="145"/>
      <c r="S7" s="145"/>
    </row>
    <row r="8" spans="1:19" ht="38.25">
      <c r="A8" s="208" t="s">
        <v>63</v>
      </c>
      <c r="B8" s="153" t="s">
        <v>730</v>
      </c>
      <c r="C8" s="72" t="s">
        <v>731</v>
      </c>
      <c r="D8" s="154"/>
      <c r="E8" s="154"/>
      <c r="F8" s="144"/>
      <c r="G8" s="144"/>
      <c r="H8" s="144"/>
      <c r="I8" s="144"/>
      <c r="J8" s="144"/>
      <c r="K8" s="144"/>
      <c r="L8" s="144"/>
      <c r="M8" s="144"/>
      <c r="N8" s="144"/>
      <c r="O8" s="144"/>
      <c r="P8" s="144"/>
      <c r="Q8" s="144"/>
      <c r="R8" s="145"/>
      <c r="S8" s="145"/>
    </row>
    <row r="9" spans="1:19">
      <c r="A9" s="208" t="s">
        <v>64</v>
      </c>
      <c r="B9" s="597" t="s">
        <v>197</v>
      </c>
      <c r="C9" s="50" t="s">
        <v>734</v>
      </c>
      <c r="D9" s="144"/>
      <c r="E9" s="144"/>
      <c r="F9" s="144"/>
      <c r="G9" s="144"/>
      <c r="H9" s="144"/>
      <c r="I9" s="144"/>
      <c r="J9" s="144"/>
      <c r="K9" s="144"/>
      <c r="L9" s="144"/>
      <c r="M9" s="144"/>
      <c r="N9" s="144"/>
      <c r="O9" s="144"/>
      <c r="P9" s="144"/>
      <c r="Q9" s="144"/>
      <c r="R9" s="145"/>
      <c r="S9" s="145"/>
    </row>
    <row r="10" spans="1:19">
      <c r="A10" s="208" t="s">
        <v>65</v>
      </c>
      <c r="B10" s="155" t="s">
        <v>376</v>
      </c>
      <c r="C10" s="152"/>
      <c r="D10" s="144"/>
      <c r="E10" s="144"/>
      <c r="F10" s="144"/>
      <c r="G10" s="144"/>
      <c r="I10" s="144"/>
      <c r="J10" s="144"/>
      <c r="K10" s="144"/>
      <c r="L10" s="144"/>
      <c r="M10" s="144"/>
      <c r="N10" s="144"/>
      <c r="O10" s="144"/>
      <c r="P10" s="144"/>
      <c r="Q10" s="144"/>
      <c r="R10" s="145"/>
      <c r="S10" s="145"/>
    </row>
    <row r="11" spans="1:19" ht="13.5" thickBot="1">
      <c r="A11" s="145"/>
      <c r="B11" s="598"/>
      <c r="C11" s="144"/>
      <c r="D11" s="144"/>
      <c r="E11" s="144"/>
      <c r="F11" s="144"/>
      <c r="G11" s="144"/>
      <c r="H11" s="154"/>
      <c r="I11" s="144"/>
      <c r="J11" s="144"/>
      <c r="K11" s="168"/>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13" t="s">
        <v>10</v>
      </c>
      <c r="I12" s="214" t="s">
        <v>725</v>
      </c>
      <c r="J12" s="215" t="s">
        <v>664</v>
      </c>
      <c r="K12" s="216" t="s">
        <v>659</v>
      </c>
      <c r="L12" s="217" t="s">
        <v>70</v>
      </c>
      <c r="M12" s="217" t="s">
        <v>71</v>
      </c>
      <c r="N12" s="217" t="s">
        <v>36</v>
      </c>
      <c r="O12" s="218" t="s">
        <v>34</v>
      </c>
      <c r="P12" s="217" t="s">
        <v>72</v>
      </c>
      <c r="Q12" s="218" t="s">
        <v>73</v>
      </c>
      <c r="R12" s="160" t="s">
        <v>15</v>
      </c>
      <c r="S12" s="166" t="s">
        <v>38</v>
      </c>
    </row>
    <row r="13" spans="1:19">
      <c r="A13" s="236"/>
      <c r="B13" s="599"/>
      <c r="C13" s="237"/>
      <c r="D13" s="237"/>
      <c r="E13" s="237"/>
      <c r="F13" s="237"/>
      <c r="G13" s="237"/>
      <c r="H13" s="499"/>
      <c r="I13" s="239"/>
      <c r="J13" s="170"/>
      <c r="K13" s="539"/>
      <c r="L13" s="289"/>
      <c r="M13" s="241"/>
      <c r="N13" s="241"/>
      <c r="O13" s="242"/>
      <c r="P13" s="240"/>
      <c r="Q13" s="242"/>
      <c r="R13" s="500"/>
      <c r="S13" s="176"/>
    </row>
    <row r="14" spans="1:19">
      <c r="A14" s="167" t="s">
        <v>325</v>
      </c>
      <c r="B14" s="600"/>
      <c r="C14" s="156">
        <v>5</v>
      </c>
      <c r="D14" s="156">
        <v>1</v>
      </c>
      <c r="E14" s="156" t="s">
        <v>328</v>
      </c>
      <c r="F14" s="248"/>
      <c r="G14" s="156" t="s">
        <v>21</v>
      </c>
      <c r="H14" s="248" t="s">
        <v>326</v>
      </c>
      <c r="I14" s="564">
        <v>-3.5</v>
      </c>
      <c r="J14" s="920">
        <v>-0.681550056934357</v>
      </c>
      <c r="K14" s="233">
        <f t="shared" ref="K14" si="0">16.1-4.64*($I14-J14)+0.09*($I14-J14)^2</f>
        <v>29.892537143165594</v>
      </c>
      <c r="L14" s="601" t="s">
        <v>301</v>
      </c>
      <c r="M14" s="563" t="s">
        <v>74</v>
      </c>
      <c r="N14" s="602" t="s">
        <v>274</v>
      </c>
      <c r="O14" s="307" t="s">
        <v>35</v>
      </c>
      <c r="P14" s="314" t="s">
        <v>58</v>
      </c>
      <c r="Q14" s="501" t="s">
        <v>339</v>
      </c>
      <c r="R14" s="315" t="s">
        <v>327</v>
      </c>
      <c r="S14" s="223" t="s">
        <v>732</v>
      </c>
    </row>
    <row r="15" spans="1:19">
      <c r="A15" s="167" t="s">
        <v>325</v>
      </c>
      <c r="B15" s="600"/>
      <c r="C15" s="156">
        <v>5</v>
      </c>
      <c r="D15" s="156">
        <v>1</v>
      </c>
      <c r="E15" s="156" t="s">
        <v>328</v>
      </c>
      <c r="F15" s="60"/>
      <c r="G15" s="156" t="s">
        <v>21</v>
      </c>
      <c r="H15" s="248" t="s">
        <v>326</v>
      </c>
      <c r="I15" s="564">
        <v>-3.1850000000000001</v>
      </c>
      <c r="J15" s="920">
        <v>-0.681550056934357</v>
      </c>
      <c r="K15" s="233">
        <f t="shared" ref="K15:K30" si="1">16.1-4.64*($I15-J15)+0.09*($I15-J15)^2</f>
        <v>28.280061281393767</v>
      </c>
      <c r="L15" s="603" t="s">
        <v>33</v>
      </c>
      <c r="M15" s="563" t="s">
        <v>74</v>
      </c>
      <c r="N15" s="602" t="s">
        <v>37</v>
      </c>
      <c r="O15" s="307" t="s">
        <v>35</v>
      </c>
      <c r="P15" s="314" t="s">
        <v>58</v>
      </c>
      <c r="Q15" s="501" t="s">
        <v>339</v>
      </c>
      <c r="R15" s="315" t="s">
        <v>327</v>
      </c>
      <c r="S15" s="223"/>
    </row>
    <row r="16" spans="1:19">
      <c r="A16" s="167" t="s">
        <v>325</v>
      </c>
      <c r="B16" s="600"/>
      <c r="C16" s="156">
        <v>5</v>
      </c>
      <c r="D16" s="156">
        <v>1</v>
      </c>
      <c r="E16" s="156" t="s">
        <v>328</v>
      </c>
      <c r="F16" s="60"/>
      <c r="G16" s="156" t="s">
        <v>21</v>
      </c>
      <c r="H16" s="248" t="s">
        <v>326</v>
      </c>
      <c r="I16" s="564">
        <v>-3.5409999999999999</v>
      </c>
      <c r="J16" s="920">
        <v>-0.681550056934357</v>
      </c>
      <c r="K16" s="233">
        <f t="shared" si="1"/>
        <v>30.103728593745412</v>
      </c>
      <c r="L16" s="601" t="s">
        <v>305</v>
      </c>
      <c r="M16" s="563" t="s">
        <v>74</v>
      </c>
      <c r="N16" s="602" t="s">
        <v>37</v>
      </c>
      <c r="O16" s="307" t="s">
        <v>35</v>
      </c>
      <c r="P16" s="314" t="s">
        <v>58</v>
      </c>
      <c r="Q16" s="501" t="s">
        <v>339</v>
      </c>
      <c r="R16" s="315" t="s">
        <v>327</v>
      </c>
      <c r="S16" s="176"/>
    </row>
    <row r="17" spans="1:19">
      <c r="A17" s="167" t="s">
        <v>325</v>
      </c>
      <c r="B17" s="600"/>
      <c r="C17" s="156">
        <v>5</v>
      </c>
      <c r="D17" s="156">
        <v>1</v>
      </c>
      <c r="E17" s="156" t="s">
        <v>328</v>
      </c>
      <c r="F17" s="60"/>
      <c r="G17" s="156" t="s">
        <v>21</v>
      </c>
      <c r="H17" s="248" t="s">
        <v>326</v>
      </c>
      <c r="I17" s="564">
        <v>-3.5179999999999998</v>
      </c>
      <c r="J17" s="920">
        <v>-0.681550056934357</v>
      </c>
      <c r="K17" s="233">
        <f t="shared" si="1"/>
        <v>29.98521808098112</v>
      </c>
      <c r="L17" s="601" t="s">
        <v>305</v>
      </c>
      <c r="M17" s="563" t="s">
        <v>74</v>
      </c>
      <c r="N17" s="262" t="s">
        <v>37</v>
      </c>
      <c r="O17" s="307" t="s">
        <v>35</v>
      </c>
      <c r="P17" s="314" t="s">
        <v>58</v>
      </c>
      <c r="Q17" s="501" t="s">
        <v>339</v>
      </c>
      <c r="R17" s="315" t="s">
        <v>327</v>
      </c>
      <c r="S17" s="176"/>
    </row>
    <row r="18" spans="1:19">
      <c r="A18" s="167" t="s">
        <v>325</v>
      </c>
      <c r="B18" s="600"/>
      <c r="C18" s="156">
        <v>5</v>
      </c>
      <c r="D18" s="156">
        <v>1</v>
      </c>
      <c r="E18" s="156" t="s">
        <v>328</v>
      </c>
      <c r="F18" s="60"/>
      <c r="G18" s="156" t="s">
        <v>21</v>
      </c>
      <c r="H18" s="248" t="s">
        <v>326</v>
      </c>
      <c r="I18" s="564">
        <v>-3.706</v>
      </c>
      <c r="J18" s="920">
        <v>-0.681550056934357</v>
      </c>
      <c r="K18" s="233">
        <f t="shared" si="1"/>
        <v>30.956704507054461</v>
      </c>
      <c r="L18" s="601" t="s">
        <v>305</v>
      </c>
      <c r="M18" s="563" t="s">
        <v>74</v>
      </c>
      <c r="N18" s="262" t="s">
        <v>274</v>
      </c>
      <c r="O18" s="307" t="s">
        <v>35</v>
      </c>
      <c r="P18" s="314" t="s">
        <v>58</v>
      </c>
      <c r="Q18" s="501" t="s">
        <v>339</v>
      </c>
      <c r="R18" s="315" t="s">
        <v>327</v>
      </c>
      <c r="S18" s="176"/>
    </row>
    <row r="19" spans="1:19">
      <c r="A19" s="167" t="s">
        <v>325</v>
      </c>
      <c r="B19" s="600"/>
      <c r="C19" s="156">
        <v>5</v>
      </c>
      <c r="D19" s="156">
        <v>1</v>
      </c>
      <c r="E19" s="156" t="s">
        <v>328</v>
      </c>
      <c r="F19" s="60"/>
      <c r="G19" s="156" t="s">
        <v>21</v>
      </c>
      <c r="H19" s="248" t="s">
        <v>326</v>
      </c>
      <c r="I19" s="564">
        <v>-3.5979999999999999</v>
      </c>
      <c r="J19" s="920">
        <v>-0.681550056934357</v>
      </c>
      <c r="K19" s="233">
        <f t="shared" si="1"/>
        <v>30.397838960161266</v>
      </c>
      <c r="L19" s="601" t="s">
        <v>305</v>
      </c>
      <c r="M19" s="563" t="s">
        <v>74</v>
      </c>
      <c r="N19" s="602" t="s">
        <v>274</v>
      </c>
      <c r="O19" s="307" t="s">
        <v>35</v>
      </c>
      <c r="P19" s="314" t="s">
        <v>58</v>
      </c>
      <c r="Q19" s="501" t="s">
        <v>339</v>
      </c>
      <c r="R19" s="315" t="s">
        <v>327</v>
      </c>
      <c r="S19" s="223"/>
    </row>
    <row r="20" spans="1:19">
      <c r="A20" s="167" t="s">
        <v>325</v>
      </c>
      <c r="B20" s="600"/>
      <c r="C20" s="156">
        <v>5</v>
      </c>
      <c r="D20" s="156">
        <v>1</v>
      </c>
      <c r="E20" s="156" t="s">
        <v>328</v>
      </c>
      <c r="F20" s="248"/>
      <c r="G20" s="156" t="s">
        <v>21</v>
      </c>
      <c r="H20" s="248" t="s">
        <v>326</v>
      </c>
      <c r="I20" s="564">
        <v>-3.5249999999999999</v>
      </c>
      <c r="J20" s="920">
        <v>-0.681550056934357</v>
      </c>
      <c r="K20" s="233">
        <f t="shared" si="1"/>
        <v>30.021276417909387</v>
      </c>
      <c r="L20" s="601" t="s">
        <v>324</v>
      </c>
      <c r="M20" s="563" t="s">
        <v>74</v>
      </c>
      <c r="N20" s="602" t="s">
        <v>274</v>
      </c>
      <c r="O20" s="307" t="s">
        <v>35</v>
      </c>
      <c r="P20" s="314" t="s">
        <v>58</v>
      </c>
      <c r="Q20" s="501" t="s">
        <v>339</v>
      </c>
      <c r="R20" s="315" t="s">
        <v>327</v>
      </c>
      <c r="S20" s="176"/>
    </row>
    <row r="21" spans="1:19">
      <c r="A21" s="167" t="s">
        <v>325</v>
      </c>
      <c r="B21" s="600"/>
      <c r="C21" s="156">
        <v>5</v>
      </c>
      <c r="D21" s="156">
        <v>1</v>
      </c>
      <c r="E21" s="156" t="s">
        <v>328</v>
      </c>
      <c r="F21" s="248"/>
      <c r="G21" s="156" t="s">
        <v>21</v>
      </c>
      <c r="H21" s="248" t="s">
        <v>326</v>
      </c>
      <c r="I21" s="564">
        <v>-3.2770000000000001</v>
      </c>
      <c r="J21" s="920">
        <v>-0.681550056934357</v>
      </c>
      <c r="K21" s="233">
        <f t="shared" si="1"/>
        <v>28.749160172450939</v>
      </c>
      <c r="L21" s="601" t="s">
        <v>202</v>
      </c>
      <c r="M21" s="563" t="s">
        <v>74</v>
      </c>
      <c r="N21" s="602" t="s">
        <v>274</v>
      </c>
      <c r="O21" s="307" t="s">
        <v>35</v>
      </c>
      <c r="P21" s="314" t="s">
        <v>58</v>
      </c>
      <c r="Q21" s="501" t="s">
        <v>339</v>
      </c>
      <c r="R21" s="315" t="s">
        <v>327</v>
      </c>
      <c r="S21" s="176"/>
    </row>
    <row r="22" spans="1:19">
      <c r="A22" s="167" t="s">
        <v>325</v>
      </c>
      <c r="B22" s="600"/>
      <c r="C22" s="156">
        <v>5</v>
      </c>
      <c r="D22" s="156">
        <v>1</v>
      </c>
      <c r="E22" s="156" t="s">
        <v>328</v>
      </c>
      <c r="F22" s="248"/>
      <c r="G22" s="156" t="s">
        <v>21</v>
      </c>
      <c r="H22" s="248" t="s">
        <v>326</v>
      </c>
      <c r="I22" s="564">
        <v>-3.298</v>
      </c>
      <c r="J22" s="920">
        <v>-0.681550056934357</v>
      </c>
      <c r="K22" s="233">
        <f t="shared" si="1"/>
        <v>28.856450663235723</v>
      </c>
      <c r="L22" s="601" t="s">
        <v>202</v>
      </c>
      <c r="M22" s="563" t="s">
        <v>74</v>
      </c>
      <c r="N22" s="262" t="s">
        <v>37</v>
      </c>
      <c r="O22" s="307" t="s">
        <v>35</v>
      </c>
      <c r="P22" s="314" t="s">
        <v>58</v>
      </c>
      <c r="Q22" s="501" t="s">
        <v>339</v>
      </c>
      <c r="R22" s="315" t="s">
        <v>327</v>
      </c>
      <c r="S22" s="176"/>
    </row>
    <row r="23" spans="1:19">
      <c r="A23" s="177" t="s">
        <v>325</v>
      </c>
      <c r="B23" s="604"/>
      <c r="C23" s="226">
        <v>5</v>
      </c>
      <c r="D23" s="226">
        <v>1</v>
      </c>
      <c r="E23" s="226" t="s">
        <v>328</v>
      </c>
      <c r="F23" s="179"/>
      <c r="G23" s="226" t="s">
        <v>21</v>
      </c>
      <c r="H23" s="437" t="s">
        <v>326</v>
      </c>
      <c r="I23" s="605">
        <v>-2.41</v>
      </c>
      <c r="J23" s="921">
        <v>-0.681550056934357</v>
      </c>
      <c r="K23" s="788">
        <f t="shared" si="1"/>
        <v>24.388886264336112</v>
      </c>
      <c r="L23" s="792" t="s">
        <v>256</v>
      </c>
      <c r="M23" s="399" t="s">
        <v>74</v>
      </c>
      <c r="N23" s="606" t="s">
        <v>274</v>
      </c>
      <c r="O23" s="387" t="s">
        <v>44</v>
      </c>
      <c r="P23" s="314" t="s">
        <v>58</v>
      </c>
      <c r="Q23" s="501" t="s">
        <v>339</v>
      </c>
      <c r="R23" s="315" t="s">
        <v>327</v>
      </c>
      <c r="S23" s="223"/>
    </row>
    <row r="24" spans="1:19">
      <c r="A24" s="167" t="s">
        <v>325</v>
      </c>
      <c r="B24" s="600"/>
      <c r="C24" s="156">
        <v>5</v>
      </c>
      <c r="D24" s="156">
        <v>1</v>
      </c>
      <c r="E24" s="156" t="s">
        <v>337</v>
      </c>
      <c r="F24" s="396"/>
      <c r="G24" s="156" t="s">
        <v>21</v>
      </c>
      <c r="H24" s="248" t="s">
        <v>326</v>
      </c>
      <c r="I24" s="57">
        <v>-3.71</v>
      </c>
      <c r="J24" s="920">
        <v>-0.681550056934357</v>
      </c>
      <c r="K24" s="233">
        <f t="shared" si="1"/>
        <v>30.977443551013469</v>
      </c>
      <c r="L24" s="607" t="s">
        <v>331</v>
      </c>
      <c r="M24" s="563" t="s">
        <v>74</v>
      </c>
      <c r="N24" s="317" t="s">
        <v>88</v>
      </c>
      <c r="O24" s="307" t="s">
        <v>35</v>
      </c>
      <c r="P24" s="314" t="s">
        <v>58</v>
      </c>
      <c r="Q24" s="501" t="s">
        <v>339</v>
      </c>
      <c r="R24" s="315" t="s">
        <v>339</v>
      </c>
      <c r="S24" s="223" t="s">
        <v>732</v>
      </c>
    </row>
    <row r="25" spans="1:19">
      <c r="A25" s="167" t="s">
        <v>325</v>
      </c>
      <c r="B25" s="600"/>
      <c r="C25" s="156">
        <v>5</v>
      </c>
      <c r="D25" s="156">
        <v>1</v>
      </c>
      <c r="E25" s="156" t="s">
        <v>337</v>
      </c>
      <c r="F25" s="60"/>
      <c r="G25" s="156" t="s">
        <v>21</v>
      </c>
      <c r="H25" s="248" t="s">
        <v>326</v>
      </c>
      <c r="I25" s="57">
        <v>-3.61</v>
      </c>
      <c r="J25" s="920">
        <v>-0.681550056934357</v>
      </c>
      <c r="K25" s="233">
        <f t="shared" si="1"/>
        <v>30.459831452038291</v>
      </c>
      <c r="L25" s="607" t="s">
        <v>332</v>
      </c>
      <c r="M25" s="563" t="s">
        <v>74</v>
      </c>
      <c r="N25" s="317" t="s">
        <v>88</v>
      </c>
      <c r="O25" s="307" t="s">
        <v>35</v>
      </c>
      <c r="P25" s="314" t="s">
        <v>58</v>
      </c>
      <c r="Q25" s="501" t="s">
        <v>339</v>
      </c>
      <c r="R25" s="315" t="s">
        <v>339</v>
      </c>
      <c r="S25" s="223"/>
    </row>
    <row r="26" spans="1:19">
      <c r="A26" s="167" t="s">
        <v>325</v>
      </c>
      <c r="B26" s="600"/>
      <c r="C26" s="156">
        <v>5</v>
      </c>
      <c r="D26" s="156">
        <v>1</v>
      </c>
      <c r="E26" s="156" t="s">
        <v>337</v>
      </c>
      <c r="F26" s="396"/>
      <c r="G26" s="156" t="s">
        <v>21</v>
      </c>
      <c r="H26" s="248" t="s">
        <v>326</v>
      </c>
      <c r="I26" s="57">
        <v>-3.45</v>
      </c>
      <c r="J26" s="920">
        <v>-0.681550056934357</v>
      </c>
      <c r="K26" s="233">
        <f t="shared" si="1"/>
        <v>29.635396093678004</v>
      </c>
      <c r="L26" s="607" t="s">
        <v>333</v>
      </c>
      <c r="M26" s="563" t="s">
        <v>74</v>
      </c>
      <c r="N26" s="317" t="s">
        <v>338</v>
      </c>
      <c r="O26" s="307" t="s">
        <v>35</v>
      </c>
      <c r="P26" s="314" t="s">
        <v>58</v>
      </c>
      <c r="Q26" s="501" t="s">
        <v>339</v>
      </c>
      <c r="R26" s="315" t="s">
        <v>339</v>
      </c>
      <c r="S26" s="223"/>
    </row>
    <row r="27" spans="1:19">
      <c r="A27" s="167" t="s">
        <v>325</v>
      </c>
      <c r="B27" s="600"/>
      <c r="C27" s="156">
        <v>5</v>
      </c>
      <c r="D27" s="156">
        <v>1</v>
      </c>
      <c r="E27" s="156" t="s">
        <v>337</v>
      </c>
      <c r="F27" s="396"/>
      <c r="G27" s="156" t="s">
        <v>21</v>
      </c>
      <c r="H27" s="248" t="s">
        <v>326</v>
      </c>
      <c r="I27" s="57">
        <v>-3.39</v>
      </c>
      <c r="J27" s="920">
        <v>-0.681550056934357</v>
      </c>
      <c r="K27" s="233">
        <f t="shared" si="1"/>
        <v>29.327420834292887</v>
      </c>
      <c r="L27" s="607" t="s">
        <v>334</v>
      </c>
      <c r="M27" s="563" t="s">
        <v>74</v>
      </c>
      <c r="N27" s="317" t="s">
        <v>88</v>
      </c>
      <c r="O27" s="307" t="s">
        <v>35</v>
      </c>
      <c r="P27" s="314" t="s">
        <v>58</v>
      </c>
      <c r="Q27" s="501" t="s">
        <v>339</v>
      </c>
      <c r="R27" s="315" t="s">
        <v>339</v>
      </c>
      <c r="S27" s="223"/>
    </row>
    <row r="28" spans="1:19">
      <c r="A28" s="167" t="s">
        <v>325</v>
      </c>
      <c r="B28" s="600"/>
      <c r="C28" s="156">
        <v>5</v>
      </c>
      <c r="D28" s="156">
        <v>1</v>
      </c>
      <c r="E28" s="156" t="s">
        <v>337</v>
      </c>
      <c r="F28" s="396"/>
      <c r="G28" s="156" t="s">
        <v>21</v>
      </c>
      <c r="H28" s="248" t="s">
        <v>326</v>
      </c>
      <c r="I28" s="57">
        <v>-3.39</v>
      </c>
      <c r="J28" s="920">
        <v>-0.681550056934357</v>
      </c>
      <c r="K28" s="233">
        <f t="shared" si="1"/>
        <v>29.327420834292887</v>
      </c>
      <c r="L28" s="607" t="s">
        <v>335</v>
      </c>
      <c r="M28" s="563" t="s">
        <v>74</v>
      </c>
      <c r="N28" s="317" t="s">
        <v>88</v>
      </c>
      <c r="O28" s="307" t="s">
        <v>35</v>
      </c>
      <c r="P28" s="314" t="s">
        <v>58</v>
      </c>
      <c r="Q28" s="501" t="s">
        <v>339</v>
      </c>
      <c r="R28" s="315" t="s">
        <v>339</v>
      </c>
      <c r="S28" s="223"/>
    </row>
    <row r="29" spans="1:19">
      <c r="A29" s="167" t="s">
        <v>325</v>
      </c>
      <c r="B29" s="600"/>
      <c r="C29" s="156">
        <v>5</v>
      </c>
      <c r="D29" s="156">
        <v>1</v>
      </c>
      <c r="E29" s="156" t="s">
        <v>337</v>
      </c>
      <c r="F29" s="396"/>
      <c r="G29" s="156" t="s">
        <v>21</v>
      </c>
      <c r="H29" s="248" t="s">
        <v>326</v>
      </c>
      <c r="I29" s="57">
        <v>-3.29</v>
      </c>
      <c r="J29" s="920">
        <v>-0.681550056934357</v>
      </c>
      <c r="K29" s="233">
        <f t="shared" si="1"/>
        <v>28.815568735317708</v>
      </c>
      <c r="L29" s="607" t="s">
        <v>336</v>
      </c>
      <c r="M29" s="563" t="s">
        <v>74</v>
      </c>
      <c r="N29" s="317" t="s">
        <v>37</v>
      </c>
      <c r="O29" s="307" t="s">
        <v>35</v>
      </c>
      <c r="P29" s="314" t="s">
        <v>58</v>
      </c>
      <c r="Q29" s="501" t="s">
        <v>339</v>
      </c>
      <c r="R29" s="315" t="s">
        <v>339</v>
      </c>
      <c r="S29" s="223"/>
    </row>
    <row r="30" spans="1:19">
      <c r="A30" s="167" t="s">
        <v>325</v>
      </c>
      <c r="B30" s="600"/>
      <c r="C30" s="156">
        <v>5</v>
      </c>
      <c r="D30" s="156">
        <v>1</v>
      </c>
      <c r="E30" s="156" t="s">
        <v>337</v>
      </c>
      <c r="F30" s="396"/>
      <c r="G30" s="156" t="s">
        <v>21</v>
      </c>
      <c r="H30" s="248" t="s">
        <v>326</v>
      </c>
      <c r="I30" s="57">
        <v>-3.18</v>
      </c>
      <c r="J30" s="920">
        <v>-0.681550056934357</v>
      </c>
      <c r="K30" s="233">
        <f t="shared" si="1"/>
        <v>28.254610426445012</v>
      </c>
      <c r="L30" s="607" t="s">
        <v>330</v>
      </c>
      <c r="M30" s="563" t="s">
        <v>74</v>
      </c>
      <c r="N30" s="317" t="s">
        <v>88</v>
      </c>
      <c r="O30" s="307" t="s">
        <v>35</v>
      </c>
      <c r="P30" s="314" t="s">
        <v>58</v>
      </c>
      <c r="Q30" s="501" t="s">
        <v>339</v>
      </c>
      <c r="R30" s="315" t="s">
        <v>339</v>
      </c>
      <c r="S30" s="223"/>
    </row>
    <row r="31" spans="1:19" ht="13.5" thickBot="1">
      <c r="A31" s="506"/>
      <c r="B31" s="608"/>
      <c r="C31" s="255"/>
      <c r="D31" s="255"/>
      <c r="E31" s="255"/>
      <c r="F31" s="255"/>
      <c r="G31" s="255"/>
      <c r="H31" s="255"/>
      <c r="I31" s="257"/>
      <c r="J31" s="255"/>
      <c r="K31" s="609"/>
      <c r="L31" s="255"/>
      <c r="M31" s="255"/>
      <c r="N31" s="255"/>
      <c r="O31" s="256"/>
      <c r="P31" s="254"/>
      <c r="Q31" s="256"/>
      <c r="R31" s="258"/>
      <c r="S31" s="258"/>
    </row>
    <row r="32" spans="1:19">
      <c r="C32" s="156"/>
      <c r="D32" s="156"/>
      <c r="G32" s="156"/>
      <c r="H32" s="156"/>
      <c r="I32" s="156"/>
      <c r="J32" s="156"/>
      <c r="K32" s="156"/>
      <c r="L32" s="156"/>
      <c r="M32" s="156"/>
      <c r="N32" s="156"/>
      <c r="O32" s="156"/>
      <c r="P32" s="156"/>
      <c r="Q32" s="156"/>
    </row>
    <row r="33" spans="3:17" ht="13.5" thickBot="1">
      <c r="C33" s="156"/>
      <c r="D33" s="156"/>
      <c r="G33" s="156"/>
      <c r="H33" s="156"/>
      <c r="I33" s="156"/>
      <c r="J33" s="156"/>
      <c r="K33" s="156"/>
      <c r="L33" s="156"/>
      <c r="M33" s="156"/>
      <c r="N33" s="156"/>
      <c r="O33" s="156"/>
      <c r="P33" s="156"/>
      <c r="Q33" s="156"/>
    </row>
    <row r="34" spans="3:17" ht="13.5" thickBot="1">
      <c r="C34" s="156"/>
      <c r="D34" s="156"/>
      <c r="G34" s="729"/>
      <c r="H34" s="730" t="s">
        <v>607</v>
      </c>
      <c r="I34" s="730" t="s">
        <v>605</v>
      </c>
      <c r="J34" s="731">
        <v>0.05</v>
      </c>
      <c r="K34" s="730" t="s">
        <v>602</v>
      </c>
      <c r="L34" s="731">
        <v>0.95</v>
      </c>
      <c r="M34" s="732" t="s">
        <v>606</v>
      </c>
      <c r="N34" s="156"/>
      <c r="O34" s="156"/>
      <c r="P34" s="156"/>
      <c r="Q34" s="156"/>
    </row>
    <row r="35" spans="3:17">
      <c r="C35" s="156"/>
      <c r="D35" s="156"/>
      <c r="G35" s="673" t="s">
        <v>21</v>
      </c>
      <c r="H35" s="674">
        <f>COUNT($K14:$K22,$K24:$K30)</f>
        <v>16</v>
      </c>
      <c r="I35" s="675">
        <f>MIN($K14:$K22,$K24:$K30)</f>
        <v>28.254610426445012</v>
      </c>
      <c r="J35" s="675">
        <f>_xlfn.PERCENTILE.INC(($K14:$K22,$K24:$K30),0.05)</f>
        <v>28.273698567656577</v>
      </c>
      <c r="K35" s="675">
        <f>AVERAGE($K14:$K22,$K24:$K30)</f>
        <v>29.627541734198495</v>
      </c>
      <c r="L35" s="675">
        <f>_xlfn.PERCENTILE.INC(($K14:$K22,$K24:$K30),0.95)</f>
        <v>30.961889268044214</v>
      </c>
      <c r="M35" s="676">
        <f>MAX($K14:$K22,$K24:$K30)</f>
        <v>30.977443551013469</v>
      </c>
      <c r="N35" s="156"/>
      <c r="O35" s="156"/>
      <c r="P35" s="156"/>
      <c r="Q35" s="156"/>
    </row>
    <row r="36" spans="3:17">
      <c r="C36" s="156"/>
      <c r="D36" s="156"/>
      <c r="G36" s="673" t="s">
        <v>20</v>
      </c>
      <c r="H36" s="674"/>
      <c r="I36" s="675"/>
      <c r="J36" s="675"/>
      <c r="K36" s="675"/>
      <c r="L36" s="675"/>
      <c r="M36" s="676"/>
      <c r="N36" s="156"/>
      <c r="O36" s="156"/>
      <c r="P36" s="156"/>
      <c r="Q36" s="156"/>
    </row>
    <row r="37" spans="3:17" ht="13.5" thickBot="1">
      <c r="C37" s="156"/>
      <c r="D37" s="156"/>
      <c r="G37" s="677" t="s">
        <v>601</v>
      </c>
      <c r="H37" s="678"/>
      <c r="I37" s="679"/>
      <c r="J37" s="679"/>
      <c r="K37" s="679"/>
      <c r="L37" s="679"/>
      <c r="M37" s="680"/>
      <c r="N37" s="156"/>
      <c r="O37" s="156"/>
      <c r="P37" s="156"/>
      <c r="Q37" s="156"/>
    </row>
    <row r="38" spans="3:17">
      <c r="C38" s="156"/>
      <c r="D38" s="156"/>
      <c r="G38" s="156"/>
      <c r="H38" s="156"/>
      <c r="I38" s="156"/>
      <c r="J38" s="156"/>
      <c r="K38" s="156"/>
      <c r="L38" s="156"/>
      <c r="M38" s="156"/>
      <c r="N38" s="156"/>
      <c r="O38" s="156"/>
      <c r="P38" s="156"/>
      <c r="Q38" s="156"/>
    </row>
    <row r="39" spans="3:17">
      <c r="C39" s="156"/>
      <c r="D39" s="156"/>
      <c r="G39" s="156"/>
      <c r="H39" s="156"/>
      <c r="I39" s="156"/>
      <c r="J39" s="156"/>
      <c r="K39" s="156"/>
      <c r="L39" s="156"/>
      <c r="M39" s="156"/>
      <c r="N39" s="156"/>
      <c r="O39" s="156"/>
      <c r="P39" s="156"/>
      <c r="Q39" s="156"/>
    </row>
    <row r="40" spans="3:17">
      <c r="C40" s="156"/>
      <c r="D40" s="156"/>
      <c r="G40" s="156"/>
      <c r="H40" s="156"/>
      <c r="I40" s="156"/>
      <c r="J40" s="156"/>
      <c r="K40" s="156"/>
      <c r="L40" s="156"/>
      <c r="M40" s="156"/>
      <c r="N40" s="156"/>
      <c r="O40" s="156"/>
      <c r="P40" s="156"/>
      <c r="Q40" s="156"/>
    </row>
    <row r="41" spans="3:17">
      <c r="C41" s="156"/>
      <c r="D41" s="156"/>
      <c r="G41" s="156"/>
      <c r="H41" s="156"/>
      <c r="I41" s="156"/>
      <c r="J41" s="156"/>
      <c r="K41" s="156"/>
      <c r="L41" s="156"/>
      <c r="M41" s="156"/>
      <c r="N41" s="156"/>
      <c r="O41" s="156"/>
      <c r="P41" s="156"/>
      <c r="Q41" s="156"/>
    </row>
    <row r="42" spans="3:17">
      <c r="C42" s="156"/>
      <c r="D42" s="156"/>
      <c r="G42" s="156"/>
      <c r="H42" s="156"/>
      <c r="I42" s="156"/>
      <c r="J42" s="156"/>
      <c r="K42" s="156"/>
      <c r="L42" s="156"/>
      <c r="M42" s="156"/>
      <c r="N42" s="156"/>
      <c r="O42" s="156"/>
      <c r="P42" s="156"/>
      <c r="Q42" s="156"/>
    </row>
    <row r="43" spans="3:17">
      <c r="C43" s="156"/>
      <c r="D43" s="156"/>
      <c r="G43" s="156"/>
      <c r="H43" s="156"/>
      <c r="I43" s="156"/>
      <c r="J43" s="156"/>
      <c r="K43" s="156"/>
      <c r="L43" s="156"/>
      <c r="M43" s="156"/>
      <c r="N43" s="156"/>
      <c r="O43" s="156"/>
      <c r="P43" s="156"/>
      <c r="Q43" s="156"/>
    </row>
    <row r="44" spans="3:17">
      <c r="C44" s="156"/>
      <c r="D44" s="156"/>
      <c r="G44" s="156"/>
      <c r="H44" s="156"/>
      <c r="I44" s="156"/>
      <c r="J44" s="156"/>
      <c r="K44" s="156"/>
      <c r="L44" s="156"/>
      <c r="M44" s="156"/>
      <c r="N44" s="156"/>
      <c r="O44" s="156"/>
      <c r="P44" s="156"/>
      <c r="Q44" s="156"/>
    </row>
    <row r="45" spans="3:17">
      <c r="C45" s="156"/>
      <c r="D45" s="156"/>
      <c r="G45" s="156"/>
      <c r="H45" s="156"/>
      <c r="I45" s="156"/>
      <c r="J45" s="156"/>
      <c r="K45" s="156"/>
      <c r="L45" s="156"/>
      <c r="M45" s="156"/>
      <c r="N45" s="156"/>
      <c r="O45" s="156"/>
      <c r="P45" s="156"/>
      <c r="Q45" s="156"/>
    </row>
    <row r="46" spans="3:17">
      <c r="C46" s="156"/>
      <c r="D46" s="156"/>
      <c r="G46" s="156"/>
      <c r="H46" s="156"/>
      <c r="I46" s="156"/>
      <c r="J46" s="156"/>
      <c r="K46" s="156"/>
      <c r="L46" s="156"/>
      <c r="M46" s="156"/>
      <c r="N46" s="156"/>
      <c r="O46" s="156"/>
      <c r="P46" s="156"/>
      <c r="Q46" s="156"/>
    </row>
    <row r="47" spans="3:17">
      <c r="C47" s="156"/>
      <c r="D47" s="156"/>
      <c r="G47" s="156"/>
      <c r="H47" s="156"/>
      <c r="I47" s="156"/>
      <c r="J47" s="156"/>
      <c r="K47" s="156"/>
      <c r="L47" s="156"/>
      <c r="M47" s="156"/>
      <c r="N47" s="156"/>
      <c r="O47" s="156"/>
      <c r="P47" s="156"/>
      <c r="Q47" s="156"/>
    </row>
    <row r="48" spans="3:17">
      <c r="C48" s="156"/>
      <c r="D48" s="156"/>
      <c r="G48" s="156"/>
      <c r="H48" s="156"/>
      <c r="I48" s="156"/>
      <c r="J48" s="156"/>
      <c r="K48" s="156"/>
      <c r="L48" s="156"/>
      <c r="M48" s="156"/>
      <c r="N48" s="156"/>
      <c r="O48" s="156"/>
      <c r="P48" s="156"/>
      <c r="Q48" s="156"/>
    </row>
    <row r="49" spans="3:17">
      <c r="C49" s="156"/>
      <c r="D49" s="156"/>
      <c r="G49" s="156"/>
      <c r="H49" s="156"/>
      <c r="I49" s="156"/>
      <c r="J49" s="156"/>
      <c r="K49" s="156"/>
      <c r="L49" s="156"/>
      <c r="M49" s="156"/>
      <c r="N49" s="156"/>
      <c r="O49" s="156"/>
      <c r="P49" s="156"/>
      <c r="Q49" s="156"/>
    </row>
    <row r="50" spans="3:17">
      <c r="C50" s="156"/>
      <c r="D50" s="156"/>
      <c r="G50" s="156"/>
      <c r="H50" s="156"/>
      <c r="I50" s="156"/>
      <c r="J50" s="156"/>
      <c r="K50" s="156"/>
      <c r="L50" s="156"/>
      <c r="M50" s="156"/>
      <c r="N50" s="156"/>
      <c r="O50" s="156"/>
      <c r="P50" s="156"/>
      <c r="Q50" s="156"/>
    </row>
    <row r="51" spans="3:17">
      <c r="C51" s="156"/>
      <c r="D51" s="156"/>
      <c r="G51" s="156"/>
      <c r="H51" s="156"/>
      <c r="I51" s="156"/>
      <c r="J51" s="156"/>
      <c r="K51" s="156"/>
      <c r="L51" s="156"/>
      <c r="M51" s="156"/>
      <c r="N51" s="156"/>
      <c r="O51" s="156"/>
      <c r="P51" s="156"/>
      <c r="Q51" s="156"/>
    </row>
    <row r="52" spans="3:17">
      <c r="C52" s="156"/>
      <c r="D52" s="156"/>
      <c r="G52" s="156"/>
      <c r="H52" s="156"/>
      <c r="I52" s="156"/>
      <c r="J52" s="156"/>
      <c r="K52" s="156"/>
      <c r="L52" s="156"/>
      <c r="M52" s="156"/>
      <c r="N52" s="156"/>
      <c r="O52" s="156"/>
      <c r="P52" s="156"/>
      <c r="Q52" s="156"/>
    </row>
    <row r="53" spans="3:17">
      <c r="C53" s="156"/>
      <c r="D53" s="156"/>
      <c r="G53" s="156"/>
      <c r="H53" s="156"/>
      <c r="I53" s="156"/>
      <c r="J53" s="156"/>
      <c r="K53" s="156"/>
      <c r="L53" s="156"/>
      <c r="M53" s="156"/>
      <c r="N53" s="156"/>
      <c r="O53" s="156"/>
      <c r="P53" s="156"/>
      <c r="Q53" s="156"/>
    </row>
    <row r="54" spans="3:17">
      <c r="C54" s="156"/>
      <c r="D54" s="156"/>
      <c r="G54" s="156"/>
      <c r="H54" s="156"/>
      <c r="I54" s="156"/>
      <c r="J54" s="156"/>
      <c r="K54" s="156"/>
      <c r="L54" s="156"/>
      <c r="M54" s="156"/>
      <c r="N54" s="156"/>
      <c r="O54" s="156"/>
      <c r="P54" s="156"/>
      <c r="Q54" s="156"/>
    </row>
    <row r="55" spans="3:17">
      <c r="C55" s="156"/>
      <c r="D55" s="156"/>
      <c r="G55" s="156"/>
      <c r="H55" s="156"/>
      <c r="I55" s="156"/>
      <c r="J55" s="156"/>
      <c r="K55" s="156"/>
      <c r="L55" s="156"/>
      <c r="M55" s="156"/>
      <c r="N55" s="156"/>
      <c r="O55" s="156"/>
      <c r="P55" s="156"/>
      <c r="Q55"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T136"/>
  <sheetViews>
    <sheetView zoomScale="80" zoomScaleNormal="80" zoomScalePageLayoutView="80" workbookViewId="0">
      <selection activeCell="B3" sqref="B3"/>
    </sheetView>
  </sheetViews>
  <sheetFormatPr defaultColWidth="10.875" defaultRowHeight="12.75"/>
  <cols>
    <col min="1" max="1" width="24.375" style="69" bestFit="1" customWidth="1"/>
    <col min="2" max="2" width="12.625" style="156" bestFit="1" customWidth="1"/>
    <col min="3" max="3" width="19" style="156" bestFit="1" customWidth="1"/>
    <col min="4" max="4" width="10.875" style="156"/>
    <col min="5" max="5" width="10.875" style="823"/>
    <col min="6" max="6" width="10.875" style="156"/>
    <col min="7" max="7" width="14.5" style="156" bestFit="1" customWidth="1"/>
    <col min="8" max="11" width="10.875" style="69"/>
    <col min="12" max="12" width="15.625" style="69" customWidth="1"/>
    <col min="13" max="13" width="24.875" style="69" customWidth="1"/>
    <col min="14" max="14" width="13" style="69" bestFit="1" customWidth="1"/>
    <col min="15" max="16" width="10.875" style="69"/>
    <col min="17" max="17" width="12" style="69" customWidth="1"/>
    <col min="18" max="18" width="18.5" style="69" customWidth="1"/>
    <col min="19" max="19" width="19" style="69" bestFit="1" customWidth="1"/>
    <col min="20" max="20" width="44" style="69" bestFit="1" customWidth="1"/>
    <col min="21" max="16384" width="10.875" style="69"/>
  </cols>
  <sheetData>
    <row r="1" spans="1:20" s="11" customFormat="1" ht="15.75">
      <c r="A1" s="205" t="s">
        <v>62</v>
      </c>
      <c r="B1" s="205" t="s">
        <v>685</v>
      </c>
      <c r="C1" s="207"/>
      <c r="D1" s="20"/>
      <c r="E1" s="828"/>
      <c r="F1" s="20"/>
      <c r="G1" s="20"/>
      <c r="H1" s="20"/>
      <c r="I1" s="20"/>
      <c r="J1" s="20"/>
      <c r="K1" s="20"/>
      <c r="L1" s="20"/>
      <c r="M1" s="20"/>
      <c r="N1" s="20"/>
      <c r="O1" s="20"/>
      <c r="P1" s="20"/>
      <c r="Q1" s="20"/>
      <c r="R1" s="20"/>
      <c r="S1" s="19"/>
      <c r="T1" s="19"/>
    </row>
    <row r="2" spans="1:20">
      <c r="A2" s="141" t="s">
        <v>636</v>
      </c>
      <c r="B2" s="146" t="s">
        <v>639</v>
      </c>
      <c r="C2" s="143"/>
      <c r="D2" s="144"/>
      <c r="E2" s="571"/>
      <c r="F2" s="144"/>
      <c r="G2" s="144"/>
      <c r="H2" s="144"/>
      <c r="I2" s="144"/>
      <c r="J2" s="144"/>
      <c r="K2" s="144"/>
      <c r="L2" s="144"/>
      <c r="M2" s="144"/>
      <c r="N2" s="144"/>
      <c r="O2" s="144"/>
      <c r="P2" s="144"/>
      <c r="Q2" s="144"/>
      <c r="R2" s="144"/>
      <c r="S2" s="145"/>
      <c r="T2" s="145"/>
    </row>
    <row r="3" spans="1:20">
      <c r="A3" s="141" t="s">
        <v>61</v>
      </c>
      <c r="B3" s="146" t="s">
        <v>356</v>
      </c>
      <c r="C3" s="143"/>
      <c r="D3" s="144"/>
      <c r="E3" s="571"/>
      <c r="F3" s="144"/>
      <c r="G3" s="144"/>
      <c r="H3" s="144"/>
      <c r="I3" s="144"/>
      <c r="J3" s="144"/>
      <c r="K3" s="144"/>
      <c r="L3" s="144"/>
      <c r="M3" s="144"/>
      <c r="N3" s="144"/>
      <c r="O3" s="144"/>
      <c r="P3" s="144"/>
      <c r="Q3" s="144"/>
      <c r="R3" s="144"/>
      <c r="S3" s="145"/>
      <c r="T3" s="145"/>
    </row>
    <row r="4" spans="1:20">
      <c r="A4" s="147" t="s">
        <v>621</v>
      </c>
      <c r="B4" s="231">
        <v>-9.2799999999999994</v>
      </c>
      <c r="D4" s="144"/>
      <c r="E4" s="571"/>
      <c r="F4" s="144"/>
      <c r="G4" s="144"/>
      <c r="H4" s="144"/>
      <c r="I4" s="144"/>
      <c r="J4" s="144"/>
      <c r="K4" s="144"/>
      <c r="L4" s="144"/>
      <c r="M4" s="144"/>
      <c r="N4" s="144"/>
      <c r="O4" s="144"/>
      <c r="P4" s="144"/>
      <c r="Q4" s="144"/>
      <c r="R4" s="144"/>
      <c r="S4" s="145"/>
      <c r="T4" s="145"/>
    </row>
    <row r="5" spans="1:20">
      <c r="A5" s="147" t="s">
        <v>622</v>
      </c>
      <c r="B5" s="231">
        <v>39.51</v>
      </c>
      <c r="C5" s="142"/>
      <c r="D5" s="144"/>
      <c r="E5" s="571"/>
      <c r="F5" s="144"/>
      <c r="G5" s="144"/>
      <c r="H5" s="144"/>
      <c r="I5" s="144"/>
      <c r="J5" s="144"/>
      <c r="K5" s="144"/>
      <c r="L5" s="144"/>
      <c r="M5" s="144"/>
      <c r="N5" s="144"/>
      <c r="O5" s="144"/>
      <c r="P5" s="144"/>
      <c r="Q5" s="144"/>
      <c r="R5" s="144"/>
      <c r="S5" s="145"/>
      <c r="T5" s="145"/>
    </row>
    <row r="6" spans="1:20">
      <c r="A6" s="149" t="s">
        <v>50</v>
      </c>
      <c r="B6" s="51">
        <v>-23.929515996599999</v>
      </c>
      <c r="C6" s="143"/>
      <c r="D6" s="144"/>
      <c r="E6" s="571"/>
      <c r="F6" s="144"/>
      <c r="G6" s="144"/>
      <c r="H6" s="144"/>
      <c r="I6" s="144"/>
      <c r="J6" s="144"/>
      <c r="K6" s="144"/>
      <c r="L6" s="144"/>
      <c r="M6" s="144"/>
      <c r="N6" s="144"/>
      <c r="O6" s="144"/>
      <c r="P6" s="144"/>
      <c r="Q6" s="144"/>
      <c r="R6" s="144"/>
      <c r="S6" s="145"/>
      <c r="T6" s="145"/>
    </row>
    <row r="7" spans="1:20" ht="38.25">
      <c r="A7" s="141" t="s">
        <v>696</v>
      </c>
      <c r="B7" s="596" t="s">
        <v>729</v>
      </c>
      <c r="C7" s="146" t="s">
        <v>364</v>
      </c>
      <c r="D7" s="144"/>
      <c r="E7" s="571"/>
      <c r="F7" s="144"/>
      <c r="G7" s="144"/>
      <c r="H7" s="144"/>
      <c r="I7" s="144"/>
      <c r="J7" s="144"/>
      <c r="K7" s="144"/>
      <c r="L7" s="144"/>
      <c r="M7" s="144"/>
      <c r="N7" s="144"/>
      <c r="O7" s="144"/>
      <c r="P7" s="144"/>
      <c r="Q7" s="144"/>
      <c r="R7" s="144"/>
      <c r="S7" s="145"/>
      <c r="T7" s="145"/>
    </row>
    <row r="8" spans="1:20" ht="63.75">
      <c r="A8" s="141" t="s">
        <v>63</v>
      </c>
      <c r="B8" s="153" t="s">
        <v>730</v>
      </c>
      <c r="C8" s="72" t="s">
        <v>731</v>
      </c>
      <c r="D8" s="154"/>
      <c r="E8" s="827"/>
      <c r="F8" s="144"/>
      <c r="G8" s="144"/>
      <c r="H8" s="144"/>
      <c r="I8" s="144"/>
      <c r="J8" s="144"/>
      <c r="K8" s="144"/>
      <c r="L8" s="144"/>
      <c r="M8" s="144"/>
      <c r="N8" s="144"/>
      <c r="O8" s="144"/>
      <c r="P8" s="144"/>
      <c r="Q8" s="144"/>
      <c r="R8" s="144"/>
      <c r="S8" s="145"/>
      <c r="T8" s="145"/>
    </row>
    <row r="9" spans="1:20">
      <c r="A9" s="141" t="s">
        <v>64</v>
      </c>
      <c r="B9" s="50" t="s">
        <v>603</v>
      </c>
      <c r="D9" s="144"/>
      <c r="E9" s="571"/>
      <c r="F9" s="144"/>
      <c r="G9" s="144"/>
      <c r="H9" s="144"/>
      <c r="I9" s="144"/>
      <c r="J9" s="144"/>
      <c r="K9" s="144"/>
      <c r="L9" s="144"/>
      <c r="M9" s="144"/>
      <c r="N9" s="144"/>
      <c r="O9" s="144"/>
      <c r="P9" s="144"/>
      <c r="Q9" s="144"/>
      <c r="R9" s="144"/>
      <c r="S9" s="145"/>
      <c r="T9" s="145"/>
    </row>
    <row r="10" spans="1:20">
      <c r="A10" s="141" t="s">
        <v>65</v>
      </c>
      <c r="B10" s="152" t="s">
        <v>264</v>
      </c>
      <c r="C10" s="144" t="s">
        <v>342</v>
      </c>
      <c r="D10" s="144"/>
      <c r="E10" s="571"/>
      <c r="F10" s="144"/>
      <c r="G10" s="144"/>
      <c r="J10" s="144"/>
      <c r="K10" s="144"/>
      <c r="L10" s="144"/>
      <c r="M10" s="144"/>
      <c r="N10" s="144"/>
      <c r="O10" s="144"/>
      <c r="P10" s="144"/>
      <c r="Q10" s="144"/>
      <c r="R10" s="144"/>
      <c r="S10" s="145"/>
      <c r="T10" s="145"/>
    </row>
    <row r="11" spans="1:20" ht="13.5" thickBot="1">
      <c r="A11" s="145"/>
      <c r="B11" s="144"/>
      <c r="C11" s="144"/>
      <c r="D11" s="144"/>
      <c r="E11" s="571"/>
      <c r="F11" s="144"/>
      <c r="G11" s="154"/>
      <c r="H11" s="154"/>
      <c r="I11" s="154"/>
      <c r="J11" s="144"/>
      <c r="K11" s="144"/>
      <c r="L11" s="168"/>
      <c r="M11" s="144"/>
      <c r="N11" s="144"/>
      <c r="O11" s="144"/>
      <c r="P11" s="144"/>
      <c r="Q11" s="144"/>
      <c r="R11" s="144"/>
      <c r="S11" s="145"/>
      <c r="T11" s="145"/>
    </row>
    <row r="12" spans="1:20" ht="64.5" thickBot="1">
      <c r="A12" s="211" t="s">
        <v>18</v>
      </c>
      <c r="B12" s="212" t="s">
        <v>66</v>
      </c>
      <c r="C12" s="212" t="s">
        <v>67</v>
      </c>
      <c r="D12" s="212" t="s">
        <v>68</v>
      </c>
      <c r="E12" s="826" t="s">
        <v>69</v>
      </c>
      <c r="F12" s="212" t="s">
        <v>43</v>
      </c>
      <c r="G12" s="212" t="s">
        <v>31</v>
      </c>
      <c r="H12" s="235" t="s">
        <v>10</v>
      </c>
      <c r="I12" s="214" t="s">
        <v>763</v>
      </c>
      <c r="J12" s="214" t="s">
        <v>725</v>
      </c>
      <c r="K12" s="215" t="s">
        <v>664</v>
      </c>
      <c r="L12" s="216" t="s">
        <v>659</v>
      </c>
      <c r="M12" s="217" t="s">
        <v>70</v>
      </c>
      <c r="N12" s="217" t="s">
        <v>71</v>
      </c>
      <c r="O12" s="217" t="s">
        <v>36</v>
      </c>
      <c r="P12" s="218" t="s">
        <v>34</v>
      </c>
      <c r="Q12" s="217" t="s">
        <v>72</v>
      </c>
      <c r="R12" s="218" t="s">
        <v>73</v>
      </c>
      <c r="S12" s="160" t="s">
        <v>15</v>
      </c>
      <c r="T12" s="166" t="s">
        <v>38</v>
      </c>
    </row>
    <row r="13" spans="1:20">
      <c r="A13" s="236"/>
      <c r="B13" s="237"/>
      <c r="C13" s="237"/>
      <c r="D13" s="237"/>
      <c r="E13" s="825"/>
      <c r="F13" s="237"/>
      <c r="G13" s="237"/>
      <c r="H13" s="238"/>
      <c r="I13" s="238"/>
      <c r="J13" s="239"/>
      <c r="K13" s="170"/>
      <c r="L13" s="539"/>
      <c r="M13" s="289"/>
      <c r="N13" s="241"/>
      <c r="O13" s="241"/>
      <c r="P13" s="242"/>
      <c r="Q13" s="240"/>
      <c r="R13" s="242"/>
      <c r="S13" s="500"/>
      <c r="T13" s="176"/>
    </row>
    <row r="14" spans="1:20">
      <c r="A14" s="167" t="s">
        <v>340</v>
      </c>
      <c r="B14" s="55" t="s">
        <v>89</v>
      </c>
      <c r="C14" s="55">
        <v>9</v>
      </c>
      <c r="D14" s="55">
        <v>1</v>
      </c>
      <c r="E14" s="558" t="s">
        <v>351</v>
      </c>
      <c r="F14" s="55">
        <v>20.45</v>
      </c>
      <c r="G14" s="55" t="s">
        <v>20</v>
      </c>
      <c r="H14" s="245"/>
      <c r="I14" s="831">
        <v>0.57999999999999996</v>
      </c>
      <c r="J14" s="830">
        <v>-5.05</v>
      </c>
      <c r="K14" s="829">
        <v>-0.68</v>
      </c>
      <c r="L14" s="138">
        <f t="shared" ref="L14:L20" si="0">16.1-4.64*($J14-K14)+0.09*($J14-K14)^2</f>
        <v>38.095521000000005</v>
      </c>
      <c r="M14" s="523" t="s">
        <v>239</v>
      </c>
      <c r="N14" s="171" t="s">
        <v>85</v>
      </c>
      <c r="O14" s="171" t="s">
        <v>95</v>
      </c>
      <c r="P14" s="172" t="s">
        <v>118</v>
      </c>
      <c r="Q14" s="171" t="s">
        <v>58</v>
      </c>
      <c r="R14" s="174" t="s">
        <v>342</v>
      </c>
      <c r="S14" s="175" t="s">
        <v>342</v>
      </c>
      <c r="T14" s="176" t="s">
        <v>762</v>
      </c>
    </row>
    <row r="15" spans="1:20">
      <c r="A15" s="167" t="s">
        <v>340</v>
      </c>
      <c r="B15" s="55" t="s">
        <v>89</v>
      </c>
      <c r="C15" s="55">
        <v>11</v>
      </c>
      <c r="D15" s="55">
        <v>1</v>
      </c>
      <c r="E15" s="558" t="s">
        <v>206</v>
      </c>
      <c r="F15" s="55">
        <v>21.55</v>
      </c>
      <c r="G15" s="55" t="s">
        <v>20</v>
      </c>
      <c r="H15" s="245"/>
      <c r="I15" s="831">
        <v>2.0699999999999998</v>
      </c>
      <c r="J15" s="830">
        <v>-3.53</v>
      </c>
      <c r="K15" s="829">
        <v>-0.68</v>
      </c>
      <c r="L15" s="138">
        <f t="shared" si="0"/>
        <v>30.055024999999997</v>
      </c>
      <c r="M15" s="523" t="s">
        <v>33</v>
      </c>
      <c r="N15" s="171" t="s">
        <v>85</v>
      </c>
      <c r="O15" s="171" t="s">
        <v>95</v>
      </c>
      <c r="P15" s="172" t="s">
        <v>118</v>
      </c>
      <c r="Q15" s="171" t="s">
        <v>58</v>
      </c>
      <c r="R15" s="174" t="s">
        <v>342</v>
      </c>
      <c r="S15" s="175" t="s">
        <v>342</v>
      </c>
      <c r="T15" s="176" t="s">
        <v>762</v>
      </c>
    </row>
    <row r="16" spans="1:20">
      <c r="A16" s="167" t="s">
        <v>340</v>
      </c>
      <c r="B16" s="55" t="s">
        <v>89</v>
      </c>
      <c r="C16" s="55">
        <v>11</v>
      </c>
      <c r="D16" s="55">
        <v>1</v>
      </c>
      <c r="E16" s="558" t="s">
        <v>210</v>
      </c>
      <c r="F16" s="55">
        <v>21.59</v>
      </c>
      <c r="G16" s="55" t="s">
        <v>20</v>
      </c>
      <c r="H16" s="245"/>
      <c r="I16" s="831">
        <v>0.04</v>
      </c>
      <c r="J16" s="830">
        <v>-5.14</v>
      </c>
      <c r="K16" s="829">
        <v>-0.68</v>
      </c>
      <c r="L16" s="138">
        <f t="shared" si="0"/>
        <v>38.584643999999997</v>
      </c>
      <c r="M16" s="523" t="s">
        <v>239</v>
      </c>
      <c r="N16" s="171" t="s">
        <v>85</v>
      </c>
      <c r="O16" s="171" t="s">
        <v>95</v>
      </c>
      <c r="P16" s="172" t="s">
        <v>118</v>
      </c>
      <c r="Q16" s="171" t="s">
        <v>58</v>
      </c>
      <c r="R16" s="174" t="s">
        <v>342</v>
      </c>
      <c r="S16" s="175" t="s">
        <v>342</v>
      </c>
      <c r="T16" s="176" t="s">
        <v>762</v>
      </c>
    </row>
    <row r="17" spans="1:20">
      <c r="A17" s="167" t="s">
        <v>340</v>
      </c>
      <c r="B17" s="55" t="s">
        <v>89</v>
      </c>
      <c r="C17" s="55">
        <v>11</v>
      </c>
      <c r="D17" s="55">
        <v>1</v>
      </c>
      <c r="E17" s="558" t="s">
        <v>210</v>
      </c>
      <c r="F17" s="55">
        <v>21.59</v>
      </c>
      <c r="G17" s="55" t="s">
        <v>20</v>
      </c>
      <c r="H17" s="245"/>
      <c r="I17" s="831">
        <v>1.9</v>
      </c>
      <c r="J17" s="830">
        <v>-4.43</v>
      </c>
      <c r="K17" s="829">
        <v>-0.68</v>
      </c>
      <c r="L17" s="138">
        <f t="shared" si="0"/>
        <v>34.765625</v>
      </c>
      <c r="M17" s="523" t="s">
        <v>195</v>
      </c>
      <c r="N17" s="171" t="s">
        <v>85</v>
      </c>
      <c r="O17" s="171" t="s">
        <v>95</v>
      </c>
      <c r="P17" s="172" t="s">
        <v>118</v>
      </c>
      <c r="Q17" s="171" t="s">
        <v>58</v>
      </c>
      <c r="R17" s="174" t="s">
        <v>342</v>
      </c>
      <c r="S17" s="175" t="s">
        <v>342</v>
      </c>
      <c r="T17" s="176" t="s">
        <v>762</v>
      </c>
    </row>
    <row r="18" spans="1:20">
      <c r="A18" s="167" t="s">
        <v>340</v>
      </c>
      <c r="B18" s="55" t="s">
        <v>89</v>
      </c>
      <c r="C18" s="55">
        <v>11</v>
      </c>
      <c r="D18" s="55">
        <v>2</v>
      </c>
      <c r="E18" s="558" t="s">
        <v>353</v>
      </c>
      <c r="F18" s="55">
        <v>22.82</v>
      </c>
      <c r="G18" s="55" t="s">
        <v>20</v>
      </c>
      <c r="H18" s="245"/>
      <c r="I18" s="831">
        <v>1.52</v>
      </c>
      <c r="J18" s="830">
        <v>-2.96</v>
      </c>
      <c r="K18" s="829">
        <v>-0.68</v>
      </c>
      <c r="L18" s="138">
        <f t="shared" si="0"/>
        <v>27.147056000000003</v>
      </c>
      <c r="M18" s="523" t="s">
        <v>239</v>
      </c>
      <c r="N18" s="171" t="s">
        <v>85</v>
      </c>
      <c r="O18" s="171" t="s">
        <v>95</v>
      </c>
      <c r="P18" s="172" t="s">
        <v>118</v>
      </c>
      <c r="Q18" s="171" t="s">
        <v>58</v>
      </c>
      <c r="R18" s="174" t="s">
        <v>342</v>
      </c>
      <c r="S18" s="175" t="s">
        <v>342</v>
      </c>
      <c r="T18" s="176" t="s">
        <v>762</v>
      </c>
    </row>
    <row r="19" spans="1:20">
      <c r="A19" s="167" t="s">
        <v>340</v>
      </c>
      <c r="B19" s="55" t="s">
        <v>89</v>
      </c>
      <c r="C19" s="55">
        <v>12</v>
      </c>
      <c r="D19" s="55">
        <v>1</v>
      </c>
      <c r="E19" s="558" t="s">
        <v>357</v>
      </c>
      <c r="F19" s="55">
        <v>23.03</v>
      </c>
      <c r="G19" s="55" t="s">
        <v>20</v>
      </c>
      <c r="H19" s="245"/>
      <c r="I19" s="831">
        <v>1.52</v>
      </c>
      <c r="J19" s="830">
        <v>-3.7</v>
      </c>
      <c r="K19" s="829">
        <v>-0.68</v>
      </c>
      <c r="L19" s="138">
        <f t="shared" si="0"/>
        <v>30.933636</v>
      </c>
      <c r="M19" s="523" t="s">
        <v>239</v>
      </c>
      <c r="N19" s="171" t="s">
        <v>85</v>
      </c>
      <c r="O19" s="171" t="s">
        <v>95</v>
      </c>
      <c r="P19" s="172" t="s">
        <v>118</v>
      </c>
      <c r="Q19" s="171" t="s">
        <v>58</v>
      </c>
      <c r="R19" s="174" t="s">
        <v>342</v>
      </c>
      <c r="S19" s="175" t="s">
        <v>342</v>
      </c>
      <c r="T19" s="176" t="s">
        <v>762</v>
      </c>
    </row>
    <row r="20" spans="1:20">
      <c r="A20" s="177" t="s">
        <v>340</v>
      </c>
      <c r="B20" s="221" t="s">
        <v>89</v>
      </c>
      <c r="C20" s="221">
        <v>12</v>
      </c>
      <c r="D20" s="221">
        <v>1</v>
      </c>
      <c r="E20" s="559" t="s">
        <v>343</v>
      </c>
      <c r="F20" s="221">
        <v>23.18</v>
      </c>
      <c r="G20" s="221" t="s">
        <v>20</v>
      </c>
      <c r="H20" s="922"/>
      <c r="I20" s="928">
        <v>0.32</v>
      </c>
      <c r="J20" s="929">
        <v>-2.97</v>
      </c>
      <c r="K20" s="930">
        <v>-0.68</v>
      </c>
      <c r="L20" s="139">
        <f t="shared" si="0"/>
        <v>27.197569000000001</v>
      </c>
      <c r="M20" s="923" t="s">
        <v>195</v>
      </c>
      <c r="N20" s="184" t="s">
        <v>85</v>
      </c>
      <c r="O20" s="184" t="s">
        <v>95</v>
      </c>
      <c r="P20" s="185" t="s">
        <v>118</v>
      </c>
      <c r="Q20" s="184" t="s">
        <v>58</v>
      </c>
      <c r="R20" s="187" t="s">
        <v>342</v>
      </c>
      <c r="S20" s="919" t="s">
        <v>342</v>
      </c>
      <c r="T20" s="905" t="s">
        <v>762</v>
      </c>
    </row>
    <row r="21" spans="1:20">
      <c r="A21" s="167" t="s">
        <v>340</v>
      </c>
      <c r="B21" s="55" t="s">
        <v>89</v>
      </c>
      <c r="C21" s="55">
        <v>12</v>
      </c>
      <c r="D21" s="55">
        <v>2</v>
      </c>
      <c r="E21" s="558" t="s">
        <v>348</v>
      </c>
      <c r="F21" s="55">
        <v>24.33</v>
      </c>
      <c r="G21" s="55" t="s">
        <v>601</v>
      </c>
      <c r="H21" s="245"/>
      <c r="I21" s="822">
        <v>4.55</v>
      </c>
      <c r="J21" s="821">
        <v>-3.95</v>
      </c>
      <c r="K21" s="820">
        <v>-0.68</v>
      </c>
      <c r="L21" s="819">
        <f t="shared" ref="L21:L74" si="1">16.1-4.64*($J21-K21)+0.09*($J21-K21)^2</f>
        <v>32.235160999999998</v>
      </c>
      <c r="M21" s="523" t="s">
        <v>258</v>
      </c>
      <c r="N21" s="171" t="s">
        <v>85</v>
      </c>
      <c r="O21" s="171" t="s">
        <v>95</v>
      </c>
      <c r="P21" s="172" t="s">
        <v>118</v>
      </c>
      <c r="Q21" s="171" t="s">
        <v>58</v>
      </c>
      <c r="R21" s="174" t="s">
        <v>342</v>
      </c>
      <c r="S21" s="175" t="s">
        <v>342</v>
      </c>
      <c r="T21" s="176" t="s">
        <v>762</v>
      </c>
    </row>
    <row r="22" spans="1:20">
      <c r="A22" s="167" t="s">
        <v>340</v>
      </c>
      <c r="B22" s="55" t="s">
        <v>89</v>
      </c>
      <c r="C22" s="55">
        <v>12</v>
      </c>
      <c r="D22" s="55">
        <v>2</v>
      </c>
      <c r="E22" s="558" t="s">
        <v>348</v>
      </c>
      <c r="F22" s="55">
        <v>24.33</v>
      </c>
      <c r="G22" s="55" t="s">
        <v>601</v>
      </c>
      <c r="H22" s="245"/>
      <c r="I22" s="822">
        <v>3.71</v>
      </c>
      <c r="J22" s="821">
        <v>-3.89</v>
      </c>
      <c r="K22" s="820">
        <v>-0.68</v>
      </c>
      <c r="L22" s="819">
        <f t="shared" si="1"/>
        <v>31.921768999999998</v>
      </c>
      <c r="M22" s="523" t="s">
        <v>258</v>
      </c>
      <c r="N22" s="171" t="s">
        <v>85</v>
      </c>
      <c r="O22" s="171" t="s">
        <v>95</v>
      </c>
      <c r="P22" s="172" t="s">
        <v>118</v>
      </c>
      <c r="Q22" s="171" t="s">
        <v>58</v>
      </c>
      <c r="R22" s="174" t="s">
        <v>342</v>
      </c>
      <c r="S22" s="175" t="s">
        <v>342</v>
      </c>
      <c r="T22" s="176" t="s">
        <v>762</v>
      </c>
    </row>
    <row r="23" spans="1:20">
      <c r="A23" s="167" t="s">
        <v>340</v>
      </c>
      <c r="B23" s="55" t="s">
        <v>89</v>
      </c>
      <c r="C23" s="55">
        <v>12</v>
      </c>
      <c r="D23" s="55">
        <v>2</v>
      </c>
      <c r="E23" s="558" t="s">
        <v>348</v>
      </c>
      <c r="F23" s="55">
        <v>24.33</v>
      </c>
      <c r="G23" s="55" t="s">
        <v>601</v>
      </c>
      <c r="H23" s="245"/>
      <c r="I23" s="822">
        <v>4.4000000000000004</v>
      </c>
      <c r="J23" s="821">
        <v>-3.84</v>
      </c>
      <c r="K23" s="820">
        <v>-0.68</v>
      </c>
      <c r="L23" s="819">
        <f t="shared" si="1"/>
        <v>31.661103999999998</v>
      </c>
      <c r="M23" s="523" t="s">
        <v>258</v>
      </c>
      <c r="N23" s="171" t="s">
        <v>85</v>
      </c>
      <c r="O23" s="171" t="s">
        <v>95</v>
      </c>
      <c r="P23" s="172" t="s">
        <v>118</v>
      </c>
      <c r="Q23" s="171" t="s">
        <v>58</v>
      </c>
      <c r="R23" s="174" t="s">
        <v>342</v>
      </c>
      <c r="S23" s="175" t="s">
        <v>342</v>
      </c>
      <c r="T23" s="176" t="s">
        <v>762</v>
      </c>
    </row>
    <row r="24" spans="1:20">
      <c r="A24" s="167" t="s">
        <v>340</v>
      </c>
      <c r="B24" s="55" t="s">
        <v>89</v>
      </c>
      <c r="C24" s="55">
        <v>12</v>
      </c>
      <c r="D24" s="55">
        <v>2</v>
      </c>
      <c r="E24" s="558" t="s">
        <v>348</v>
      </c>
      <c r="F24" s="55">
        <v>24.33</v>
      </c>
      <c r="G24" s="55" t="s">
        <v>601</v>
      </c>
      <c r="H24" s="245"/>
      <c r="I24" s="822">
        <v>4.7</v>
      </c>
      <c r="J24" s="821">
        <v>-3.08</v>
      </c>
      <c r="K24" s="820">
        <v>-0.68</v>
      </c>
      <c r="L24" s="819">
        <f t="shared" si="1"/>
        <v>27.7544</v>
      </c>
      <c r="M24" s="523" t="s">
        <v>258</v>
      </c>
      <c r="N24" s="171" t="s">
        <v>85</v>
      </c>
      <c r="O24" s="171" t="s">
        <v>95</v>
      </c>
      <c r="P24" s="172" t="s">
        <v>118</v>
      </c>
      <c r="Q24" s="171" t="s">
        <v>58</v>
      </c>
      <c r="R24" s="174" t="s">
        <v>342</v>
      </c>
      <c r="S24" s="175" t="s">
        <v>342</v>
      </c>
      <c r="T24" s="176" t="s">
        <v>762</v>
      </c>
    </row>
    <row r="25" spans="1:20">
      <c r="A25" s="167" t="s">
        <v>340</v>
      </c>
      <c r="B25" s="55" t="s">
        <v>89</v>
      </c>
      <c r="C25" s="55">
        <v>12</v>
      </c>
      <c r="D25" s="55">
        <v>2</v>
      </c>
      <c r="E25" s="558" t="s">
        <v>348</v>
      </c>
      <c r="F25" s="55">
        <v>24.33</v>
      </c>
      <c r="G25" s="55" t="s">
        <v>601</v>
      </c>
      <c r="H25" s="245"/>
      <c r="I25" s="822">
        <v>4.43</v>
      </c>
      <c r="J25" s="821">
        <v>-3.91</v>
      </c>
      <c r="K25" s="820">
        <v>-0.68</v>
      </c>
      <c r="L25" s="819">
        <f t="shared" si="1"/>
        <v>32.026161000000002</v>
      </c>
      <c r="M25" s="523" t="s">
        <v>258</v>
      </c>
      <c r="N25" s="171" t="s">
        <v>85</v>
      </c>
      <c r="O25" s="171" t="s">
        <v>95</v>
      </c>
      <c r="P25" s="172" t="s">
        <v>118</v>
      </c>
      <c r="Q25" s="171" t="s">
        <v>58</v>
      </c>
      <c r="R25" s="174" t="s">
        <v>342</v>
      </c>
      <c r="S25" s="175" t="s">
        <v>342</v>
      </c>
      <c r="T25" s="176" t="s">
        <v>762</v>
      </c>
    </row>
    <row r="26" spans="1:20">
      <c r="A26" s="167" t="s">
        <v>340</v>
      </c>
      <c r="B26" s="55" t="s">
        <v>89</v>
      </c>
      <c r="C26" s="55">
        <v>12</v>
      </c>
      <c r="D26" s="55">
        <v>2</v>
      </c>
      <c r="E26" s="558" t="s">
        <v>348</v>
      </c>
      <c r="F26" s="55">
        <v>24.33</v>
      </c>
      <c r="G26" s="55" t="s">
        <v>601</v>
      </c>
      <c r="H26" s="245"/>
      <c r="I26" s="822">
        <v>4.54</v>
      </c>
      <c r="J26" s="821">
        <v>-4.12</v>
      </c>
      <c r="K26" s="820">
        <v>-0.68</v>
      </c>
      <c r="L26" s="819">
        <f t="shared" si="1"/>
        <v>33.126624</v>
      </c>
      <c r="M26" s="523" t="s">
        <v>258</v>
      </c>
      <c r="N26" s="171" t="s">
        <v>85</v>
      </c>
      <c r="O26" s="171" t="s">
        <v>95</v>
      </c>
      <c r="P26" s="172" t="s">
        <v>118</v>
      </c>
      <c r="Q26" s="171" t="s">
        <v>58</v>
      </c>
      <c r="R26" s="174" t="s">
        <v>342</v>
      </c>
      <c r="S26" s="175" t="s">
        <v>342</v>
      </c>
      <c r="T26" s="176" t="s">
        <v>762</v>
      </c>
    </row>
    <row r="27" spans="1:20">
      <c r="A27" s="167" t="s">
        <v>340</v>
      </c>
      <c r="B27" s="55" t="s">
        <v>89</v>
      </c>
      <c r="C27" s="55">
        <v>12</v>
      </c>
      <c r="D27" s="55">
        <v>2</v>
      </c>
      <c r="E27" s="558" t="s">
        <v>348</v>
      </c>
      <c r="F27" s="55">
        <v>24.33</v>
      </c>
      <c r="G27" s="55" t="s">
        <v>601</v>
      </c>
      <c r="H27" s="245"/>
      <c r="I27" s="822">
        <v>3.89</v>
      </c>
      <c r="J27" s="821">
        <v>-3.66</v>
      </c>
      <c r="K27" s="820">
        <v>-0.68</v>
      </c>
      <c r="L27" s="819">
        <f t="shared" si="1"/>
        <v>30.726436</v>
      </c>
      <c r="M27" s="523" t="s">
        <v>258</v>
      </c>
      <c r="N27" s="171" t="s">
        <v>85</v>
      </c>
      <c r="O27" s="171" t="s">
        <v>95</v>
      </c>
      <c r="P27" s="172" t="s">
        <v>118</v>
      </c>
      <c r="Q27" s="171" t="s">
        <v>58</v>
      </c>
      <c r="R27" s="174" t="s">
        <v>342</v>
      </c>
      <c r="S27" s="175" t="s">
        <v>342</v>
      </c>
      <c r="T27" s="176" t="s">
        <v>762</v>
      </c>
    </row>
    <row r="28" spans="1:20">
      <c r="A28" s="167" t="s">
        <v>340</v>
      </c>
      <c r="B28" s="55" t="s">
        <v>89</v>
      </c>
      <c r="C28" s="55">
        <v>12</v>
      </c>
      <c r="D28" s="55">
        <v>2</v>
      </c>
      <c r="E28" s="558" t="s">
        <v>348</v>
      </c>
      <c r="F28" s="55">
        <v>24.33</v>
      </c>
      <c r="G28" s="55" t="s">
        <v>601</v>
      </c>
      <c r="H28" s="245"/>
      <c r="I28" s="822">
        <v>5.44</v>
      </c>
      <c r="J28" s="821">
        <v>-3.17</v>
      </c>
      <c r="K28" s="820">
        <v>-0.68</v>
      </c>
      <c r="L28" s="819">
        <f t="shared" si="1"/>
        <v>28.211608999999996</v>
      </c>
      <c r="M28" s="523" t="s">
        <v>239</v>
      </c>
      <c r="N28" s="171" t="s">
        <v>85</v>
      </c>
      <c r="O28" s="171" t="s">
        <v>95</v>
      </c>
      <c r="P28" s="172" t="s">
        <v>118</v>
      </c>
      <c r="Q28" s="171" t="s">
        <v>58</v>
      </c>
      <c r="R28" s="174" t="s">
        <v>342</v>
      </c>
      <c r="S28" s="175" t="s">
        <v>342</v>
      </c>
      <c r="T28" s="176" t="s">
        <v>762</v>
      </c>
    </row>
    <row r="29" spans="1:20">
      <c r="A29" s="167" t="s">
        <v>340</v>
      </c>
      <c r="B29" s="55" t="s">
        <v>89</v>
      </c>
      <c r="C29" s="55">
        <v>12</v>
      </c>
      <c r="D29" s="55">
        <v>2</v>
      </c>
      <c r="E29" s="558" t="s">
        <v>348</v>
      </c>
      <c r="F29" s="55">
        <v>24.33</v>
      </c>
      <c r="G29" s="55" t="s">
        <v>601</v>
      </c>
      <c r="H29" s="245"/>
      <c r="I29" s="822">
        <v>4.0999999999999996</v>
      </c>
      <c r="J29" s="821">
        <v>-3.12</v>
      </c>
      <c r="K29" s="820">
        <v>-0.68</v>
      </c>
      <c r="L29" s="819">
        <f t="shared" si="1"/>
        <v>27.957424</v>
      </c>
      <c r="M29" s="523" t="s">
        <v>239</v>
      </c>
      <c r="N29" s="171" t="s">
        <v>85</v>
      </c>
      <c r="O29" s="171" t="s">
        <v>95</v>
      </c>
      <c r="P29" s="172" t="s">
        <v>118</v>
      </c>
      <c r="Q29" s="171" t="s">
        <v>58</v>
      </c>
      <c r="R29" s="174" t="s">
        <v>342</v>
      </c>
      <c r="S29" s="175" t="s">
        <v>342</v>
      </c>
      <c r="T29" s="176" t="s">
        <v>762</v>
      </c>
    </row>
    <row r="30" spans="1:20">
      <c r="A30" s="167" t="s">
        <v>340</v>
      </c>
      <c r="B30" s="55" t="s">
        <v>89</v>
      </c>
      <c r="C30" s="55">
        <v>12</v>
      </c>
      <c r="D30" s="55">
        <v>2</v>
      </c>
      <c r="E30" s="558" t="s">
        <v>348</v>
      </c>
      <c r="F30" s="55">
        <v>24.33</v>
      </c>
      <c r="G30" s="55" t="s">
        <v>601</v>
      </c>
      <c r="H30" s="245"/>
      <c r="I30" s="822">
        <v>4.66</v>
      </c>
      <c r="J30" s="821">
        <v>-3.09</v>
      </c>
      <c r="K30" s="820">
        <v>-0.68</v>
      </c>
      <c r="L30" s="819">
        <f t="shared" si="1"/>
        <v>27.805128999999997</v>
      </c>
      <c r="M30" s="523" t="s">
        <v>239</v>
      </c>
      <c r="N30" s="171" t="s">
        <v>85</v>
      </c>
      <c r="O30" s="171" t="s">
        <v>95</v>
      </c>
      <c r="P30" s="172" t="s">
        <v>118</v>
      </c>
      <c r="Q30" s="171" t="s">
        <v>58</v>
      </c>
      <c r="R30" s="174" t="s">
        <v>342</v>
      </c>
      <c r="S30" s="175" t="s">
        <v>342</v>
      </c>
      <c r="T30" s="176" t="s">
        <v>762</v>
      </c>
    </row>
    <row r="31" spans="1:20">
      <c r="A31" s="167" t="s">
        <v>340</v>
      </c>
      <c r="B31" s="55" t="s">
        <v>89</v>
      </c>
      <c r="C31" s="55">
        <v>12</v>
      </c>
      <c r="D31" s="55">
        <v>2</v>
      </c>
      <c r="E31" s="558" t="s">
        <v>348</v>
      </c>
      <c r="F31" s="55">
        <v>24.33</v>
      </c>
      <c r="G31" s="55" t="s">
        <v>601</v>
      </c>
      <c r="H31" s="245"/>
      <c r="I31" s="822">
        <v>5.0199999999999996</v>
      </c>
      <c r="J31" s="821">
        <v>-3.07</v>
      </c>
      <c r="K31" s="820">
        <v>-0.68</v>
      </c>
      <c r="L31" s="819">
        <f t="shared" si="1"/>
        <v>27.703688999999997</v>
      </c>
      <c r="M31" s="523" t="s">
        <v>239</v>
      </c>
      <c r="N31" s="171" t="s">
        <v>85</v>
      </c>
      <c r="O31" s="171" t="s">
        <v>95</v>
      </c>
      <c r="P31" s="172" t="s">
        <v>118</v>
      </c>
      <c r="Q31" s="171" t="s">
        <v>58</v>
      </c>
      <c r="R31" s="174" t="s">
        <v>342</v>
      </c>
      <c r="S31" s="175" t="s">
        <v>342</v>
      </c>
      <c r="T31" s="176" t="s">
        <v>762</v>
      </c>
    </row>
    <row r="32" spans="1:20">
      <c r="A32" s="167" t="s">
        <v>340</v>
      </c>
      <c r="B32" s="55" t="s">
        <v>89</v>
      </c>
      <c r="C32" s="55">
        <v>12</v>
      </c>
      <c r="D32" s="55">
        <v>2</v>
      </c>
      <c r="E32" s="558" t="s">
        <v>348</v>
      </c>
      <c r="F32" s="55">
        <v>24.33</v>
      </c>
      <c r="G32" s="55" t="s">
        <v>601</v>
      </c>
      <c r="H32" s="245"/>
      <c r="I32" s="822">
        <v>3.44</v>
      </c>
      <c r="J32" s="821">
        <v>-3.1</v>
      </c>
      <c r="K32" s="820">
        <v>-0.68</v>
      </c>
      <c r="L32" s="819">
        <f t="shared" si="1"/>
        <v>27.855876000000002</v>
      </c>
      <c r="M32" s="523" t="s">
        <v>239</v>
      </c>
      <c r="N32" s="171" t="s">
        <v>85</v>
      </c>
      <c r="O32" s="171" t="s">
        <v>95</v>
      </c>
      <c r="P32" s="172" t="s">
        <v>118</v>
      </c>
      <c r="Q32" s="171" t="s">
        <v>58</v>
      </c>
      <c r="R32" s="174" t="s">
        <v>342</v>
      </c>
      <c r="S32" s="175" t="s">
        <v>342</v>
      </c>
      <c r="T32" s="176" t="s">
        <v>762</v>
      </c>
    </row>
    <row r="33" spans="1:20">
      <c r="A33" s="167" t="s">
        <v>340</v>
      </c>
      <c r="B33" s="55" t="s">
        <v>89</v>
      </c>
      <c r="C33" s="55">
        <v>12</v>
      </c>
      <c r="D33" s="55">
        <v>2</v>
      </c>
      <c r="E33" s="558" t="s">
        <v>346</v>
      </c>
      <c r="F33" s="55">
        <v>24.53</v>
      </c>
      <c r="G33" s="55" t="s">
        <v>601</v>
      </c>
      <c r="H33" s="245"/>
      <c r="I33" s="822">
        <v>4.4000000000000004</v>
      </c>
      <c r="J33" s="821">
        <v>-3.91</v>
      </c>
      <c r="K33" s="820">
        <v>-0.68</v>
      </c>
      <c r="L33" s="819">
        <f t="shared" si="1"/>
        <v>32.026161000000002</v>
      </c>
      <c r="M33" s="523" t="s">
        <v>33</v>
      </c>
      <c r="N33" s="171" t="s">
        <v>85</v>
      </c>
      <c r="O33" s="171" t="s">
        <v>95</v>
      </c>
      <c r="P33" s="172" t="s">
        <v>118</v>
      </c>
      <c r="Q33" s="171" t="s">
        <v>58</v>
      </c>
      <c r="R33" s="174" t="s">
        <v>342</v>
      </c>
      <c r="S33" s="175" t="s">
        <v>342</v>
      </c>
      <c r="T33" s="176" t="s">
        <v>762</v>
      </c>
    </row>
    <row r="34" spans="1:20">
      <c r="A34" s="167" t="s">
        <v>340</v>
      </c>
      <c r="B34" s="55" t="s">
        <v>89</v>
      </c>
      <c r="C34" s="55">
        <v>12</v>
      </c>
      <c r="D34" s="55">
        <v>2</v>
      </c>
      <c r="E34" s="558" t="s">
        <v>346</v>
      </c>
      <c r="F34" s="55">
        <v>24.53</v>
      </c>
      <c r="G34" s="55" t="s">
        <v>601</v>
      </c>
      <c r="H34" s="245"/>
      <c r="I34" s="822">
        <v>4.79</v>
      </c>
      <c r="J34" s="821">
        <v>-3.83</v>
      </c>
      <c r="K34" s="820">
        <v>-0.68</v>
      </c>
      <c r="L34" s="819">
        <f t="shared" si="1"/>
        <v>31.609025000000003</v>
      </c>
      <c r="M34" s="523" t="s">
        <v>195</v>
      </c>
      <c r="N34" s="171" t="s">
        <v>85</v>
      </c>
      <c r="O34" s="171" t="s">
        <v>95</v>
      </c>
      <c r="P34" s="172" t="s">
        <v>118</v>
      </c>
      <c r="Q34" s="171" t="s">
        <v>58</v>
      </c>
      <c r="R34" s="174" t="s">
        <v>342</v>
      </c>
      <c r="S34" s="175" t="s">
        <v>342</v>
      </c>
      <c r="T34" s="176" t="s">
        <v>762</v>
      </c>
    </row>
    <row r="35" spans="1:20">
      <c r="A35" s="167" t="s">
        <v>340</v>
      </c>
      <c r="B35" s="55" t="s">
        <v>89</v>
      </c>
      <c r="C35" s="55">
        <v>12</v>
      </c>
      <c r="D35" s="55">
        <v>2</v>
      </c>
      <c r="E35" s="558" t="s">
        <v>346</v>
      </c>
      <c r="F35" s="55">
        <v>24.53</v>
      </c>
      <c r="G35" s="55" t="s">
        <v>601</v>
      </c>
      <c r="H35" s="245"/>
      <c r="I35" s="822">
        <v>4</v>
      </c>
      <c r="J35" s="821">
        <v>-3.07</v>
      </c>
      <c r="K35" s="820">
        <v>-0.68</v>
      </c>
      <c r="L35" s="819">
        <f t="shared" si="1"/>
        <v>27.703688999999997</v>
      </c>
      <c r="M35" s="523" t="s">
        <v>195</v>
      </c>
      <c r="N35" s="171" t="s">
        <v>85</v>
      </c>
      <c r="O35" s="171" t="s">
        <v>95</v>
      </c>
      <c r="P35" s="172" t="s">
        <v>118</v>
      </c>
      <c r="Q35" s="171" t="s">
        <v>58</v>
      </c>
      <c r="R35" s="174" t="s">
        <v>342</v>
      </c>
      <c r="S35" s="175" t="s">
        <v>342</v>
      </c>
      <c r="T35" s="176" t="s">
        <v>762</v>
      </c>
    </row>
    <row r="36" spans="1:20">
      <c r="A36" s="167" t="s">
        <v>340</v>
      </c>
      <c r="B36" s="55" t="s">
        <v>89</v>
      </c>
      <c r="C36" s="55">
        <v>12</v>
      </c>
      <c r="D36" s="55">
        <v>2</v>
      </c>
      <c r="E36" s="558" t="s">
        <v>349</v>
      </c>
      <c r="F36" s="55">
        <v>24.78</v>
      </c>
      <c r="G36" s="55" t="s">
        <v>601</v>
      </c>
      <c r="H36" s="245"/>
      <c r="I36" s="822">
        <v>4.4000000000000004</v>
      </c>
      <c r="J36" s="821">
        <v>-3.51</v>
      </c>
      <c r="K36" s="820">
        <v>-0.68</v>
      </c>
      <c r="L36" s="819">
        <f t="shared" si="1"/>
        <v>29.952000999999999</v>
      </c>
      <c r="M36" s="523" t="s">
        <v>258</v>
      </c>
      <c r="N36" s="171" t="s">
        <v>85</v>
      </c>
      <c r="O36" s="171" t="s">
        <v>95</v>
      </c>
      <c r="P36" s="172" t="s">
        <v>118</v>
      </c>
      <c r="Q36" s="171" t="s">
        <v>58</v>
      </c>
      <c r="R36" s="174" t="s">
        <v>342</v>
      </c>
      <c r="S36" s="175" t="s">
        <v>342</v>
      </c>
      <c r="T36" s="176" t="s">
        <v>762</v>
      </c>
    </row>
    <row r="37" spans="1:20">
      <c r="A37" s="167" t="s">
        <v>340</v>
      </c>
      <c r="B37" s="55" t="s">
        <v>89</v>
      </c>
      <c r="C37" s="55">
        <v>12</v>
      </c>
      <c r="D37" s="55">
        <v>2</v>
      </c>
      <c r="E37" s="558" t="s">
        <v>349</v>
      </c>
      <c r="F37" s="55">
        <v>24.78</v>
      </c>
      <c r="G37" s="55" t="s">
        <v>601</v>
      </c>
      <c r="H37" s="245"/>
      <c r="I37" s="822">
        <v>4.3600000000000003</v>
      </c>
      <c r="J37" s="821">
        <v>-3.29</v>
      </c>
      <c r="K37" s="820">
        <v>-0.68</v>
      </c>
      <c r="L37" s="819">
        <f t="shared" si="1"/>
        <v>28.823488999999999</v>
      </c>
      <c r="M37" s="523" t="s">
        <v>258</v>
      </c>
      <c r="N37" s="171" t="s">
        <v>85</v>
      </c>
      <c r="O37" s="171" t="s">
        <v>95</v>
      </c>
      <c r="P37" s="172" t="s">
        <v>118</v>
      </c>
      <c r="Q37" s="171" t="s">
        <v>58</v>
      </c>
      <c r="R37" s="174" t="s">
        <v>342</v>
      </c>
      <c r="S37" s="175" t="s">
        <v>342</v>
      </c>
      <c r="T37" s="176" t="s">
        <v>762</v>
      </c>
    </row>
    <row r="38" spans="1:20">
      <c r="A38" s="167" t="s">
        <v>340</v>
      </c>
      <c r="B38" s="55" t="s">
        <v>89</v>
      </c>
      <c r="C38" s="55">
        <v>12</v>
      </c>
      <c r="D38" s="55">
        <v>2</v>
      </c>
      <c r="E38" s="558" t="s">
        <v>349</v>
      </c>
      <c r="F38" s="55">
        <v>24.78</v>
      </c>
      <c r="G38" s="55" t="s">
        <v>601</v>
      </c>
      <c r="H38" s="245"/>
      <c r="I38" s="822">
        <v>4.43</v>
      </c>
      <c r="J38" s="821">
        <v>-3.74</v>
      </c>
      <c r="K38" s="820">
        <v>-0.68</v>
      </c>
      <c r="L38" s="819">
        <f t="shared" si="1"/>
        <v>31.141124000000001</v>
      </c>
      <c r="M38" s="523" t="s">
        <v>258</v>
      </c>
      <c r="N38" s="171" t="s">
        <v>85</v>
      </c>
      <c r="O38" s="171" t="s">
        <v>95</v>
      </c>
      <c r="P38" s="172" t="s">
        <v>118</v>
      </c>
      <c r="Q38" s="171" t="s">
        <v>58</v>
      </c>
      <c r="R38" s="174" t="s">
        <v>342</v>
      </c>
      <c r="S38" s="175" t="s">
        <v>342</v>
      </c>
      <c r="T38" s="176" t="s">
        <v>762</v>
      </c>
    </row>
    <row r="39" spans="1:20">
      <c r="A39" s="167" t="s">
        <v>340</v>
      </c>
      <c r="B39" s="55" t="s">
        <v>89</v>
      </c>
      <c r="C39" s="55">
        <v>12</v>
      </c>
      <c r="D39" s="55">
        <v>2</v>
      </c>
      <c r="E39" s="558" t="s">
        <v>349</v>
      </c>
      <c r="F39" s="55">
        <v>24.78</v>
      </c>
      <c r="G39" s="55" t="s">
        <v>601</v>
      </c>
      <c r="H39" s="245"/>
      <c r="I39" s="822">
        <v>4.72</v>
      </c>
      <c r="J39" s="821">
        <v>-3.55</v>
      </c>
      <c r="K39" s="820">
        <v>-0.68</v>
      </c>
      <c r="L39" s="819">
        <f t="shared" si="1"/>
        <v>30.158120999999998</v>
      </c>
      <c r="M39" s="523" t="s">
        <v>258</v>
      </c>
      <c r="N39" s="171" t="s">
        <v>85</v>
      </c>
      <c r="O39" s="171" t="s">
        <v>95</v>
      </c>
      <c r="P39" s="172" t="s">
        <v>118</v>
      </c>
      <c r="Q39" s="171" t="s">
        <v>58</v>
      </c>
      <c r="R39" s="174" t="s">
        <v>342</v>
      </c>
      <c r="S39" s="175" t="s">
        <v>342</v>
      </c>
      <c r="T39" s="176" t="s">
        <v>762</v>
      </c>
    </row>
    <row r="40" spans="1:20">
      <c r="A40" s="167" t="s">
        <v>340</v>
      </c>
      <c r="B40" s="55" t="s">
        <v>89</v>
      </c>
      <c r="C40" s="55">
        <v>12</v>
      </c>
      <c r="D40" s="55">
        <v>2</v>
      </c>
      <c r="E40" s="558" t="s">
        <v>349</v>
      </c>
      <c r="F40" s="55">
        <v>24.78</v>
      </c>
      <c r="G40" s="55" t="s">
        <v>601</v>
      </c>
      <c r="H40" s="245"/>
      <c r="I40" s="822">
        <v>3.53</v>
      </c>
      <c r="J40" s="821">
        <v>-3.62</v>
      </c>
      <c r="K40" s="820">
        <v>-0.68</v>
      </c>
      <c r="L40" s="819">
        <f t="shared" si="1"/>
        <v>30.519523999999997</v>
      </c>
      <c r="M40" s="523" t="s">
        <v>258</v>
      </c>
      <c r="N40" s="171" t="s">
        <v>85</v>
      </c>
      <c r="O40" s="171" t="s">
        <v>95</v>
      </c>
      <c r="P40" s="172" t="s">
        <v>118</v>
      </c>
      <c r="Q40" s="171" t="s">
        <v>58</v>
      </c>
      <c r="R40" s="174" t="s">
        <v>342</v>
      </c>
      <c r="S40" s="175" t="s">
        <v>342</v>
      </c>
      <c r="T40" s="176" t="s">
        <v>762</v>
      </c>
    </row>
    <row r="41" spans="1:20">
      <c r="A41" s="167" t="s">
        <v>340</v>
      </c>
      <c r="B41" s="55" t="s">
        <v>89</v>
      </c>
      <c r="C41" s="55">
        <v>12</v>
      </c>
      <c r="D41" s="55">
        <v>2</v>
      </c>
      <c r="E41" s="558" t="s">
        <v>349</v>
      </c>
      <c r="F41" s="55">
        <v>24.78</v>
      </c>
      <c r="G41" s="55" t="s">
        <v>601</v>
      </c>
      <c r="H41" s="245"/>
      <c r="I41" s="822">
        <v>4.07</v>
      </c>
      <c r="J41" s="821">
        <v>-3.95</v>
      </c>
      <c r="K41" s="820">
        <v>-0.68</v>
      </c>
      <c r="L41" s="819">
        <f t="shared" si="1"/>
        <v>32.235160999999998</v>
      </c>
      <c r="M41" s="523" t="s">
        <v>258</v>
      </c>
      <c r="N41" s="171" t="s">
        <v>85</v>
      </c>
      <c r="O41" s="171" t="s">
        <v>95</v>
      </c>
      <c r="P41" s="172" t="s">
        <v>118</v>
      </c>
      <c r="Q41" s="171" t="s">
        <v>58</v>
      </c>
      <c r="R41" s="174" t="s">
        <v>342</v>
      </c>
      <c r="S41" s="175" t="s">
        <v>342</v>
      </c>
      <c r="T41" s="176" t="s">
        <v>762</v>
      </c>
    </row>
    <row r="42" spans="1:20">
      <c r="A42" s="167" t="s">
        <v>340</v>
      </c>
      <c r="B42" s="55" t="s">
        <v>89</v>
      </c>
      <c r="C42" s="55">
        <v>12</v>
      </c>
      <c r="D42" s="55">
        <v>2</v>
      </c>
      <c r="E42" s="558" t="s">
        <v>349</v>
      </c>
      <c r="F42" s="55">
        <v>24.78</v>
      </c>
      <c r="G42" s="55" t="s">
        <v>601</v>
      </c>
      <c r="H42" s="245"/>
      <c r="I42" s="822">
        <v>4.34</v>
      </c>
      <c r="J42" s="821">
        <v>-3.53</v>
      </c>
      <c r="K42" s="820">
        <v>-0.68</v>
      </c>
      <c r="L42" s="819">
        <f t="shared" si="1"/>
        <v>30.055024999999997</v>
      </c>
      <c r="M42" s="523" t="s">
        <v>258</v>
      </c>
      <c r="N42" s="171" t="s">
        <v>85</v>
      </c>
      <c r="O42" s="171" t="s">
        <v>95</v>
      </c>
      <c r="P42" s="172" t="s">
        <v>118</v>
      </c>
      <c r="Q42" s="171" t="s">
        <v>58</v>
      </c>
      <c r="R42" s="174" t="s">
        <v>342</v>
      </c>
      <c r="S42" s="175" t="s">
        <v>342</v>
      </c>
      <c r="T42" s="176" t="s">
        <v>762</v>
      </c>
    </row>
    <row r="43" spans="1:20">
      <c r="A43" s="167" t="s">
        <v>340</v>
      </c>
      <c r="B43" s="55" t="s">
        <v>89</v>
      </c>
      <c r="C43" s="55">
        <v>12</v>
      </c>
      <c r="D43" s="55">
        <v>2</v>
      </c>
      <c r="E43" s="558" t="s">
        <v>349</v>
      </c>
      <c r="F43" s="55">
        <v>24.78</v>
      </c>
      <c r="G43" s="55" t="s">
        <v>601</v>
      </c>
      <c r="H43" s="245"/>
      <c r="I43" s="822">
        <v>4.66</v>
      </c>
      <c r="J43" s="821">
        <v>-2.75</v>
      </c>
      <c r="K43" s="820">
        <v>-0.68</v>
      </c>
      <c r="L43" s="819">
        <f t="shared" si="1"/>
        <v>26.090440999999998</v>
      </c>
      <c r="M43" s="523" t="s">
        <v>239</v>
      </c>
      <c r="N43" s="171" t="s">
        <v>85</v>
      </c>
      <c r="O43" s="171" t="s">
        <v>95</v>
      </c>
      <c r="P43" s="172" t="s">
        <v>118</v>
      </c>
      <c r="Q43" s="171" t="s">
        <v>58</v>
      </c>
      <c r="R43" s="174" t="s">
        <v>342</v>
      </c>
      <c r="S43" s="175" t="s">
        <v>342</v>
      </c>
      <c r="T43" s="176" t="s">
        <v>762</v>
      </c>
    </row>
    <row r="44" spans="1:20">
      <c r="A44" s="167" t="s">
        <v>340</v>
      </c>
      <c r="B44" s="55" t="s">
        <v>89</v>
      </c>
      <c r="C44" s="55">
        <v>13</v>
      </c>
      <c r="D44" s="55">
        <v>1</v>
      </c>
      <c r="E44" s="558" t="s">
        <v>354</v>
      </c>
      <c r="F44" s="55">
        <v>26.37</v>
      </c>
      <c r="G44" s="55" t="s">
        <v>601</v>
      </c>
      <c r="H44" s="245"/>
      <c r="I44" s="822">
        <v>3.92</v>
      </c>
      <c r="J44" s="821">
        <v>-3.32</v>
      </c>
      <c r="K44" s="820">
        <v>-0.68</v>
      </c>
      <c r="L44" s="819">
        <f t="shared" si="1"/>
        <v>28.976863999999999</v>
      </c>
      <c r="M44" s="523" t="s">
        <v>33</v>
      </c>
      <c r="N44" s="171" t="s">
        <v>85</v>
      </c>
      <c r="O44" s="171" t="s">
        <v>95</v>
      </c>
      <c r="P44" s="172" t="s">
        <v>118</v>
      </c>
      <c r="Q44" s="171" t="s">
        <v>58</v>
      </c>
      <c r="R44" s="174" t="s">
        <v>342</v>
      </c>
      <c r="S44" s="175" t="s">
        <v>342</v>
      </c>
      <c r="T44" s="176" t="s">
        <v>762</v>
      </c>
    </row>
    <row r="45" spans="1:20">
      <c r="A45" s="167" t="s">
        <v>340</v>
      </c>
      <c r="B45" s="55" t="s">
        <v>89</v>
      </c>
      <c r="C45" s="55">
        <v>13</v>
      </c>
      <c r="D45" s="55">
        <v>1</v>
      </c>
      <c r="E45" s="558" t="s">
        <v>354</v>
      </c>
      <c r="F45" s="55">
        <v>26.37</v>
      </c>
      <c r="G45" s="55" t="s">
        <v>601</v>
      </c>
      <c r="H45" s="245"/>
      <c r="I45" s="822">
        <v>4.66</v>
      </c>
      <c r="J45" s="821">
        <v>-3.82</v>
      </c>
      <c r="K45" s="820">
        <v>-0.68</v>
      </c>
      <c r="L45" s="819">
        <f t="shared" si="1"/>
        <v>31.556964000000001</v>
      </c>
      <c r="M45" s="523" t="s">
        <v>258</v>
      </c>
      <c r="N45" s="171" t="s">
        <v>85</v>
      </c>
      <c r="O45" s="171" t="s">
        <v>95</v>
      </c>
      <c r="P45" s="172" t="s">
        <v>118</v>
      </c>
      <c r="Q45" s="171" t="s">
        <v>58</v>
      </c>
      <c r="R45" s="174" t="s">
        <v>342</v>
      </c>
      <c r="S45" s="175" t="s">
        <v>342</v>
      </c>
      <c r="T45" s="176" t="s">
        <v>762</v>
      </c>
    </row>
    <row r="46" spans="1:20">
      <c r="A46" s="167" t="s">
        <v>340</v>
      </c>
      <c r="B46" s="55" t="s">
        <v>89</v>
      </c>
      <c r="C46" s="55">
        <v>13</v>
      </c>
      <c r="D46" s="55">
        <v>1</v>
      </c>
      <c r="E46" s="558" t="s">
        <v>354</v>
      </c>
      <c r="F46" s="55">
        <v>26.97</v>
      </c>
      <c r="G46" s="55" t="s">
        <v>601</v>
      </c>
      <c r="H46" s="245"/>
      <c r="I46" s="822">
        <v>4.8499999999999996</v>
      </c>
      <c r="J46" s="821">
        <v>-3.18</v>
      </c>
      <c r="K46" s="820">
        <v>-0.68</v>
      </c>
      <c r="L46" s="819">
        <f t="shared" si="1"/>
        <v>28.262500000000003</v>
      </c>
      <c r="M46" s="523" t="s">
        <v>33</v>
      </c>
      <c r="N46" s="171" t="s">
        <v>85</v>
      </c>
      <c r="O46" s="171" t="s">
        <v>95</v>
      </c>
      <c r="P46" s="172" t="s">
        <v>118</v>
      </c>
      <c r="Q46" s="171" t="s">
        <v>58</v>
      </c>
      <c r="R46" s="174" t="s">
        <v>342</v>
      </c>
      <c r="S46" s="175" t="s">
        <v>342</v>
      </c>
      <c r="T46" s="176" t="s">
        <v>762</v>
      </c>
    </row>
    <row r="47" spans="1:20">
      <c r="A47" s="167" t="s">
        <v>340</v>
      </c>
      <c r="B47" s="55" t="s">
        <v>89</v>
      </c>
      <c r="C47" s="55">
        <v>13</v>
      </c>
      <c r="D47" s="55">
        <v>2</v>
      </c>
      <c r="E47" s="558" t="s">
        <v>344</v>
      </c>
      <c r="F47" s="55">
        <v>27.67</v>
      </c>
      <c r="G47" s="55" t="s">
        <v>601</v>
      </c>
      <c r="H47" s="245"/>
      <c r="I47" s="822">
        <v>4.9000000000000004</v>
      </c>
      <c r="J47" s="821">
        <v>-3.52</v>
      </c>
      <c r="K47" s="820">
        <v>-0.68</v>
      </c>
      <c r="L47" s="819">
        <f t="shared" si="1"/>
        <v>30.003504</v>
      </c>
      <c r="M47" s="523" t="s">
        <v>262</v>
      </c>
      <c r="N47" s="171" t="s">
        <v>85</v>
      </c>
      <c r="O47" s="171" t="s">
        <v>95</v>
      </c>
      <c r="P47" s="172" t="s">
        <v>118</v>
      </c>
      <c r="Q47" s="171" t="s">
        <v>58</v>
      </c>
      <c r="R47" s="174" t="s">
        <v>342</v>
      </c>
      <c r="S47" s="175" t="s">
        <v>342</v>
      </c>
      <c r="T47" s="176" t="s">
        <v>762</v>
      </c>
    </row>
    <row r="48" spans="1:20">
      <c r="A48" s="167" t="s">
        <v>340</v>
      </c>
      <c r="B48" s="55" t="s">
        <v>89</v>
      </c>
      <c r="C48" s="55">
        <v>13</v>
      </c>
      <c r="D48" s="55">
        <v>2</v>
      </c>
      <c r="E48" s="558" t="s">
        <v>344</v>
      </c>
      <c r="F48" s="55">
        <v>27.67</v>
      </c>
      <c r="G48" s="55" t="s">
        <v>601</v>
      </c>
      <c r="H48" s="245"/>
      <c r="I48" s="822">
        <v>4.38</v>
      </c>
      <c r="J48" s="821">
        <v>-2.76</v>
      </c>
      <c r="K48" s="820">
        <v>-0.68</v>
      </c>
      <c r="L48" s="819">
        <f t="shared" si="1"/>
        <v>26.140575999999996</v>
      </c>
      <c r="M48" s="523" t="s">
        <v>262</v>
      </c>
      <c r="N48" s="171" t="s">
        <v>85</v>
      </c>
      <c r="O48" s="171" t="s">
        <v>95</v>
      </c>
      <c r="P48" s="172" t="s">
        <v>118</v>
      </c>
      <c r="Q48" s="171" t="s">
        <v>58</v>
      </c>
      <c r="R48" s="174" t="s">
        <v>342</v>
      </c>
      <c r="S48" s="175" t="s">
        <v>342</v>
      </c>
      <c r="T48" s="176" t="s">
        <v>762</v>
      </c>
    </row>
    <row r="49" spans="1:20">
      <c r="A49" s="167" t="s">
        <v>340</v>
      </c>
      <c r="B49" s="55" t="s">
        <v>89</v>
      </c>
      <c r="C49" s="55">
        <v>13</v>
      </c>
      <c r="D49" s="55">
        <v>2</v>
      </c>
      <c r="E49" s="558" t="s">
        <v>344</v>
      </c>
      <c r="F49" s="55">
        <v>27.67</v>
      </c>
      <c r="G49" s="55" t="s">
        <v>601</v>
      </c>
      <c r="H49" s="245"/>
      <c r="I49" s="822">
        <v>5.5</v>
      </c>
      <c r="J49" s="821">
        <v>-3.76</v>
      </c>
      <c r="K49" s="820">
        <v>-0.68</v>
      </c>
      <c r="L49" s="819">
        <f t="shared" si="1"/>
        <v>31.244975999999998</v>
      </c>
      <c r="M49" s="523" t="s">
        <v>33</v>
      </c>
      <c r="N49" s="171" t="s">
        <v>85</v>
      </c>
      <c r="O49" s="171" t="s">
        <v>95</v>
      </c>
      <c r="P49" s="172" t="s">
        <v>118</v>
      </c>
      <c r="Q49" s="171" t="s">
        <v>58</v>
      </c>
      <c r="R49" s="174" t="s">
        <v>342</v>
      </c>
      <c r="S49" s="175" t="s">
        <v>342</v>
      </c>
      <c r="T49" s="176" t="s">
        <v>762</v>
      </c>
    </row>
    <row r="50" spans="1:20">
      <c r="A50" s="167" t="s">
        <v>340</v>
      </c>
      <c r="B50" s="55" t="s">
        <v>89</v>
      </c>
      <c r="C50" s="55">
        <v>13</v>
      </c>
      <c r="D50" s="55">
        <v>2</v>
      </c>
      <c r="E50" s="558" t="s">
        <v>344</v>
      </c>
      <c r="F50" s="55">
        <v>27.67</v>
      </c>
      <c r="G50" s="55" t="s">
        <v>601</v>
      </c>
      <c r="H50" s="245"/>
      <c r="I50" s="822">
        <v>4.01</v>
      </c>
      <c r="J50" s="821">
        <v>-2.56</v>
      </c>
      <c r="K50" s="820">
        <v>-0.68</v>
      </c>
      <c r="L50" s="819">
        <f t="shared" si="1"/>
        <v>25.141296000000001</v>
      </c>
      <c r="M50" s="523" t="s">
        <v>33</v>
      </c>
      <c r="N50" s="171" t="s">
        <v>85</v>
      </c>
      <c r="O50" s="171" t="s">
        <v>95</v>
      </c>
      <c r="P50" s="172" t="s">
        <v>118</v>
      </c>
      <c r="Q50" s="171" t="s">
        <v>58</v>
      </c>
      <c r="R50" s="174" t="s">
        <v>342</v>
      </c>
      <c r="S50" s="175" t="s">
        <v>342</v>
      </c>
      <c r="T50" s="176" t="s">
        <v>762</v>
      </c>
    </row>
    <row r="51" spans="1:20">
      <c r="A51" s="167" t="s">
        <v>340</v>
      </c>
      <c r="B51" s="55" t="s">
        <v>89</v>
      </c>
      <c r="C51" s="55">
        <v>13</v>
      </c>
      <c r="D51" s="55">
        <v>2</v>
      </c>
      <c r="E51" s="558" t="s">
        <v>344</v>
      </c>
      <c r="F51" s="55">
        <v>27.67</v>
      </c>
      <c r="G51" s="55" t="s">
        <v>601</v>
      </c>
      <c r="H51" s="245"/>
      <c r="I51" s="822">
        <v>4.58</v>
      </c>
      <c r="J51" s="821">
        <v>-3.42</v>
      </c>
      <c r="K51" s="820">
        <v>-0.68</v>
      </c>
      <c r="L51" s="819">
        <f t="shared" si="1"/>
        <v>29.489284000000001</v>
      </c>
      <c r="M51" s="523" t="s">
        <v>33</v>
      </c>
      <c r="N51" s="171" t="s">
        <v>85</v>
      </c>
      <c r="O51" s="171" t="s">
        <v>95</v>
      </c>
      <c r="P51" s="172" t="s">
        <v>118</v>
      </c>
      <c r="Q51" s="171" t="s">
        <v>58</v>
      </c>
      <c r="R51" s="174" t="s">
        <v>342</v>
      </c>
      <c r="S51" s="175" t="s">
        <v>342</v>
      </c>
      <c r="T51" s="176" t="s">
        <v>762</v>
      </c>
    </row>
    <row r="52" spans="1:20">
      <c r="A52" s="167" t="s">
        <v>340</v>
      </c>
      <c r="B52" s="55" t="s">
        <v>89</v>
      </c>
      <c r="C52" s="55">
        <v>13</v>
      </c>
      <c r="D52" s="55">
        <v>2</v>
      </c>
      <c r="E52" s="558" t="s">
        <v>344</v>
      </c>
      <c r="F52" s="55">
        <v>27.67</v>
      </c>
      <c r="G52" s="55" t="s">
        <v>601</v>
      </c>
      <c r="H52" s="245"/>
      <c r="I52" s="822">
        <v>4.63</v>
      </c>
      <c r="J52" s="821">
        <v>-2.89</v>
      </c>
      <c r="K52" s="820">
        <v>-0.68</v>
      </c>
      <c r="L52" s="819">
        <f t="shared" si="1"/>
        <v>26.793968999999997</v>
      </c>
      <c r="M52" s="523" t="s">
        <v>33</v>
      </c>
      <c r="N52" s="171" t="s">
        <v>85</v>
      </c>
      <c r="O52" s="171" t="s">
        <v>95</v>
      </c>
      <c r="P52" s="172" t="s">
        <v>118</v>
      </c>
      <c r="Q52" s="171" t="s">
        <v>58</v>
      </c>
      <c r="R52" s="174" t="s">
        <v>342</v>
      </c>
      <c r="S52" s="175" t="s">
        <v>342</v>
      </c>
      <c r="T52" s="176" t="s">
        <v>762</v>
      </c>
    </row>
    <row r="53" spans="1:20">
      <c r="A53" s="167" t="s">
        <v>340</v>
      </c>
      <c r="B53" s="55" t="s">
        <v>89</v>
      </c>
      <c r="C53" s="55">
        <v>13</v>
      </c>
      <c r="D53" s="55">
        <v>2</v>
      </c>
      <c r="E53" s="558" t="s">
        <v>344</v>
      </c>
      <c r="F53" s="55">
        <v>27.67</v>
      </c>
      <c r="G53" s="55" t="s">
        <v>601</v>
      </c>
      <c r="H53" s="245"/>
      <c r="I53" s="822">
        <v>4.67</v>
      </c>
      <c r="J53" s="821">
        <v>-3.21</v>
      </c>
      <c r="K53" s="820">
        <v>-0.68</v>
      </c>
      <c r="L53" s="819">
        <f t="shared" si="1"/>
        <v>28.415280999999997</v>
      </c>
      <c r="M53" s="523" t="s">
        <v>239</v>
      </c>
      <c r="N53" s="171" t="s">
        <v>85</v>
      </c>
      <c r="O53" s="171" t="s">
        <v>95</v>
      </c>
      <c r="P53" s="172" t="s">
        <v>118</v>
      </c>
      <c r="Q53" s="171" t="s">
        <v>58</v>
      </c>
      <c r="R53" s="174" t="s">
        <v>342</v>
      </c>
      <c r="S53" s="175" t="s">
        <v>342</v>
      </c>
      <c r="T53" s="176" t="s">
        <v>762</v>
      </c>
    </row>
    <row r="54" spans="1:20">
      <c r="A54" s="167" t="s">
        <v>340</v>
      </c>
      <c r="B54" s="55" t="s">
        <v>89</v>
      </c>
      <c r="C54" s="55">
        <v>13</v>
      </c>
      <c r="D54" s="55">
        <v>2</v>
      </c>
      <c r="E54" s="558" t="s">
        <v>344</v>
      </c>
      <c r="F54" s="55">
        <v>27.67</v>
      </c>
      <c r="G54" s="55" t="s">
        <v>601</v>
      </c>
      <c r="H54" s="245"/>
      <c r="I54" s="822">
        <v>4.6500000000000004</v>
      </c>
      <c r="J54" s="821">
        <v>-2.88</v>
      </c>
      <c r="K54" s="820">
        <v>-0.68</v>
      </c>
      <c r="L54" s="819">
        <f t="shared" si="1"/>
        <v>26.743600000000001</v>
      </c>
      <c r="M54" s="523" t="s">
        <v>195</v>
      </c>
      <c r="N54" s="171" t="s">
        <v>85</v>
      </c>
      <c r="O54" s="171" t="s">
        <v>95</v>
      </c>
      <c r="P54" s="172" t="s">
        <v>118</v>
      </c>
      <c r="Q54" s="171" t="s">
        <v>58</v>
      </c>
      <c r="R54" s="174" t="s">
        <v>342</v>
      </c>
      <c r="S54" s="175" t="s">
        <v>342</v>
      </c>
      <c r="T54" s="176" t="s">
        <v>762</v>
      </c>
    </row>
    <row r="55" spans="1:20">
      <c r="A55" s="167" t="s">
        <v>340</v>
      </c>
      <c r="B55" s="55" t="s">
        <v>89</v>
      </c>
      <c r="C55" s="55">
        <v>13</v>
      </c>
      <c r="D55" s="55">
        <v>2</v>
      </c>
      <c r="E55" s="558" t="s">
        <v>347</v>
      </c>
      <c r="F55" s="55">
        <v>27.87</v>
      </c>
      <c r="G55" s="55" t="s">
        <v>601</v>
      </c>
      <c r="H55" s="245"/>
      <c r="I55" s="822">
        <v>9.66</v>
      </c>
      <c r="J55" s="821">
        <v>-3.03</v>
      </c>
      <c r="K55" s="820">
        <v>-0.68</v>
      </c>
      <c r="L55" s="819">
        <f t="shared" si="1"/>
        <v>27.501024999999998</v>
      </c>
      <c r="M55" s="523" t="s">
        <v>33</v>
      </c>
      <c r="N55" s="171" t="s">
        <v>85</v>
      </c>
      <c r="O55" s="171" t="s">
        <v>95</v>
      </c>
      <c r="P55" s="172" t="s">
        <v>118</v>
      </c>
      <c r="Q55" s="171" t="s">
        <v>58</v>
      </c>
      <c r="R55" s="174" t="s">
        <v>342</v>
      </c>
      <c r="S55" s="175" t="s">
        <v>342</v>
      </c>
      <c r="T55" s="176" t="s">
        <v>762</v>
      </c>
    </row>
    <row r="56" spans="1:20">
      <c r="A56" s="167" t="s">
        <v>340</v>
      </c>
      <c r="B56" s="55" t="s">
        <v>89</v>
      </c>
      <c r="C56" s="55">
        <v>13</v>
      </c>
      <c r="D56" s="55">
        <v>2</v>
      </c>
      <c r="E56" s="558" t="s">
        <v>347</v>
      </c>
      <c r="F56" s="55">
        <v>27.87</v>
      </c>
      <c r="G56" s="55" t="s">
        <v>601</v>
      </c>
      <c r="H56" s="245"/>
      <c r="I56" s="822">
        <v>7.73</v>
      </c>
      <c r="J56" s="821">
        <v>-2.38</v>
      </c>
      <c r="K56" s="820">
        <v>-0.68</v>
      </c>
      <c r="L56" s="819">
        <f t="shared" si="1"/>
        <v>24.248100000000001</v>
      </c>
      <c r="M56" s="523" t="s">
        <v>33</v>
      </c>
      <c r="N56" s="171" t="s">
        <v>85</v>
      </c>
      <c r="O56" s="171" t="s">
        <v>95</v>
      </c>
      <c r="P56" s="172" t="s">
        <v>118</v>
      </c>
      <c r="Q56" s="171" t="s">
        <v>58</v>
      </c>
      <c r="R56" s="174" t="s">
        <v>342</v>
      </c>
      <c r="S56" s="175" t="s">
        <v>342</v>
      </c>
      <c r="T56" s="176" t="s">
        <v>762</v>
      </c>
    </row>
    <row r="57" spans="1:20">
      <c r="A57" s="167" t="s">
        <v>340</v>
      </c>
      <c r="B57" s="55" t="s">
        <v>89</v>
      </c>
      <c r="C57" s="55">
        <v>13</v>
      </c>
      <c r="D57" s="55">
        <v>2</v>
      </c>
      <c r="E57" s="558" t="s">
        <v>347</v>
      </c>
      <c r="F57" s="55">
        <v>27.87</v>
      </c>
      <c r="G57" s="55" t="s">
        <v>601</v>
      </c>
      <c r="H57" s="245"/>
      <c r="I57" s="822">
        <v>5.79</v>
      </c>
      <c r="J57" s="821">
        <v>-3.31</v>
      </c>
      <c r="K57" s="820">
        <v>-0.68</v>
      </c>
      <c r="L57" s="819">
        <f t="shared" si="1"/>
        <v>28.925720999999999</v>
      </c>
      <c r="M57" s="523" t="s">
        <v>33</v>
      </c>
      <c r="N57" s="171" t="s">
        <v>85</v>
      </c>
      <c r="O57" s="171" t="s">
        <v>95</v>
      </c>
      <c r="P57" s="172" t="s">
        <v>118</v>
      </c>
      <c r="Q57" s="171" t="s">
        <v>58</v>
      </c>
      <c r="R57" s="174" t="s">
        <v>342</v>
      </c>
      <c r="S57" s="175" t="s">
        <v>342</v>
      </c>
      <c r="T57" s="176" t="s">
        <v>762</v>
      </c>
    </row>
    <row r="58" spans="1:20">
      <c r="A58" s="167" t="s">
        <v>340</v>
      </c>
      <c r="B58" s="55" t="s">
        <v>89</v>
      </c>
      <c r="C58" s="55">
        <v>13</v>
      </c>
      <c r="D58" s="55">
        <v>2</v>
      </c>
      <c r="E58" s="558" t="s">
        <v>347</v>
      </c>
      <c r="F58" s="55">
        <v>27.87</v>
      </c>
      <c r="G58" s="55" t="s">
        <v>601</v>
      </c>
      <c r="H58" s="245"/>
      <c r="I58" s="822">
        <v>4.68</v>
      </c>
      <c r="J58" s="821">
        <v>-2.68</v>
      </c>
      <c r="K58" s="820">
        <v>-0.68</v>
      </c>
      <c r="L58" s="819">
        <f t="shared" si="1"/>
        <v>25.740000000000002</v>
      </c>
      <c r="M58" s="523" t="s">
        <v>33</v>
      </c>
      <c r="N58" s="171" t="s">
        <v>85</v>
      </c>
      <c r="O58" s="171" t="s">
        <v>95</v>
      </c>
      <c r="P58" s="172" t="s">
        <v>118</v>
      </c>
      <c r="Q58" s="171" t="s">
        <v>58</v>
      </c>
      <c r="R58" s="174" t="s">
        <v>342</v>
      </c>
      <c r="S58" s="175" t="s">
        <v>342</v>
      </c>
      <c r="T58" s="176" t="s">
        <v>762</v>
      </c>
    </row>
    <row r="59" spans="1:20">
      <c r="A59" s="167" t="s">
        <v>340</v>
      </c>
      <c r="B59" s="55" t="s">
        <v>89</v>
      </c>
      <c r="C59" s="55">
        <v>13</v>
      </c>
      <c r="D59" s="55">
        <v>2</v>
      </c>
      <c r="E59" s="558" t="s">
        <v>347</v>
      </c>
      <c r="F59" s="55">
        <v>27.87</v>
      </c>
      <c r="G59" s="55" t="s">
        <v>601</v>
      </c>
      <c r="H59" s="245"/>
      <c r="I59" s="822">
        <v>4.84</v>
      </c>
      <c r="J59" s="821">
        <v>-3.02</v>
      </c>
      <c r="K59" s="820">
        <v>-0.68</v>
      </c>
      <c r="L59" s="819">
        <f t="shared" si="1"/>
        <v>27.450403999999999</v>
      </c>
      <c r="M59" s="523" t="s">
        <v>239</v>
      </c>
      <c r="N59" s="171" t="s">
        <v>85</v>
      </c>
      <c r="O59" s="171" t="s">
        <v>95</v>
      </c>
      <c r="P59" s="172" t="s">
        <v>118</v>
      </c>
      <c r="Q59" s="171" t="s">
        <v>58</v>
      </c>
      <c r="R59" s="174" t="s">
        <v>342</v>
      </c>
      <c r="S59" s="175" t="s">
        <v>342</v>
      </c>
      <c r="T59" s="176" t="s">
        <v>762</v>
      </c>
    </row>
    <row r="60" spans="1:20">
      <c r="A60" s="167" t="s">
        <v>340</v>
      </c>
      <c r="B60" s="55" t="s">
        <v>89</v>
      </c>
      <c r="C60" s="55">
        <v>13</v>
      </c>
      <c r="D60" s="55">
        <v>2</v>
      </c>
      <c r="E60" s="558" t="s">
        <v>347</v>
      </c>
      <c r="F60" s="55">
        <v>27.87</v>
      </c>
      <c r="G60" s="55" t="s">
        <v>601</v>
      </c>
      <c r="H60" s="245"/>
      <c r="I60" s="822">
        <v>3.96</v>
      </c>
      <c r="J60" s="821">
        <v>-3.09</v>
      </c>
      <c r="K60" s="820">
        <v>-0.68</v>
      </c>
      <c r="L60" s="819">
        <f t="shared" si="1"/>
        <v>27.805128999999997</v>
      </c>
      <c r="M60" s="523" t="s">
        <v>239</v>
      </c>
      <c r="N60" s="171" t="s">
        <v>85</v>
      </c>
      <c r="O60" s="171" t="s">
        <v>95</v>
      </c>
      <c r="P60" s="172" t="s">
        <v>118</v>
      </c>
      <c r="Q60" s="171" t="s">
        <v>58</v>
      </c>
      <c r="R60" s="174" t="s">
        <v>342</v>
      </c>
      <c r="S60" s="175" t="s">
        <v>342</v>
      </c>
      <c r="T60" s="176" t="s">
        <v>762</v>
      </c>
    </row>
    <row r="61" spans="1:20">
      <c r="A61" s="167" t="s">
        <v>340</v>
      </c>
      <c r="B61" s="55" t="s">
        <v>89</v>
      </c>
      <c r="C61" s="55">
        <v>13</v>
      </c>
      <c r="D61" s="55">
        <v>2</v>
      </c>
      <c r="E61" s="558" t="s">
        <v>347</v>
      </c>
      <c r="F61" s="55">
        <v>27.87</v>
      </c>
      <c r="G61" s="55" t="s">
        <v>601</v>
      </c>
      <c r="H61" s="245"/>
      <c r="I61" s="822">
        <v>5.14</v>
      </c>
      <c r="J61" s="821">
        <v>-3.38</v>
      </c>
      <c r="K61" s="820">
        <v>-0.68</v>
      </c>
      <c r="L61" s="819">
        <f t="shared" si="1"/>
        <v>29.284099999999999</v>
      </c>
      <c r="M61" s="523" t="s">
        <v>239</v>
      </c>
      <c r="N61" s="171" t="s">
        <v>85</v>
      </c>
      <c r="O61" s="171" t="s">
        <v>95</v>
      </c>
      <c r="P61" s="172" t="s">
        <v>118</v>
      </c>
      <c r="Q61" s="171" t="s">
        <v>58</v>
      </c>
      <c r="R61" s="174" t="s">
        <v>342</v>
      </c>
      <c r="S61" s="175" t="s">
        <v>342</v>
      </c>
      <c r="T61" s="176" t="s">
        <v>762</v>
      </c>
    </row>
    <row r="62" spans="1:20">
      <c r="A62" s="167" t="s">
        <v>340</v>
      </c>
      <c r="B62" s="55" t="s">
        <v>89</v>
      </c>
      <c r="C62" s="55">
        <v>13</v>
      </c>
      <c r="D62" s="55">
        <v>3</v>
      </c>
      <c r="E62" s="558" t="s">
        <v>354</v>
      </c>
      <c r="F62" s="55">
        <v>28.37</v>
      </c>
      <c r="G62" s="55" t="s">
        <v>601</v>
      </c>
      <c r="H62" s="245"/>
      <c r="I62" s="822">
        <v>4.5</v>
      </c>
      <c r="J62" s="821">
        <v>-2.65</v>
      </c>
      <c r="K62" s="820">
        <v>-0.68</v>
      </c>
      <c r="L62" s="819">
        <f t="shared" si="1"/>
        <v>25.590081000000001</v>
      </c>
      <c r="M62" s="523" t="s">
        <v>239</v>
      </c>
      <c r="N62" s="171" t="s">
        <v>85</v>
      </c>
      <c r="O62" s="171" t="s">
        <v>95</v>
      </c>
      <c r="P62" s="172" t="s">
        <v>118</v>
      </c>
      <c r="Q62" s="171" t="s">
        <v>58</v>
      </c>
      <c r="R62" s="174" t="s">
        <v>342</v>
      </c>
      <c r="S62" s="175" t="s">
        <v>342</v>
      </c>
      <c r="T62" s="176" t="s">
        <v>762</v>
      </c>
    </row>
    <row r="63" spans="1:20">
      <c r="A63" s="167" t="s">
        <v>340</v>
      </c>
      <c r="B63" s="55" t="s">
        <v>89</v>
      </c>
      <c r="C63" s="55">
        <v>13</v>
      </c>
      <c r="D63" s="55">
        <v>3</v>
      </c>
      <c r="E63" s="558" t="s">
        <v>354</v>
      </c>
      <c r="F63" s="55">
        <v>28.37</v>
      </c>
      <c r="G63" s="55" t="s">
        <v>601</v>
      </c>
      <c r="H63" s="245"/>
      <c r="I63" s="822">
        <v>5.07</v>
      </c>
      <c r="J63" s="821">
        <v>-3.07</v>
      </c>
      <c r="K63" s="820">
        <v>-0.68</v>
      </c>
      <c r="L63" s="819">
        <f t="shared" si="1"/>
        <v>27.703688999999997</v>
      </c>
      <c r="M63" s="523" t="s">
        <v>239</v>
      </c>
      <c r="N63" s="171" t="s">
        <v>85</v>
      </c>
      <c r="O63" s="171" t="s">
        <v>95</v>
      </c>
      <c r="P63" s="172" t="s">
        <v>118</v>
      </c>
      <c r="Q63" s="171" t="s">
        <v>58</v>
      </c>
      <c r="R63" s="174" t="s">
        <v>342</v>
      </c>
      <c r="S63" s="175" t="s">
        <v>342</v>
      </c>
      <c r="T63" s="176" t="s">
        <v>762</v>
      </c>
    </row>
    <row r="64" spans="1:20">
      <c r="A64" s="167" t="s">
        <v>340</v>
      </c>
      <c r="B64" s="55" t="s">
        <v>89</v>
      </c>
      <c r="C64" s="55">
        <v>13</v>
      </c>
      <c r="D64" s="55">
        <v>3</v>
      </c>
      <c r="E64" s="558" t="s">
        <v>354</v>
      </c>
      <c r="F64" s="55">
        <v>28.37</v>
      </c>
      <c r="G64" s="55" t="s">
        <v>601</v>
      </c>
      <c r="H64" s="245"/>
      <c r="I64" s="822">
        <v>5.66</v>
      </c>
      <c r="J64" s="821">
        <v>-3.32</v>
      </c>
      <c r="K64" s="820">
        <v>-0.68</v>
      </c>
      <c r="L64" s="819">
        <f t="shared" si="1"/>
        <v>28.976863999999999</v>
      </c>
      <c r="M64" s="523" t="s">
        <v>239</v>
      </c>
      <c r="N64" s="171" t="s">
        <v>85</v>
      </c>
      <c r="O64" s="171" t="s">
        <v>95</v>
      </c>
      <c r="P64" s="172" t="s">
        <v>118</v>
      </c>
      <c r="Q64" s="171" t="s">
        <v>58</v>
      </c>
      <c r="R64" s="174" t="s">
        <v>342</v>
      </c>
      <c r="S64" s="175" t="s">
        <v>342</v>
      </c>
      <c r="T64" s="176" t="s">
        <v>762</v>
      </c>
    </row>
    <row r="65" spans="1:20">
      <c r="A65" s="167" t="s">
        <v>340</v>
      </c>
      <c r="B65" s="55" t="s">
        <v>89</v>
      </c>
      <c r="C65" s="55">
        <v>13</v>
      </c>
      <c r="D65" s="55">
        <v>3</v>
      </c>
      <c r="E65" s="558" t="s">
        <v>354</v>
      </c>
      <c r="F65" s="55">
        <v>28.37</v>
      </c>
      <c r="G65" s="55" t="s">
        <v>601</v>
      </c>
      <c r="H65" s="245"/>
      <c r="I65" s="822">
        <v>5.6</v>
      </c>
      <c r="J65" s="821">
        <v>-3.45</v>
      </c>
      <c r="K65" s="820">
        <v>-0.68</v>
      </c>
      <c r="L65" s="819">
        <f t="shared" si="1"/>
        <v>29.643360999999999</v>
      </c>
      <c r="M65" s="523" t="s">
        <v>239</v>
      </c>
      <c r="N65" s="171" t="s">
        <v>85</v>
      </c>
      <c r="O65" s="171" t="s">
        <v>95</v>
      </c>
      <c r="P65" s="172" t="s">
        <v>118</v>
      </c>
      <c r="Q65" s="171" t="s">
        <v>58</v>
      </c>
      <c r="R65" s="174" t="s">
        <v>342</v>
      </c>
      <c r="S65" s="175" t="s">
        <v>342</v>
      </c>
      <c r="T65" s="176" t="s">
        <v>762</v>
      </c>
    </row>
    <row r="66" spans="1:20">
      <c r="A66" s="167" t="s">
        <v>340</v>
      </c>
      <c r="B66" s="55" t="s">
        <v>89</v>
      </c>
      <c r="C66" s="55">
        <v>13</v>
      </c>
      <c r="D66" s="55">
        <v>3</v>
      </c>
      <c r="E66" s="558" t="s">
        <v>354</v>
      </c>
      <c r="F66" s="55">
        <v>28.37</v>
      </c>
      <c r="G66" s="55" t="s">
        <v>601</v>
      </c>
      <c r="H66" s="245"/>
      <c r="I66" s="822">
        <v>5.48</v>
      </c>
      <c r="J66" s="821">
        <v>-3.25</v>
      </c>
      <c r="K66" s="820">
        <v>-0.68</v>
      </c>
      <c r="L66" s="819">
        <f t="shared" si="1"/>
        <v>28.619240999999999</v>
      </c>
      <c r="M66" s="523" t="s">
        <v>195</v>
      </c>
      <c r="N66" s="171" t="s">
        <v>85</v>
      </c>
      <c r="O66" s="171" t="s">
        <v>95</v>
      </c>
      <c r="P66" s="172" t="s">
        <v>118</v>
      </c>
      <c r="Q66" s="171" t="s">
        <v>58</v>
      </c>
      <c r="R66" s="174" t="s">
        <v>342</v>
      </c>
      <c r="S66" s="175" t="s">
        <v>342</v>
      </c>
      <c r="T66" s="176" t="s">
        <v>762</v>
      </c>
    </row>
    <row r="67" spans="1:20">
      <c r="A67" s="167" t="s">
        <v>340</v>
      </c>
      <c r="B67" s="55" t="s">
        <v>89</v>
      </c>
      <c r="C67" s="55">
        <v>13</v>
      </c>
      <c r="D67" s="55">
        <v>3</v>
      </c>
      <c r="E67" s="558" t="s">
        <v>347</v>
      </c>
      <c r="F67" s="55">
        <v>28.87</v>
      </c>
      <c r="G67" s="55" t="s">
        <v>601</v>
      </c>
      <c r="H67" s="245"/>
      <c r="I67" s="822">
        <v>5.19</v>
      </c>
      <c r="J67" s="821">
        <v>-3.69</v>
      </c>
      <c r="K67" s="820">
        <v>-0.68</v>
      </c>
      <c r="L67" s="819">
        <f t="shared" si="1"/>
        <v>30.881809000000001</v>
      </c>
      <c r="M67" s="523" t="s">
        <v>258</v>
      </c>
      <c r="N67" s="171" t="s">
        <v>85</v>
      </c>
      <c r="O67" s="171" t="s">
        <v>95</v>
      </c>
      <c r="P67" s="172" t="s">
        <v>118</v>
      </c>
      <c r="Q67" s="171" t="s">
        <v>58</v>
      </c>
      <c r="R67" s="174" t="s">
        <v>342</v>
      </c>
      <c r="S67" s="175" t="s">
        <v>342</v>
      </c>
      <c r="T67" s="176" t="s">
        <v>762</v>
      </c>
    </row>
    <row r="68" spans="1:20">
      <c r="A68" s="167" t="s">
        <v>340</v>
      </c>
      <c r="B68" s="55" t="s">
        <v>89</v>
      </c>
      <c r="C68" s="55">
        <v>13</v>
      </c>
      <c r="D68" s="55">
        <v>3</v>
      </c>
      <c r="E68" s="558" t="s">
        <v>347</v>
      </c>
      <c r="F68" s="55">
        <v>28.87</v>
      </c>
      <c r="G68" s="55" t="s">
        <v>601</v>
      </c>
      <c r="H68" s="245"/>
      <c r="I68" s="822">
        <v>5.25</v>
      </c>
      <c r="J68" s="821">
        <v>-3.51</v>
      </c>
      <c r="K68" s="820">
        <v>-0.68</v>
      </c>
      <c r="L68" s="819">
        <f t="shared" si="1"/>
        <v>29.952000999999999</v>
      </c>
      <c r="M68" s="523" t="s">
        <v>258</v>
      </c>
      <c r="N68" s="171" t="s">
        <v>85</v>
      </c>
      <c r="O68" s="171" t="s">
        <v>95</v>
      </c>
      <c r="P68" s="172" t="s">
        <v>118</v>
      </c>
      <c r="Q68" s="171" t="s">
        <v>58</v>
      </c>
      <c r="R68" s="174" t="s">
        <v>342</v>
      </c>
      <c r="S68" s="175" t="s">
        <v>342</v>
      </c>
      <c r="T68" s="176" t="s">
        <v>762</v>
      </c>
    </row>
    <row r="69" spans="1:20">
      <c r="A69" s="167" t="s">
        <v>340</v>
      </c>
      <c r="B69" s="55" t="s">
        <v>89</v>
      </c>
      <c r="C69" s="55">
        <v>13</v>
      </c>
      <c r="D69" s="55">
        <v>3</v>
      </c>
      <c r="E69" s="558" t="s">
        <v>347</v>
      </c>
      <c r="F69" s="55">
        <v>28.87</v>
      </c>
      <c r="G69" s="55" t="s">
        <v>601</v>
      </c>
      <c r="H69" s="245"/>
      <c r="I69" s="822">
        <v>5.72</v>
      </c>
      <c r="J69" s="821">
        <v>-3.63</v>
      </c>
      <c r="K69" s="820">
        <v>-0.68</v>
      </c>
      <c r="L69" s="819">
        <f t="shared" si="1"/>
        <v>30.571224999999998</v>
      </c>
      <c r="M69" s="523" t="s">
        <v>258</v>
      </c>
      <c r="N69" s="171" t="s">
        <v>85</v>
      </c>
      <c r="O69" s="171" t="s">
        <v>95</v>
      </c>
      <c r="P69" s="172" t="s">
        <v>118</v>
      </c>
      <c r="Q69" s="171" t="s">
        <v>58</v>
      </c>
      <c r="R69" s="174" t="s">
        <v>342</v>
      </c>
      <c r="S69" s="175" t="s">
        <v>342</v>
      </c>
      <c r="T69" s="176" t="s">
        <v>762</v>
      </c>
    </row>
    <row r="70" spans="1:20">
      <c r="A70" s="167" t="s">
        <v>340</v>
      </c>
      <c r="B70" s="55" t="s">
        <v>89</v>
      </c>
      <c r="C70" s="55">
        <v>13</v>
      </c>
      <c r="D70" s="55">
        <v>3</v>
      </c>
      <c r="E70" s="558" t="s">
        <v>347</v>
      </c>
      <c r="F70" s="55">
        <v>28.87</v>
      </c>
      <c r="G70" s="55" t="s">
        <v>601</v>
      </c>
      <c r="H70" s="245"/>
      <c r="I70" s="822">
        <v>5.13</v>
      </c>
      <c r="J70" s="821">
        <v>-3.29</v>
      </c>
      <c r="K70" s="820">
        <v>-0.68</v>
      </c>
      <c r="L70" s="819">
        <f t="shared" si="1"/>
        <v>28.823488999999999</v>
      </c>
      <c r="M70" s="523" t="s">
        <v>258</v>
      </c>
      <c r="N70" s="171" t="s">
        <v>85</v>
      </c>
      <c r="O70" s="171" t="s">
        <v>95</v>
      </c>
      <c r="P70" s="172" t="s">
        <v>118</v>
      </c>
      <c r="Q70" s="171" t="s">
        <v>58</v>
      </c>
      <c r="R70" s="174" t="s">
        <v>342</v>
      </c>
      <c r="S70" s="175" t="s">
        <v>342</v>
      </c>
      <c r="T70" s="176" t="s">
        <v>762</v>
      </c>
    </row>
    <row r="71" spans="1:20">
      <c r="A71" s="167" t="s">
        <v>340</v>
      </c>
      <c r="B71" s="55" t="s">
        <v>89</v>
      </c>
      <c r="C71" s="55">
        <v>14</v>
      </c>
      <c r="D71" s="55">
        <v>1</v>
      </c>
      <c r="E71" s="558" t="s">
        <v>359</v>
      </c>
      <c r="F71" s="55">
        <v>29.07</v>
      </c>
      <c r="G71" s="55" t="s">
        <v>601</v>
      </c>
      <c r="H71" s="245"/>
      <c r="I71" s="822">
        <v>5.36</v>
      </c>
      <c r="J71" s="821">
        <v>-3.55</v>
      </c>
      <c r="K71" s="820">
        <v>-0.68</v>
      </c>
      <c r="L71" s="819">
        <f t="shared" si="1"/>
        <v>30.158120999999998</v>
      </c>
      <c r="M71" s="523" t="s">
        <v>239</v>
      </c>
      <c r="N71" s="171" t="s">
        <v>85</v>
      </c>
      <c r="O71" s="171" t="s">
        <v>95</v>
      </c>
      <c r="P71" s="172" t="s">
        <v>118</v>
      </c>
      <c r="Q71" s="171" t="s">
        <v>58</v>
      </c>
      <c r="R71" s="174" t="s">
        <v>342</v>
      </c>
      <c r="S71" s="175" t="s">
        <v>342</v>
      </c>
      <c r="T71" s="176" t="s">
        <v>762</v>
      </c>
    </row>
    <row r="72" spans="1:20">
      <c r="A72" s="167" t="s">
        <v>340</v>
      </c>
      <c r="B72" s="55" t="s">
        <v>89</v>
      </c>
      <c r="C72" s="55">
        <v>14</v>
      </c>
      <c r="D72" s="55">
        <v>1</v>
      </c>
      <c r="E72" s="558" t="s">
        <v>359</v>
      </c>
      <c r="F72" s="55">
        <v>29.07</v>
      </c>
      <c r="G72" s="55" t="s">
        <v>601</v>
      </c>
      <c r="H72" s="245"/>
      <c r="I72" s="822">
        <v>5.43</v>
      </c>
      <c r="J72" s="821">
        <v>-2.7</v>
      </c>
      <c r="K72" s="820">
        <v>-0.68</v>
      </c>
      <c r="L72" s="819">
        <f t="shared" si="1"/>
        <v>25.840035999999998</v>
      </c>
      <c r="M72" s="523" t="s">
        <v>239</v>
      </c>
      <c r="N72" s="171" t="s">
        <v>85</v>
      </c>
      <c r="O72" s="171" t="s">
        <v>95</v>
      </c>
      <c r="P72" s="172" t="s">
        <v>118</v>
      </c>
      <c r="Q72" s="171" t="s">
        <v>58</v>
      </c>
      <c r="R72" s="174" t="s">
        <v>342</v>
      </c>
      <c r="S72" s="175" t="s">
        <v>342</v>
      </c>
      <c r="T72" s="176" t="s">
        <v>762</v>
      </c>
    </row>
    <row r="73" spans="1:20">
      <c r="A73" s="167" t="s">
        <v>340</v>
      </c>
      <c r="B73" s="55" t="s">
        <v>89</v>
      </c>
      <c r="C73" s="55">
        <v>14</v>
      </c>
      <c r="D73" s="55">
        <v>1</v>
      </c>
      <c r="E73" s="558" t="s">
        <v>359</v>
      </c>
      <c r="F73" s="55">
        <v>29.07</v>
      </c>
      <c r="G73" s="55" t="s">
        <v>601</v>
      </c>
      <c r="H73" s="245"/>
      <c r="I73" s="822">
        <v>5.0999999999999996</v>
      </c>
      <c r="J73" s="821">
        <v>-2.78</v>
      </c>
      <c r="K73" s="820">
        <v>-0.68</v>
      </c>
      <c r="L73" s="819">
        <f t="shared" si="1"/>
        <v>26.2409</v>
      </c>
      <c r="M73" s="523" t="s">
        <v>239</v>
      </c>
      <c r="N73" s="171" t="s">
        <v>85</v>
      </c>
      <c r="O73" s="171" t="s">
        <v>95</v>
      </c>
      <c r="P73" s="172" t="s">
        <v>118</v>
      </c>
      <c r="Q73" s="171" t="s">
        <v>58</v>
      </c>
      <c r="R73" s="174" t="s">
        <v>342</v>
      </c>
      <c r="S73" s="175" t="s">
        <v>342</v>
      </c>
      <c r="T73" s="176" t="s">
        <v>762</v>
      </c>
    </row>
    <row r="74" spans="1:20">
      <c r="A74" s="177" t="s">
        <v>340</v>
      </c>
      <c r="B74" s="221" t="s">
        <v>89</v>
      </c>
      <c r="C74" s="221">
        <v>14</v>
      </c>
      <c r="D74" s="221">
        <v>1</v>
      </c>
      <c r="E74" s="559" t="s">
        <v>359</v>
      </c>
      <c r="F74" s="221">
        <v>29.07</v>
      </c>
      <c r="G74" s="221" t="s">
        <v>601</v>
      </c>
      <c r="H74" s="922"/>
      <c r="I74" s="924">
        <v>5.69</v>
      </c>
      <c r="J74" s="925">
        <v>-3.38</v>
      </c>
      <c r="K74" s="926">
        <v>-0.68</v>
      </c>
      <c r="L74" s="927">
        <f t="shared" si="1"/>
        <v>29.284099999999999</v>
      </c>
      <c r="M74" s="923" t="s">
        <v>239</v>
      </c>
      <c r="N74" s="184" t="s">
        <v>85</v>
      </c>
      <c r="O74" s="184" t="s">
        <v>95</v>
      </c>
      <c r="P74" s="185" t="s">
        <v>118</v>
      </c>
      <c r="Q74" s="184" t="s">
        <v>58</v>
      </c>
      <c r="R74" s="187" t="s">
        <v>342</v>
      </c>
      <c r="S74" s="919" t="s">
        <v>342</v>
      </c>
      <c r="T74" s="905" t="s">
        <v>762</v>
      </c>
    </row>
    <row r="75" spans="1:20">
      <c r="A75" s="167" t="s">
        <v>340</v>
      </c>
      <c r="B75" s="55" t="s">
        <v>143</v>
      </c>
      <c r="C75" s="55"/>
      <c r="D75" s="55"/>
      <c r="E75" s="558"/>
      <c r="F75" s="55">
        <v>13.5</v>
      </c>
      <c r="G75" s="55" t="s">
        <v>20</v>
      </c>
      <c r="H75" s="245"/>
      <c r="I75" s="245">
        <v>-2.58</v>
      </c>
      <c r="J75" s="175">
        <v>-2.84</v>
      </c>
      <c r="K75" s="148">
        <v>-0.68</v>
      </c>
      <c r="L75" s="564">
        <v>26.743600000000001</v>
      </c>
      <c r="M75" s="523" t="s">
        <v>355</v>
      </c>
      <c r="N75" s="171" t="s">
        <v>85</v>
      </c>
      <c r="O75" s="171" t="s">
        <v>95</v>
      </c>
      <c r="P75" s="172" t="s">
        <v>118</v>
      </c>
      <c r="Q75" s="171" t="s">
        <v>58</v>
      </c>
      <c r="R75" s="174" t="s">
        <v>342</v>
      </c>
      <c r="S75" s="175" t="s">
        <v>342</v>
      </c>
      <c r="T75" s="176" t="s">
        <v>762</v>
      </c>
    </row>
    <row r="76" spans="1:20">
      <c r="A76" s="167" t="s">
        <v>340</v>
      </c>
      <c r="B76" s="55" t="s">
        <v>89</v>
      </c>
      <c r="C76" s="55">
        <v>6</v>
      </c>
      <c r="D76" s="55">
        <v>3</v>
      </c>
      <c r="E76" s="558" t="s">
        <v>221</v>
      </c>
      <c r="F76" s="55">
        <v>13.97</v>
      </c>
      <c r="G76" s="55" t="s">
        <v>20</v>
      </c>
      <c r="H76" s="245"/>
      <c r="I76" s="245">
        <v>-2.72</v>
      </c>
      <c r="J76" s="175">
        <v>-3.65</v>
      </c>
      <c r="K76" s="154">
        <v>-0.68</v>
      </c>
      <c r="L76" s="661">
        <f t="shared" ref="L76:L77" si="2">16.1-4.64*($J76-K76)+0.09*($J76-K76)^2</f>
        <v>30.674681</v>
      </c>
      <c r="M76" s="523" t="s">
        <v>256</v>
      </c>
      <c r="N76" s="171" t="s">
        <v>85</v>
      </c>
      <c r="O76" s="171" t="s">
        <v>95</v>
      </c>
      <c r="P76" s="172" t="s">
        <v>118</v>
      </c>
      <c r="Q76" s="171" t="s">
        <v>58</v>
      </c>
      <c r="R76" s="174" t="s">
        <v>342</v>
      </c>
      <c r="S76" s="175" t="s">
        <v>342</v>
      </c>
      <c r="T76" s="176" t="s">
        <v>762</v>
      </c>
    </row>
    <row r="77" spans="1:20">
      <c r="A77" s="167" t="s">
        <v>340</v>
      </c>
      <c r="B77" s="55" t="s">
        <v>143</v>
      </c>
      <c r="C77" s="55"/>
      <c r="D77" s="55"/>
      <c r="E77" s="558"/>
      <c r="F77" s="55">
        <v>14.12</v>
      </c>
      <c r="G77" s="55" t="s">
        <v>20</v>
      </c>
      <c r="H77" s="245"/>
      <c r="I77" s="245">
        <v>-1.57</v>
      </c>
      <c r="J77" s="175">
        <v>-2.81</v>
      </c>
      <c r="K77" s="154">
        <v>-0.68</v>
      </c>
      <c r="L77" s="661">
        <f t="shared" si="2"/>
        <v>26.391521000000001</v>
      </c>
      <c r="M77" s="523" t="s">
        <v>198</v>
      </c>
      <c r="N77" s="171" t="s">
        <v>85</v>
      </c>
      <c r="O77" s="171" t="s">
        <v>95</v>
      </c>
      <c r="P77" s="172" t="s">
        <v>118</v>
      </c>
      <c r="Q77" s="171" t="s">
        <v>58</v>
      </c>
      <c r="R77" s="174" t="s">
        <v>342</v>
      </c>
      <c r="S77" s="175" t="s">
        <v>342</v>
      </c>
      <c r="T77" s="176" t="s">
        <v>762</v>
      </c>
    </row>
    <row r="78" spans="1:20">
      <c r="A78" s="167" t="s">
        <v>340</v>
      </c>
      <c r="B78" s="55" t="s">
        <v>89</v>
      </c>
      <c r="C78" s="55">
        <v>12</v>
      </c>
      <c r="D78" s="55">
        <v>2</v>
      </c>
      <c r="E78" s="558" t="s">
        <v>348</v>
      </c>
      <c r="F78" s="55">
        <v>24.33</v>
      </c>
      <c r="G78" s="55" t="s">
        <v>601</v>
      </c>
      <c r="H78" s="245"/>
      <c r="I78" s="245">
        <v>0.93</v>
      </c>
      <c r="J78" s="175">
        <v>-3.1</v>
      </c>
      <c r="K78" s="154">
        <v>-0.68</v>
      </c>
      <c r="L78" s="661">
        <f t="shared" ref="L78:L95" si="3">16.1-4.64*($J78-K78)+0.09*($J78-K78)^2</f>
        <v>27.855876000000002</v>
      </c>
      <c r="M78" s="523" t="s">
        <v>256</v>
      </c>
      <c r="N78" s="171" t="s">
        <v>85</v>
      </c>
      <c r="O78" s="171" t="s">
        <v>95</v>
      </c>
      <c r="P78" s="172" t="s">
        <v>118</v>
      </c>
      <c r="Q78" s="171" t="s">
        <v>58</v>
      </c>
      <c r="R78" s="174" t="s">
        <v>342</v>
      </c>
      <c r="S78" s="175" t="s">
        <v>342</v>
      </c>
      <c r="T78" s="176" t="s">
        <v>762</v>
      </c>
    </row>
    <row r="79" spans="1:20">
      <c r="A79" s="167" t="s">
        <v>340</v>
      </c>
      <c r="B79" s="55" t="s">
        <v>89</v>
      </c>
      <c r="C79" s="55">
        <v>12</v>
      </c>
      <c r="D79" s="55">
        <v>2</v>
      </c>
      <c r="E79" s="558" t="s">
        <v>348</v>
      </c>
      <c r="F79" s="55">
        <v>24.33</v>
      </c>
      <c r="G79" s="55" t="s">
        <v>601</v>
      </c>
      <c r="H79" s="245"/>
      <c r="I79" s="245">
        <v>0.95</v>
      </c>
      <c r="J79" s="175">
        <v>-3.08</v>
      </c>
      <c r="K79" s="154">
        <v>-0.68</v>
      </c>
      <c r="L79" s="661">
        <f t="shared" si="3"/>
        <v>27.7544</v>
      </c>
      <c r="M79" s="523" t="s">
        <v>256</v>
      </c>
      <c r="N79" s="171" t="s">
        <v>85</v>
      </c>
      <c r="O79" s="171" t="s">
        <v>95</v>
      </c>
      <c r="P79" s="172" t="s">
        <v>118</v>
      </c>
      <c r="Q79" s="171" t="s">
        <v>58</v>
      </c>
      <c r="R79" s="174" t="s">
        <v>342</v>
      </c>
      <c r="S79" s="175" t="s">
        <v>342</v>
      </c>
      <c r="T79" s="176" t="s">
        <v>762</v>
      </c>
    </row>
    <row r="80" spans="1:20">
      <c r="A80" s="167" t="s">
        <v>340</v>
      </c>
      <c r="B80" s="55" t="s">
        <v>89</v>
      </c>
      <c r="C80" s="55">
        <v>12</v>
      </c>
      <c r="D80" s="55">
        <v>2</v>
      </c>
      <c r="E80" s="558" t="s">
        <v>348</v>
      </c>
      <c r="F80" s="55">
        <v>24.33</v>
      </c>
      <c r="G80" s="55" t="s">
        <v>601</v>
      </c>
      <c r="H80" s="245"/>
      <c r="I80" s="245">
        <v>0.91</v>
      </c>
      <c r="J80" s="175">
        <v>-3.12</v>
      </c>
      <c r="K80" s="154">
        <v>-0.68</v>
      </c>
      <c r="L80" s="661">
        <f t="shared" si="3"/>
        <v>27.957424</v>
      </c>
      <c r="M80" s="523" t="s">
        <v>256</v>
      </c>
      <c r="N80" s="171" t="s">
        <v>85</v>
      </c>
      <c r="O80" s="171" t="s">
        <v>95</v>
      </c>
      <c r="P80" s="172" t="s">
        <v>118</v>
      </c>
      <c r="Q80" s="171" t="s">
        <v>58</v>
      </c>
      <c r="R80" s="174" t="s">
        <v>342</v>
      </c>
      <c r="S80" s="175" t="s">
        <v>342</v>
      </c>
      <c r="T80" s="176" t="s">
        <v>762</v>
      </c>
    </row>
    <row r="81" spans="1:20">
      <c r="A81" s="167" t="s">
        <v>340</v>
      </c>
      <c r="B81" s="55" t="s">
        <v>89</v>
      </c>
      <c r="C81" s="55">
        <v>12</v>
      </c>
      <c r="D81" s="55">
        <v>2</v>
      </c>
      <c r="E81" s="558" t="s">
        <v>348</v>
      </c>
      <c r="F81" s="55">
        <v>24.33</v>
      </c>
      <c r="G81" s="55" t="s">
        <v>601</v>
      </c>
      <c r="H81" s="245"/>
      <c r="I81" s="245">
        <v>1.01</v>
      </c>
      <c r="J81" s="175">
        <v>-3.18</v>
      </c>
      <c r="K81" s="154">
        <v>-0.68</v>
      </c>
      <c r="L81" s="661">
        <f t="shared" si="3"/>
        <v>28.262500000000003</v>
      </c>
      <c r="M81" s="523" t="s">
        <v>256</v>
      </c>
      <c r="N81" s="171" t="s">
        <v>85</v>
      </c>
      <c r="O81" s="171" t="s">
        <v>95</v>
      </c>
      <c r="P81" s="172" t="s">
        <v>118</v>
      </c>
      <c r="Q81" s="171" t="s">
        <v>58</v>
      </c>
      <c r="R81" s="174" t="s">
        <v>342</v>
      </c>
      <c r="S81" s="175" t="s">
        <v>342</v>
      </c>
      <c r="T81" s="176" t="s">
        <v>762</v>
      </c>
    </row>
    <row r="82" spans="1:20">
      <c r="A82" s="167" t="s">
        <v>340</v>
      </c>
      <c r="B82" s="55" t="s">
        <v>89</v>
      </c>
      <c r="C82" s="55">
        <v>12</v>
      </c>
      <c r="D82" s="55">
        <v>2</v>
      </c>
      <c r="E82" s="558" t="s">
        <v>346</v>
      </c>
      <c r="F82" s="55">
        <v>24.53</v>
      </c>
      <c r="G82" s="55" t="s">
        <v>601</v>
      </c>
      <c r="H82" s="245"/>
      <c r="I82" s="245">
        <v>0.83</v>
      </c>
      <c r="J82" s="175">
        <v>-2.35</v>
      </c>
      <c r="K82" s="154">
        <v>-0.68</v>
      </c>
      <c r="L82" s="661">
        <f t="shared" si="3"/>
        <v>24.099800999999999</v>
      </c>
      <c r="M82" s="523" t="s">
        <v>256</v>
      </c>
      <c r="N82" s="171" t="s">
        <v>85</v>
      </c>
      <c r="O82" s="171" t="s">
        <v>95</v>
      </c>
      <c r="P82" s="172" t="s">
        <v>118</v>
      </c>
      <c r="Q82" s="171" t="s">
        <v>58</v>
      </c>
      <c r="R82" s="174" t="s">
        <v>342</v>
      </c>
      <c r="S82" s="175" t="s">
        <v>342</v>
      </c>
      <c r="T82" s="176" t="s">
        <v>762</v>
      </c>
    </row>
    <row r="83" spans="1:20">
      <c r="A83" s="167" t="s">
        <v>340</v>
      </c>
      <c r="B83" s="55" t="s">
        <v>89</v>
      </c>
      <c r="C83" s="55">
        <v>12</v>
      </c>
      <c r="D83" s="55">
        <v>2</v>
      </c>
      <c r="E83" s="558" t="s">
        <v>349</v>
      </c>
      <c r="F83" s="55">
        <v>24.78</v>
      </c>
      <c r="G83" s="55" t="s">
        <v>601</v>
      </c>
      <c r="H83" s="245"/>
      <c r="I83" s="245">
        <v>1.19</v>
      </c>
      <c r="J83" s="175">
        <v>-2.56</v>
      </c>
      <c r="K83" s="154">
        <v>-0.68</v>
      </c>
      <c r="L83" s="661">
        <f t="shared" si="3"/>
        <v>25.141296000000001</v>
      </c>
      <c r="M83" s="523" t="s">
        <v>256</v>
      </c>
      <c r="N83" s="171" t="s">
        <v>85</v>
      </c>
      <c r="O83" s="171" t="s">
        <v>95</v>
      </c>
      <c r="P83" s="172" t="s">
        <v>118</v>
      </c>
      <c r="Q83" s="171" t="s">
        <v>58</v>
      </c>
      <c r="R83" s="174" t="s">
        <v>342</v>
      </c>
      <c r="S83" s="175" t="s">
        <v>342</v>
      </c>
      <c r="T83" s="176" t="s">
        <v>762</v>
      </c>
    </row>
    <row r="84" spans="1:20">
      <c r="A84" s="167" t="s">
        <v>340</v>
      </c>
      <c r="B84" s="55" t="s">
        <v>89</v>
      </c>
      <c r="C84" s="55">
        <v>12</v>
      </c>
      <c r="D84" s="55">
        <v>2</v>
      </c>
      <c r="E84" s="558" t="s">
        <v>423</v>
      </c>
      <c r="F84" s="55">
        <v>24.78</v>
      </c>
      <c r="G84" s="55" t="s">
        <v>601</v>
      </c>
      <c r="H84" s="245"/>
      <c r="I84" s="245">
        <v>0.8</v>
      </c>
      <c r="J84" s="175">
        <v>-2.65</v>
      </c>
      <c r="K84" s="154">
        <v>-0.68</v>
      </c>
      <c r="L84" s="661">
        <f t="shared" si="3"/>
        <v>25.590081000000001</v>
      </c>
      <c r="M84" s="523" t="s">
        <v>256</v>
      </c>
      <c r="N84" s="171" t="s">
        <v>85</v>
      </c>
      <c r="O84" s="171" t="s">
        <v>95</v>
      </c>
      <c r="P84" s="172" t="s">
        <v>118</v>
      </c>
      <c r="Q84" s="171" t="s">
        <v>58</v>
      </c>
      <c r="R84" s="174" t="s">
        <v>342</v>
      </c>
      <c r="S84" s="175" t="s">
        <v>342</v>
      </c>
      <c r="T84" s="176" t="s">
        <v>762</v>
      </c>
    </row>
    <row r="85" spans="1:20">
      <c r="A85" s="167" t="s">
        <v>340</v>
      </c>
      <c r="B85" s="55" t="s">
        <v>143</v>
      </c>
      <c r="C85" s="55"/>
      <c r="D85" s="55"/>
      <c r="E85" s="558"/>
      <c r="F85" s="55">
        <v>24.86</v>
      </c>
      <c r="G85" s="55" t="s">
        <v>601</v>
      </c>
      <c r="H85" s="245"/>
      <c r="I85" s="245">
        <v>1.47</v>
      </c>
      <c r="J85" s="175">
        <v>-2.5299999999999998</v>
      </c>
      <c r="K85" s="154">
        <v>-0.68</v>
      </c>
      <c r="L85" s="661">
        <f t="shared" si="3"/>
        <v>24.992024999999998</v>
      </c>
      <c r="M85" s="523" t="s">
        <v>355</v>
      </c>
      <c r="N85" s="171" t="s">
        <v>85</v>
      </c>
      <c r="O85" s="171" t="s">
        <v>95</v>
      </c>
      <c r="P85" s="172" t="s">
        <v>118</v>
      </c>
      <c r="Q85" s="171" t="s">
        <v>58</v>
      </c>
      <c r="R85" s="174" t="s">
        <v>342</v>
      </c>
      <c r="S85" s="175" t="s">
        <v>342</v>
      </c>
      <c r="T85" s="176" t="s">
        <v>762</v>
      </c>
    </row>
    <row r="86" spans="1:20">
      <c r="A86" s="167" t="s">
        <v>340</v>
      </c>
      <c r="B86" s="55" t="s">
        <v>89</v>
      </c>
      <c r="C86" s="55">
        <v>13</v>
      </c>
      <c r="D86" s="55">
        <v>1</v>
      </c>
      <c r="E86" s="558" t="s">
        <v>354</v>
      </c>
      <c r="F86" s="55">
        <v>26.37</v>
      </c>
      <c r="G86" s="55" t="s">
        <v>601</v>
      </c>
      <c r="H86" s="245"/>
      <c r="I86" s="245">
        <v>1.43</v>
      </c>
      <c r="J86" s="175">
        <v>-2.69</v>
      </c>
      <c r="K86" s="154">
        <v>-0.68</v>
      </c>
      <c r="L86" s="661">
        <f t="shared" si="3"/>
        <v>25.790009000000001</v>
      </c>
      <c r="M86" s="523" t="s">
        <v>256</v>
      </c>
      <c r="N86" s="171" t="s">
        <v>85</v>
      </c>
      <c r="O86" s="171" t="s">
        <v>95</v>
      </c>
      <c r="P86" s="172" t="s">
        <v>118</v>
      </c>
      <c r="Q86" s="171" t="s">
        <v>58</v>
      </c>
      <c r="R86" s="174" t="s">
        <v>342</v>
      </c>
      <c r="S86" s="175" t="s">
        <v>342</v>
      </c>
      <c r="T86" s="176" t="s">
        <v>762</v>
      </c>
    </row>
    <row r="87" spans="1:20">
      <c r="A87" s="167" t="s">
        <v>340</v>
      </c>
      <c r="B87" s="55" t="s">
        <v>143</v>
      </c>
      <c r="C87" s="55"/>
      <c r="D87" s="55"/>
      <c r="E87" s="558"/>
      <c r="F87" s="55">
        <v>26.85</v>
      </c>
      <c r="G87" s="55" t="s">
        <v>601</v>
      </c>
      <c r="H87" s="245"/>
      <c r="I87" s="245">
        <v>1.79</v>
      </c>
      <c r="J87" s="175">
        <v>-2.72</v>
      </c>
      <c r="K87" s="154">
        <v>-0.68</v>
      </c>
      <c r="L87" s="661">
        <f t="shared" si="3"/>
        <v>25.940144000000004</v>
      </c>
      <c r="M87" s="523" t="s">
        <v>198</v>
      </c>
      <c r="N87" s="171" t="s">
        <v>85</v>
      </c>
      <c r="O87" s="171" t="s">
        <v>95</v>
      </c>
      <c r="P87" s="172" t="s">
        <v>118</v>
      </c>
      <c r="Q87" s="171" t="s">
        <v>58</v>
      </c>
      <c r="R87" s="174" t="s">
        <v>342</v>
      </c>
      <c r="S87" s="175" t="s">
        <v>342</v>
      </c>
      <c r="T87" s="176" t="s">
        <v>762</v>
      </c>
    </row>
    <row r="88" spans="1:20">
      <c r="A88" s="167" t="s">
        <v>340</v>
      </c>
      <c r="B88" s="55" t="s">
        <v>89</v>
      </c>
      <c r="C88" s="55">
        <v>13</v>
      </c>
      <c r="D88" s="55">
        <v>2</v>
      </c>
      <c r="E88" s="558" t="s">
        <v>344</v>
      </c>
      <c r="F88" s="55">
        <v>27.67</v>
      </c>
      <c r="G88" s="55" t="s">
        <v>601</v>
      </c>
      <c r="H88" s="245"/>
      <c r="I88" s="245">
        <v>1.74</v>
      </c>
      <c r="J88" s="175">
        <v>-2.2999999999999998</v>
      </c>
      <c r="K88" s="154">
        <v>-0.68</v>
      </c>
      <c r="L88" s="661">
        <f t="shared" si="3"/>
        <v>23.852995999999997</v>
      </c>
      <c r="M88" s="523" t="s">
        <v>256</v>
      </c>
      <c r="N88" s="171" t="s">
        <v>85</v>
      </c>
      <c r="O88" s="171" t="s">
        <v>95</v>
      </c>
      <c r="P88" s="172" t="s">
        <v>118</v>
      </c>
      <c r="Q88" s="171" t="s">
        <v>58</v>
      </c>
      <c r="R88" s="174" t="s">
        <v>342</v>
      </c>
      <c r="S88" s="175" t="s">
        <v>342</v>
      </c>
      <c r="T88" s="176" t="s">
        <v>762</v>
      </c>
    </row>
    <row r="89" spans="1:20">
      <c r="A89" s="167" t="s">
        <v>340</v>
      </c>
      <c r="B89" s="55" t="s">
        <v>89</v>
      </c>
      <c r="C89" s="55">
        <v>13</v>
      </c>
      <c r="D89" s="55">
        <v>2</v>
      </c>
      <c r="E89" s="558" t="s">
        <v>344</v>
      </c>
      <c r="F89" s="55">
        <v>27.67</v>
      </c>
      <c r="G89" s="55" t="s">
        <v>601</v>
      </c>
      <c r="H89" s="245"/>
      <c r="I89" s="245">
        <v>1.84</v>
      </c>
      <c r="J89" s="175">
        <v>-2.58</v>
      </c>
      <c r="K89" s="154">
        <v>-0.68</v>
      </c>
      <c r="L89" s="661">
        <f t="shared" si="3"/>
        <v>25.2409</v>
      </c>
      <c r="M89" s="523" t="s">
        <v>256</v>
      </c>
      <c r="N89" s="171" t="s">
        <v>85</v>
      </c>
      <c r="O89" s="171" t="s">
        <v>95</v>
      </c>
      <c r="P89" s="172" t="s">
        <v>118</v>
      </c>
      <c r="Q89" s="171" t="s">
        <v>58</v>
      </c>
      <c r="R89" s="174" t="s">
        <v>342</v>
      </c>
      <c r="S89" s="175" t="s">
        <v>342</v>
      </c>
      <c r="T89" s="176" t="s">
        <v>762</v>
      </c>
    </row>
    <row r="90" spans="1:20">
      <c r="A90" s="167" t="s">
        <v>340</v>
      </c>
      <c r="B90" s="55" t="s">
        <v>89</v>
      </c>
      <c r="C90" s="55">
        <v>13</v>
      </c>
      <c r="D90" s="55">
        <v>2</v>
      </c>
      <c r="E90" s="558" t="s">
        <v>347</v>
      </c>
      <c r="F90" s="55">
        <v>27.87</v>
      </c>
      <c r="G90" s="55" t="s">
        <v>601</v>
      </c>
      <c r="H90" s="245"/>
      <c r="I90" s="245">
        <v>2.09</v>
      </c>
      <c r="J90" s="175">
        <v>-2.38</v>
      </c>
      <c r="K90" s="154">
        <v>-0.68</v>
      </c>
      <c r="L90" s="661">
        <f t="shared" si="3"/>
        <v>24.248100000000001</v>
      </c>
      <c r="M90" s="523" t="s">
        <v>256</v>
      </c>
      <c r="N90" s="171" t="s">
        <v>85</v>
      </c>
      <c r="O90" s="171" t="s">
        <v>95</v>
      </c>
      <c r="P90" s="172" t="s">
        <v>118</v>
      </c>
      <c r="Q90" s="171" t="s">
        <v>58</v>
      </c>
      <c r="R90" s="174" t="s">
        <v>342</v>
      </c>
      <c r="S90" s="175" t="s">
        <v>342</v>
      </c>
      <c r="T90" s="176" t="s">
        <v>762</v>
      </c>
    </row>
    <row r="91" spans="1:20">
      <c r="A91" s="167" t="s">
        <v>340</v>
      </c>
      <c r="B91" s="55" t="s">
        <v>89</v>
      </c>
      <c r="C91" s="55">
        <v>13</v>
      </c>
      <c r="D91" s="55">
        <v>2</v>
      </c>
      <c r="E91" s="558" t="s">
        <v>347</v>
      </c>
      <c r="F91" s="55">
        <v>27.87</v>
      </c>
      <c r="G91" s="55" t="s">
        <v>601</v>
      </c>
      <c r="H91" s="245"/>
      <c r="I91" s="245">
        <v>1.88</v>
      </c>
      <c r="J91" s="175">
        <v>-2.2000000000000002</v>
      </c>
      <c r="K91" s="154">
        <v>-0.68</v>
      </c>
      <c r="L91" s="661">
        <f t="shared" si="3"/>
        <v>23.360735999999999</v>
      </c>
      <c r="M91" s="523" t="s">
        <v>256</v>
      </c>
      <c r="N91" s="171" t="s">
        <v>85</v>
      </c>
      <c r="O91" s="171" t="s">
        <v>95</v>
      </c>
      <c r="P91" s="172" t="s">
        <v>118</v>
      </c>
      <c r="Q91" s="171" t="s">
        <v>58</v>
      </c>
      <c r="R91" s="174" t="s">
        <v>342</v>
      </c>
      <c r="S91" s="175" t="s">
        <v>342</v>
      </c>
      <c r="T91" s="176" t="s">
        <v>762</v>
      </c>
    </row>
    <row r="92" spans="1:20">
      <c r="A92" s="167" t="s">
        <v>340</v>
      </c>
      <c r="B92" s="55" t="s">
        <v>89</v>
      </c>
      <c r="C92" s="55">
        <v>13</v>
      </c>
      <c r="D92" s="55">
        <v>2</v>
      </c>
      <c r="E92" s="558" t="s">
        <v>347</v>
      </c>
      <c r="F92" s="55">
        <v>27.87</v>
      </c>
      <c r="G92" s="55" t="s">
        <v>601</v>
      </c>
      <c r="H92" s="245"/>
      <c r="I92" s="245">
        <v>2.62</v>
      </c>
      <c r="J92" s="175">
        <v>-3.35</v>
      </c>
      <c r="K92" s="154">
        <v>-0.68</v>
      </c>
      <c r="L92" s="661">
        <f t="shared" si="3"/>
        <v>29.130400999999999</v>
      </c>
      <c r="M92" s="523" t="s">
        <v>256</v>
      </c>
      <c r="N92" s="171" t="s">
        <v>85</v>
      </c>
      <c r="O92" s="171" t="s">
        <v>95</v>
      </c>
      <c r="P92" s="172" t="s">
        <v>118</v>
      </c>
      <c r="Q92" s="171" t="s">
        <v>58</v>
      </c>
      <c r="R92" s="174" t="s">
        <v>342</v>
      </c>
      <c r="S92" s="175" t="s">
        <v>342</v>
      </c>
      <c r="T92" s="176" t="s">
        <v>762</v>
      </c>
    </row>
    <row r="93" spans="1:20">
      <c r="A93" s="167" t="s">
        <v>340</v>
      </c>
      <c r="B93" s="55" t="s">
        <v>89</v>
      </c>
      <c r="C93" s="55">
        <v>13</v>
      </c>
      <c r="D93" s="55">
        <v>2</v>
      </c>
      <c r="E93" s="558" t="s">
        <v>347</v>
      </c>
      <c r="F93" s="55">
        <v>27.87</v>
      </c>
      <c r="G93" s="55" t="s">
        <v>601</v>
      </c>
      <c r="H93" s="245"/>
      <c r="I93" s="245">
        <v>1.47</v>
      </c>
      <c r="J93" s="175">
        <v>-1.73</v>
      </c>
      <c r="K93" s="154">
        <v>-0.68</v>
      </c>
      <c r="L93" s="661">
        <f t="shared" si="3"/>
        <v>21.071225000000002</v>
      </c>
      <c r="M93" s="523" t="s">
        <v>256</v>
      </c>
      <c r="N93" s="171" t="s">
        <v>85</v>
      </c>
      <c r="O93" s="171" t="s">
        <v>95</v>
      </c>
      <c r="P93" s="172" t="s">
        <v>118</v>
      </c>
      <c r="Q93" s="171" t="s">
        <v>58</v>
      </c>
      <c r="R93" s="174" t="s">
        <v>342</v>
      </c>
      <c r="S93" s="175" t="s">
        <v>342</v>
      </c>
      <c r="T93" s="176" t="s">
        <v>762</v>
      </c>
    </row>
    <row r="94" spans="1:20">
      <c r="A94" s="167" t="s">
        <v>340</v>
      </c>
      <c r="B94" s="55" t="s">
        <v>89</v>
      </c>
      <c r="C94" s="55">
        <v>13</v>
      </c>
      <c r="D94" s="55">
        <v>2</v>
      </c>
      <c r="E94" s="558" t="s">
        <v>347</v>
      </c>
      <c r="F94" s="55">
        <v>27.87</v>
      </c>
      <c r="G94" s="55" t="s">
        <v>601</v>
      </c>
      <c r="H94" s="245"/>
      <c r="I94" s="245">
        <v>2.0699999999999998</v>
      </c>
      <c r="J94" s="175">
        <v>-2.65</v>
      </c>
      <c r="K94" s="154">
        <v>-0.68</v>
      </c>
      <c r="L94" s="661">
        <f t="shared" si="3"/>
        <v>25.590081000000001</v>
      </c>
      <c r="M94" s="523" t="s">
        <v>256</v>
      </c>
      <c r="N94" s="171" t="s">
        <v>85</v>
      </c>
      <c r="O94" s="171" t="s">
        <v>95</v>
      </c>
      <c r="P94" s="172" t="s">
        <v>118</v>
      </c>
      <c r="Q94" s="171" t="s">
        <v>58</v>
      </c>
      <c r="R94" s="174" t="s">
        <v>342</v>
      </c>
      <c r="S94" s="175" t="s">
        <v>342</v>
      </c>
      <c r="T94" s="176" t="s">
        <v>762</v>
      </c>
    </row>
    <row r="95" spans="1:20">
      <c r="A95" s="177" t="s">
        <v>340</v>
      </c>
      <c r="B95" s="221" t="s">
        <v>89</v>
      </c>
      <c r="C95" s="221">
        <v>13</v>
      </c>
      <c r="D95" s="221">
        <v>3</v>
      </c>
      <c r="E95" s="559" t="s">
        <v>347</v>
      </c>
      <c r="F95" s="221">
        <v>28.87</v>
      </c>
      <c r="G95" s="221" t="s">
        <v>601</v>
      </c>
      <c r="H95" s="922"/>
      <c r="I95" s="922">
        <v>2.31</v>
      </c>
      <c r="J95" s="919">
        <v>-2.7</v>
      </c>
      <c r="K95" s="433">
        <v>-0.68</v>
      </c>
      <c r="L95" s="788">
        <f t="shared" si="3"/>
        <v>25.840035999999998</v>
      </c>
      <c r="M95" s="923" t="s">
        <v>256</v>
      </c>
      <c r="N95" s="184" t="s">
        <v>85</v>
      </c>
      <c r="O95" s="184" t="s">
        <v>95</v>
      </c>
      <c r="P95" s="185" t="s">
        <v>118</v>
      </c>
      <c r="Q95" s="184" t="s">
        <v>58</v>
      </c>
      <c r="R95" s="187" t="s">
        <v>342</v>
      </c>
      <c r="S95" s="919" t="s">
        <v>342</v>
      </c>
      <c r="T95" s="905" t="s">
        <v>762</v>
      </c>
    </row>
    <row r="96" spans="1:20">
      <c r="A96" s="167" t="s">
        <v>340</v>
      </c>
      <c r="B96" s="55" t="s">
        <v>143</v>
      </c>
      <c r="C96" s="196"/>
      <c r="D96" s="196"/>
      <c r="E96" s="555"/>
      <c r="F96" s="196">
        <v>3.75</v>
      </c>
      <c r="G96" s="154" t="s">
        <v>361</v>
      </c>
      <c r="H96" s="614"/>
      <c r="I96" s="614"/>
      <c r="J96" s="615">
        <v>-2.77</v>
      </c>
      <c r="K96" s="154">
        <v>-0.68</v>
      </c>
      <c r="L96" s="661">
        <f t="shared" ref="L96:L110" si="4">16.1-4.64*($J96-K96)+0.09*($J96-K96)^2</f>
        <v>26.190729000000001</v>
      </c>
      <c r="M96" s="767" t="s">
        <v>198</v>
      </c>
      <c r="N96" s="317" t="s">
        <v>74</v>
      </c>
      <c r="O96" s="144" t="s">
        <v>274</v>
      </c>
      <c r="P96" s="307" t="s">
        <v>44</v>
      </c>
      <c r="Q96" s="317" t="s">
        <v>58</v>
      </c>
      <c r="R96" s="379" t="s">
        <v>375</v>
      </c>
      <c r="S96" s="315" t="s">
        <v>375</v>
      </c>
      <c r="T96" s="223"/>
    </row>
    <row r="97" spans="1:20">
      <c r="A97" s="167" t="s">
        <v>340</v>
      </c>
      <c r="B97" s="55" t="s">
        <v>143</v>
      </c>
      <c r="C97" s="196"/>
      <c r="D97" s="196"/>
      <c r="E97" s="555"/>
      <c r="F97" s="196">
        <v>4.62</v>
      </c>
      <c r="G97" s="154" t="s">
        <v>361</v>
      </c>
      <c r="H97" s="614"/>
      <c r="I97" s="614"/>
      <c r="J97" s="615">
        <v>-2.95</v>
      </c>
      <c r="K97" s="154">
        <v>-0.68</v>
      </c>
      <c r="L97" s="661">
        <f t="shared" si="4"/>
        <v>27.096561000000005</v>
      </c>
      <c r="M97" s="767" t="s">
        <v>198</v>
      </c>
      <c r="N97" s="317" t="s">
        <v>74</v>
      </c>
      <c r="O97" s="144" t="s">
        <v>274</v>
      </c>
      <c r="P97" s="307" t="s">
        <v>44</v>
      </c>
      <c r="Q97" s="317" t="s">
        <v>58</v>
      </c>
      <c r="R97" s="379" t="s">
        <v>375</v>
      </c>
      <c r="S97" s="315" t="s">
        <v>375</v>
      </c>
      <c r="T97" s="223"/>
    </row>
    <row r="98" spans="1:20">
      <c r="A98" s="167" t="s">
        <v>340</v>
      </c>
      <c r="B98" s="55" t="s">
        <v>143</v>
      </c>
      <c r="C98" s="196"/>
      <c r="D98" s="196"/>
      <c r="E98" s="555"/>
      <c r="F98" s="196">
        <v>6</v>
      </c>
      <c r="G98" s="154" t="s">
        <v>361</v>
      </c>
      <c r="H98" s="614"/>
      <c r="I98" s="614"/>
      <c r="J98" s="615">
        <v>-2.54</v>
      </c>
      <c r="K98" s="154">
        <v>-0.68</v>
      </c>
      <c r="L98" s="661">
        <f t="shared" si="4"/>
        <v>25.041764000000001</v>
      </c>
      <c r="M98" s="767" t="s">
        <v>198</v>
      </c>
      <c r="N98" s="317" t="s">
        <v>74</v>
      </c>
      <c r="O98" s="144" t="s">
        <v>274</v>
      </c>
      <c r="P98" s="307" t="s">
        <v>44</v>
      </c>
      <c r="Q98" s="317" t="s">
        <v>58</v>
      </c>
      <c r="R98" s="379" t="s">
        <v>375</v>
      </c>
      <c r="S98" s="315" t="s">
        <v>375</v>
      </c>
      <c r="T98" s="223"/>
    </row>
    <row r="99" spans="1:20">
      <c r="A99" s="167" t="s">
        <v>340</v>
      </c>
      <c r="B99" s="55" t="s">
        <v>143</v>
      </c>
      <c r="C99" s="196"/>
      <c r="D99" s="196"/>
      <c r="E99" s="555"/>
      <c r="F99" s="196">
        <v>6.5</v>
      </c>
      <c r="G99" s="154" t="s">
        <v>361</v>
      </c>
      <c r="H99" s="614"/>
      <c r="I99" s="614"/>
      <c r="J99" s="615">
        <v>-2.9</v>
      </c>
      <c r="K99" s="154">
        <v>-0.68</v>
      </c>
      <c r="L99" s="661">
        <f t="shared" si="4"/>
        <v>26.844356000000001</v>
      </c>
      <c r="M99" s="767" t="s">
        <v>198</v>
      </c>
      <c r="N99" s="317" t="s">
        <v>74</v>
      </c>
      <c r="O99" s="144" t="s">
        <v>274</v>
      </c>
      <c r="P99" s="307" t="s">
        <v>44</v>
      </c>
      <c r="Q99" s="317" t="s">
        <v>58</v>
      </c>
      <c r="R99" s="379" t="s">
        <v>375</v>
      </c>
      <c r="S99" s="315" t="s">
        <v>375</v>
      </c>
      <c r="T99" s="223"/>
    </row>
    <row r="100" spans="1:20">
      <c r="A100" s="167" t="s">
        <v>340</v>
      </c>
      <c r="B100" s="55" t="s">
        <v>143</v>
      </c>
      <c r="C100" s="196"/>
      <c r="D100" s="196"/>
      <c r="E100" s="555"/>
      <c r="F100" s="196">
        <v>7.06</v>
      </c>
      <c r="G100" s="154" t="s">
        <v>361</v>
      </c>
      <c r="H100" s="614"/>
      <c r="I100" s="614"/>
      <c r="J100" s="615">
        <v>-2.65</v>
      </c>
      <c r="K100" s="154">
        <v>-0.68</v>
      </c>
      <c r="L100" s="661">
        <f t="shared" si="4"/>
        <v>25.590081000000001</v>
      </c>
      <c r="M100" s="767" t="s">
        <v>198</v>
      </c>
      <c r="N100" s="317" t="s">
        <v>74</v>
      </c>
      <c r="O100" s="144" t="s">
        <v>274</v>
      </c>
      <c r="P100" s="307" t="s">
        <v>44</v>
      </c>
      <c r="Q100" s="317" t="s">
        <v>58</v>
      </c>
      <c r="R100" s="379" t="s">
        <v>375</v>
      </c>
      <c r="S100" s="315" t="s">
        <v>375</v>
      </c>
      <c r="T100" s="223"/>
    </row>
    <row r="101" spans="1:20">
      <c r="A101" s="167" t="s">
        <v>340</v>
      </c>
      <c r="B101" s="55" t="s">
        <v>143</v>
      </c>
      <c r="C101" s="196"/>
      <c r="D101" s="196"/>
      <c r="E101" s="555"/>
      <c r="F101" s="196">
        <v>8.1999999999999993</v>
      </c>
      <c r="G101" s="154" t="s">
        <v>361</v>
      </c>
      <c r="H101" s="614"/>
      <c r="I101" s="614"/>
      <c r="J101" s="615">
        <v>-2.44</v>
      </c>
      <c r="K101" s="154">
        <v>-0.68</v>
      </c>
      <c r="L101" s="661">
        <f t="shared" si="4"/>
        <v>24.545183999999999</v>
      </c>
      <c r="M101" s="767" t="s">
        <v>198</v>
      </c>
      <c r="N101" s="317" t="s">
        <v>74</v>
      </c>
      <c r="O101" s="144" t="s">
        <v>274</v>
      </c>
      <c r="P101" s="307" t="s">
        <v>44</v>
      </c>
      <c r="Q101" s="317" t="s">
        <v>58</v>
      </c>
      <c r="R101" s="379" t="s">
        <v>375</v>
      </c>
      <c r="S101" s="315" t="s">
        <v>375</v>
      </c>
      <c r="T101" s="223"/>
    </row>
    <row r="102" spans="1:20">
      <c r="A102" s="167" t="s">
        <v>340</v>
      </c>
      <c r="B102" s="55" t="s">
        <v>143</v>
      </c>
      <c r="C102" s="196"/>
      <c r="D102" s="196"/>
      <c r="E102" s="555"/>
      <c r="F102" s="196">
        <v>11.2</v>
      </c>
      <c r="G102" s="154" t="s">
        <v>361</v>
      </c>
      <c r="H102" s="614"/>
      <c r="I102" s="614"/>
      <c r="J102" s="615">
        <v>-3.29</v>
      </c>
      <c r="K102" s="154">
        <v>-0.68</v>
      </c>
      <c r="L102" s="661">
        <f t="shared" si="4"/>
        <v>28.823488999999999</v>
      </c>
      <c r="M102" s="767" t="s">
        <v>198</v>
      </c>
      <c r="N102" s="317" t="s">
        <v>74</v>
      </c>
      <c r="O102" s="144" t="s">
        <v>274</v>
      </c>
      <c r="P102" s="307" t="s">
        <v>44</v>
      </c>
      <c r="Q102" s="317" t="s">
        <v>58</v>
      </c>
      <c r="R102" s="379" t="s">
        <v>375</v>
      </c>
      <c r="S102" s="315" t="s">
        <v>375</v>
      </c>
      <c r="T102" s="223"/>
    </row>
    <row r="103" spans="1:20">
      <c r="A103" s="167" t="s">
        <v>340</v>
      </c>
      <c r="B103" s="55" t="s">
        <v>143</v>
      </c>
      <c r="C103" s="196"/>
      <c r="D103" s="196"/>
      <c r="E103" s="555"/>
      <c r="F103" s="196">
        <v>12.75</v>
      </c>
      <c r="G103" s="154" t="s">
        <v>361</v>
      </c>
      <c r="H103" s="614"/>
      <c r="I103" s="614"/>
      <c r="J103" s="615">
        <v>-3.08</v>
      </c>
      <c r="K103" s="154">
        <v>-0.68</v>
      </c>
      <c r="L103" s="661">
        <f t="shared" si="4"/>
        <v>27.7544</v>
      </c>
      <c r="M103" s="767" t="s">
        <v>198</v>
      </c>
      <c r="N103" s="317" t="s">
        <v>74</v>
      </c>
      <c r="O103" s="144" t="s">
        <v>274</v>
      </c>
      <c r="P103" s="307" t="s">
        <v>44</v>
      </c>
      <c r="Q103" s="317" t="s">
        <v>58</v>
      </c>
      <c r="R103" s="379" t="s">
        <v>375</v>
      </c>
      <c r="S103" s="315" t="s">
        <v>375</v>
      </c>
      <c r="T103" s="223"/>
    </row>
    <row r="104" spans="1:20">
      <c r="A104" s="167" t="s">
        <v>340</v>
      </c>
      <c r="B104" s="55" t="s">
        <v>143</v>
      </c>
      <c r="C104" s="196"/>
      <c r="D104" s="196"/>
      <c r="E104" s="555"/>
      <c r="F104" s="196">
        <v>13.5</v>
      </c>
      <c r="G104" s="154" t="s">
        <v>362</v>
      </c>
      <c r="H104" s="614"/>
      <c r="I104" s="614"/>
      <c r="J104" s="615">
        <v>-2.75</v>
      </c>
      <c r="K104" s="154">
        <v>-0.68</v>
      </c>
      <c r="L104" s="661">
        <f t="shared" si="4"/>
        <v>26.090440999999998</v>
      </c>
      <c r="M104" s="767" t="s">
        <v>198</v>
      </c>
      <c r="N104" s="317" t="s">
        <v>74</v>
      </c>
      <c r="O104" s="144" t="s">
        <v>274</v>
      </c>
      <c r="P104" s="307" t="s">
        <v>44</v>
      </c>
      <c r="Q104" s="317" t="s">
        <v>58</v>
      </c>
      <c r="R104" s="379" t="s">
        <v>375</v>
      </c>
      <c r="S104" s="315" t="s">
        <v>375</v>
      </c>
      <c r="T104" s="223"/>
    </row>
    <row r="105" spans="1:20">
      <c r="A105" s="167" t="s">
        <v>340</v>
      </c>
      <c r="B105" s="55" t="s">
        <v>143</v>
      </c>
      <c r="C105" s="196"/>
      <c r="D105" s="196"/>
      <c r="E105" s="555"/>
      <c r="F105" s="156">
        <v>14.12</v>
      </c>
      <c r="G105" s="154" t="s">
        <v>362</v>
      </c>
      <c r="H105" s="614"/>
      <c r="I105" s="614"/>
      <c r="J105" s="615">
        <v>-2.81</v>
      </c>
      <c r="K105" s="154">
        <v>-0.68</v>
      </c>
      <c r="L105" s="661">
        <f t="shared" si="4"/>
        <v>26.391521000000001</v>
      </c>
      <c r="M105" s="767" t="s">
        <v>198</v>
      </c>
      <c r="N105" s="317" t="s">
        <v>74</v>
      </c>
      <c r="O105" s="144" t="s">
        <v>274</v>
      </c>
      <c r="P105" s="307" t="s">
        <v>44</v>
      </c>
      <c r="Q105" s="317" t="s">
        <v>58</v>
      </c>
      <c r="R105" s="379" t="s">
        <v>375</v>
      </c>
      <c r="S105" s="315" t="s">
        <v>375</v>
      </c>
      <c r="T105" s="223"/>
    </row>
    <row r="106" spans="1:20">
      <c r="A106" s="167" t="s">
        <v>340</v>
      </c>
      <c r="B106" s="55" t="s">
        <v>143</v>
      </c>
      <c r="C106" s="196"/>
      <c r="D106" s="196"/>
      <c r="E106" s="555"/>
      <c r="F106" s="196">
        <v>17.850000000000001</v>
      </c>
      <c r="G106" s="154" t="s">
        <v>362</v>
      </c>
      <c r="H106" s="614"/>
      <c r="I106" s="614"/>
      <c r="J106" s="615">
        <v>-2.65</v>
      </c>
      <c r="K106" s="154">
        <v>-0.68</v>
      </c>
      <c r="L106" s="661">
        <f t="shared" si="4"/>
        <v>25.590081000000001</v>
      </c>
      <c r="M106" s="767" t="s">
        <v>198</v>
      </c>
      <c r="N106" s="317" t="s">
        <v>74</v>
      </c>
      <c r="O106" s="144" t="s">
        <v>274</v>
      </c>
      <c r="P106" s="307" t="s">
        <v>44</v>
      </c>
      <c r="Q106" s="317" t="s">
        <v>58</v>
      </c>
      <c r="R106" s="379" t="s">
        <v>375</v>
      </c>
      <c r="S106" s="315" t="s">
        <v>375</v>
      </c>
      <c r="T106" s="223"/>
    </row>
    <row r="107" spans="1:20">
      <c r="A107" s="167" t="s">
        <v>340</v>
      </c>
      <c r="B107" s="55" t="s">
        <v>143</v>
      </c>
      <c r="C107" s="196"/>
      <c r="D107" s="196"/>
      <c r="E107" s="555"/>
      <c r="F107" s="196">
        <v>18.600000000000001</v>
      </c>
      <c r="G107" s="244" t="s">
        <v>363</v>
      </c>
      <c r="H107" s="614"/>
      <c r="I107" s="614"/>
      <c r="J107" s="615">
        <v>-3.22</v>
      </c>
      <c r="K107" s="154">
        <v>-0.68</v>
      </c>
      <c r="L107" s="661">
        <f t="shared" si="4"/>
        <v>28.466244</v>
      </c>
      <c r="M107" s="767" t="s">
        <v>198</v>
      </c>
      <c r="N107" s="317" t="s">
        <v>74</v>
      </c>
      <c r="O107" s="144" t="s">
        <v>274</v>
      </c>
      <c r="P107" s="307" t="s">
        <v>44</v>
      </c>
      <c r="Q107" s="317" t="s">
        <v>58</v>
      </c>
      <c r="R107" s="379" t="s">
        <v>375</v>
      </c>
      <c r="S107" s="315" t="s">
        <v>375</v>
      </c>
      <c r="T107" s="223"/>
    </row>
    <row r="108" spans="1:20">
      <c r="A108" s="167" t="s">
        <v>340</v>
      </c>
      <c r="B108" s="55" t="s">
        <v>143</v>
      </c>
      <c r="C108" s="196"/>
      <c r="D108" s="196"/>
      <c r="E108" s="555"/>
      <c r="F108" s="196">
        <v>19.239999999999998</v>
      </c>
      <c r="G108" s="244" t="s">
        <v>363</v>
      </c>
      <c r="H108" s="614"/>
      <c r="I108" s="614"/>
      <c r="J108" s="615">
        <v>-2.64</v>
      </c>
      <c r="K108" s="154">
        <v>-0.68</v>
      </c>
      <c r="L108" s="661">
        <f t="shared" si="4"/>
        <v>25.540144000000002</v>
      </c>
      <c r="M108" s="767" t="s">
        <v>198</v>
      </c>
      <c r="N108" s="317" t="s">
        <v>74</v>
      </c>
      <c r="O108" s="144" t="s">
        <v>274</v>
      </c>
      <c r="P108" s="307" t="s">
        <v>44</v>
      </c>
      <c r="Q108" s="317" t="s">
        <v>58</v>
      </c>
      <c r="R108" s="379" t="s">
        <v>375</v>
      </c>
      <c r="S108" s="315" t="s">
        <v>375</v>
      </c>
      <c r="T108" s="223"/>
    </row>
    <row r="109" spans="1:20">
      <c r="A109" s="167" t="s">
        <v>340</v>
      </c>
      <c r="B109" s="55" t="s">
        <v>143</v>
      </c>
      <c r="C109" s="196"/>
      <c r="D109" s="196"/>
      <c r="E109" s="555"/>
      <c r="F109" s="196">
        <v>23.86</v>
      </c>
      <c r="G109" s="244" t="s">
        <v>363</v>
      </c>
      <c r="H109" s="614"/>
      <c r="I109" s="614"/>
      <c r="J109" s="615">
        <v>-2.81</v>
      </c>
      <c r="K109" s="154">
        <v>-0.68</v>
      </c>
      <c r="L109" s="661">
        <f t="shared" si="4"/>
        <v>26.391521000000001</v>
      </c>
      <c r="M109" s="767" t="s">
        <v>198</v>
      </c>
      <c r="N109" s="317" t="s">
        <v>74</v>
      </c>
      <c r="O109" s="144" t="s">
        <v>274</v>
      </c>
      <c r="P109" s="307" t="s">
        <v>44</v>
      </c>
      <c r="Q109" s="317" t="s">
        <v>58</v>
      </c>
      <c r="R109" s="379" t="s">
        <v>375</v>
      </c>
      <c r="S109" s="315" t="s">
        <v>375</v>
      </c>
      <c r="T109" s="223"/>
    </row>
    <row r="110" spans="1:20">
      <c r="A110" s="167" t="s">
        <v>340</v>
      </c>
      <c r="B110" s="55" t="s">
        <v>143</v>
      </c>
      <c r="C110" s="196"/>
      <c r="D110" s="196"/>
      <c r="E110" s="555"/>
      <c r="F110" s="196">
        <v>26.85</v>
      </c>
      <c r="G110" s="244" t="s">
        <v>19</v>
      </c>
      <c r="H110" s="614"/>
      <c r="I110" s="614"/>
      <c r="J110" s="615">
        <v>-2.72</v>
      </c>
      <c r="K110" s="154">
        <v>-0.68</v>
      </c>
      <c r="L110" s="661">
        <f t="shared" si="4"/>
        <v>25.940144000000004</v>
      </c>
      <c r="M110" s="767" t="s">
        <v>198</v>
      </c>
      <c r="N110" s="317" t="s">
        <v>74</v>
      </c>
      <c r="O110" s="144" t="s">
        <v>274</v>
      </c>
      <c r="P110" s="307" t="s">
        <v>44</v>
      </c>
      <c r="Q110" s="317" t="s">
        <v>58</v>
      </c>
      <c r="R110" s="379" t="s">
        <v>375</v>
      </c>
      <c r="S110" s="315" t="s">
        <v>375</v>
      </c>
      <c r="T110" s="223"/>
    </row>
    <row r="111" spans="1:20">
      <c r="A111" s="167" t="s">
        <v>340</v>
      </c>
      <c r="B111" s="55" t="s">
        <v>143</v>
      </c>
      <c r="C111" s="196"/>
      <c r="D111" s="196"/>
      <c r="E111" s="555"/>
      <c r="F111" s="196">
        <v>3.75</v>
      </c>
      <c r="G111" s="154" t="s">
        <v>361</v>
      </c>
      <c r="H111" s="613"/>
      <c r="I111" s="613"/>
      <c r="J111" s="615">
        <v>-2.35</v>
      </c>
      <c r="K111" s="154">
        <v>-0.68</v>
      </c>
      <c r="L111" s="661">
        <f t="shared" ref="L111:L115" si="5">16.1-4.64*($J111-K111)+0.09*($J111-K111)^2</f>
        <v>24.099800999999999</v>
      </c>
      <c r="M111" s="767" t="s">
        <v>355</v>
      </c>
      <c r="N111" s="317" t="s">
        <v>74</v>
      </c>
      <c r="O111" s="144" t="s">
        <v>274</v>
      </c>
      <c r="P111" s="307" t="s">
        <v>44</v>
      </c>
      <c r="Q111" s="317" t="s">
        <v>58</v>
      </c>
      <c r="R111" s="379" t="s">
        <v>375</v>
      </c>
      <c r="S111" s="315" t="s">
        <v>375</v>
      </c>
      <c r="T111" s="223"/>
    </row>
    <row r="112" spans="1:20">
      <c r="A112" s="167" t="s">
        <v>340</v>
      </c>
      <c r="B112" s="55" t="s">
        <v>143</v>
      </c>
      <c r="C112" s="196"/>
      <c r="D112" s="196"/>
      <c r="E112" s="555"/>
      <c r="F112" s="196">
        <v>3.75</v>
      </c>
      <c r="G112" s="154" t="s">
        <v>361</v>
      </c>
      <c r="H112" s="613"/>
      <c r="I112" s="613"/>
      <c r="J112" s="615">
        <v>-2.39</v>
      </c>
      <c r="K112" s="154">
        <v>-0.68</v>
      </c>
      <c r="L112" s="661">
        <f t="shared" si="5"/>
        <v>24.297569000000003</v>
      </c>
      <c r="M112" s="767" t="s">
        <v>355</v>
      </c>
      <c r="N112" s="317" t="s">
        <v>74</v>
      </c>
      <c r="O112" s="144" t="s">
        <v>274</v>
      </c>
      <c r="P112" s="307" t="s">
        <v>44</v>
      </c>
      <c r="Q112" s="317" t="s">
        <v>58</v>
      </c>
      <c r="R112" s="379" t="s">
        <v>375</v>
      </c>
      <c r="S112" s="315" t="s">
        <v>375</v>
      </c>
      <c r="T112" s="223"/>
    </row>
    <row r="113" spans="1:20">
      <c r="A113" s="167" t="s">
        <v>340</v>
      </c>
      <c r="B113" s="55" t="s">
        <v>143</v>
      </c>
      <c r="C113" s="196"/>
      <c r="D113" s="196"/>
      <c r="E113" s="555"/>
      <c r="F113" s="196">
        <v>11.5</v>
      </c>
      <c r="G113" s="154" t="s">
        <v>361</v>
      </c>
      <c r="H113" s="613"/>
      <c r="I113" s="613"/>
      <c r="J113" s="615">
        <v>-2.87</v>
      </c>
      <c r="K113" s="154">
        <v>-0.68</v>
      </c>
      <c r="L113" s="661">
        <f t="shared" si="5"/>
        <v>26.693249000000002</v>
      </c>
      <c r="M113" s="767" t="s">
        <v>355</v>
      </c>
      <c r="N113" s="317" t="s">
        <v>74</v>
      </c>
      <c r="O113" s="144" t="s">
        <v>274</v>
      </c>
      <c r="P113" s="307" t="s">
        <v>44</v>
      </c>
      <c r="Q113" s="317" t="s">
        <v>58</v>
      </c>
      <c r="R113" s="379" t="s">
        <v>375</v>
      </c>
      <c r="S113" s="315" t="s">
        <v>375</v>
      </c>
      <c r="T113" s="223"/>
    </row>
    <row r="114" spans="1:20">
      <c r="A114" s="167" t="s">
        <v>340</v>
      </c>
      <c r="B114" s="55" t="s">
        <v>143</v>
      </c>
      <c r="C114" s="196"/>
      <c r="D114" s="196"/>
      <c r="E114" s="555"/>
      <c r="F114" s="196">
        <v>13.5</v>
      </c>
      <c r="G114" s="154" t="s">
        <v>362</v>
      </c>
      <c r="H114" s="613"/>
      <c r="I114" s="613"/>
      <c r="J114" s="615">
        <v>-2.84</v>
      </c>
      <c r="K114" s="154">
        <v>-0.68</v>
      </c>
      <c r="L114" s="661">
        <f t="shared" si="5"/>
        <v>26.542303999999998</v>
      </c>
      <c r="M114" s="767" t="s">
        <v>355</v>
      </c>
      <c r="N114" s="317" t="s">
        <v>74</v>
      </c>
      <c r="O114" s="144" t="s">
        <v>274</v>
      </c>
      <c r="P114" s="307" t="s">
        <v>44</v>
      </c>
      <c r="Q114" s="317" t="s">
        <v>58</v>
      </c>
      <c r="R114" s="379" t="s">
        <v>375</v>
      </c>
      <c r="S114" s="315" t="s">
        <v>375</v>
      </c>
      <c r="T114" s="223"/>
    </row>
    <row r="115" spans="1:20">
      <c r="A115" s="167" t="s">
        <v>340</v>
      </c>
      <c r="B115" s="55" t="s">
        <v>143</v>
      </c>
      <c r="C115" s="196"/>
      <c r="D115" s="196"/>
      <c r="E115" s="555"/>
      <c r="F115" s="196">
        <v>24.86</v>
      </c>
      <c r="G115" s="244" t="s">
        <v>19</v>
      </c>
      <c r="H115" s="613"/>
      <c r="I115" s="613"/>
      <c r="J115" s="764">
        <v>-2.5299999999999998</v>
      </c>
      <c r="K115" s="154">
        <v>-0.68</v>
      </c>
      <c r="L115" s="661">
        <f t="shared" si="5"/>
        <v>24.992024999999998</v>
      </c>
      <c r="M115" s="767" t="s">
        <v>355</v>
      </c>
      <c r="N115" s="317" t="s">
        <v>74</v>
      </c>
      <c r="O115" s="144" t="s">
        <v>274</v>
      </c>
      <c r="P115" s="307" t="s">
        <v>44</v>
      </c>
      <c r="Q115" s="317" t="s">
        <v>58</v>
      </c>
      <c r="R115" s="379" t="s">
        <v>375</v>
      </c>
      <c r="S115" s="315" t="s">
        <v>375</v>
      </c>
      <c r="T115" s="223"/>
    </row>
    <row r="116" spans="1:20" ht="13.5" thickBot="1">
      <c r="A116" s="506"/>
      <c r="B116" s="255"/>
      <c r="C116" s="255"/>
      <c r="D116" s="255"/>
      <c r="E116" s="824"/>
      <c r="F116" s="255"/>
      <c r="G116" s="765"/>
      <c r="H116" s="766"/>
      <c r="I116" s="766"/>
      <c r="J116" s="609"/>
      <c r="K116" s="765"/>
      <c r="L116" s="609"/>
      <c r="M116" s="765"/>
      <c r="N116" s="255"/>
      <c r="O116" s="255"/>
      <c r="P116" s="256"/>
      <c r="Q116" s="254"/>
      <c r="R116" s="256"/>
      <c r="S116" s="258"/>
      <c r="T116" s="258"/>
    </row>
    <row r="117" spans="1:20">
      <c r="H117" s="156"/>
      <c r="I117" s="156"/>
      <c r="J117" s="156"/>
      <c r="K117" s="156"/>
      <c r="L117" s="156"/>
      <c r="M117" s="156"/>
      <c r="N117" s="156"/>
      <c r="O117" s="156"/>
      <c r="P117" s="156"/>
      <c r="Q117" s="156"/>
      <c r="R117" s="156"/>
    </row>
    <row r="118" spans="1:20" ht="13.5" thickBot="1">
      <c r="H118" s="156"/>
      <c r="I118" s="156"/>
      <c r="J118" s="156"/>
      <c r="K118" s="156"/>
      <c r="L118" s="156"/>
      <c r="M118" s="156"/>
      <c r="N118" s="156"/>
      <c r="O118" s="156"/>
      <c r="P118" s="156"/>
      <c r="Q118" s="156"/>
      <c r="R118" s="156"/>
    </row>
    <row r="119" spans="1:20" ht="13.5" thickBot="1">
      <c r="G119" s="729"/>
      <c r="H119" s="730" t="s">
        <v>607</v>
      </c>
      <c r="I119" s="730" t="s">
        <v>605</v>
      </c>
      <c r="J119" s="731">
        <v>0.05</v>
      </c>
      <c r="K119" s="730" t="s">
        <v>602</v>
      </c>
      <c r="L119" s="731">
        <v>0.95</v>
      </c>
      <c r="M119" s="732" t="s">
        <v>606</v>
      </c>
      <c r="N119" s="156"/>
      <c r="O119" s="156"/>
      <c r="P119" s="156"/>
      <c r="Q119" s="156"/>
    </row>
    <row r="120" spans="1:20">
      <c r="G120" s="673" t="s">
        <v>21</v>
      </c>
      <c r="H120" s="674"/>
      <c r="I120" s="675"/>
      <c r="J120" s="675"/>
      <c r="K120" s="675"/>
      <c r="L120" s="675"/>
      <c r="M120" s="676"/>
      <c r="N120" s="156"/>
      <c r="O120" s="156"/>
      <c r="P120" s="156"/>
      <c r="Q120" s="156"/>
    </row>
    <row r="121" spans="1:20">
      <c r="G121" s="673" t="s">
        <v>20</v>
      </c>
      <c r="H121" s="674">
        <f>COUNT(L14:L20)</f>
        <v>7</v>
      </c>
      <c r="I121" s="675">
        <f>MIN(L14:L20)</f>
        <v>27.147056000000003</v>
      </c>
      <c r="J121" s="675">
        <f>_xlfn.PERCENTILE.INC((L14:L20),0.05)</f>
        <v>27.162209900000004</v>
      </c>
      <c r="K121" s="675">
        <f>AVERAGE(L14:L20)</f>
        <v>32.397010857142853</v>
      </c>
      <c r="L121" s="675">
        <f>_xlfn.PERCENTILE.INC((L14:L20),0.95)</f>
        <v>38.437907099999997</v>
      </c>
      <c r="M121" s="676">
        <f>MAX(L14:L20)</f>
        <v>38.584643999999997</v>
      </c>
      <c r="N121" s="156"/>
      <c r="O121" s="156"/>
      <c r="P121" s="156"/>
      <c r="Q121" s="156"/>
    </row>
    <row r="122" spans="1:20" ht="13.5" thickBot="1">
      <c r="G122" s="677" t="s">
        <v>601</v>
      </c>
      <c r="H122" s="678">
        <f>COUNT(L21:L74)</f>
        <v>54</v>
      </c>
      <c r="I122" s="679">
        <f>MIN(L21:L74)</f>
        <v>24.248100000000001</v>
      </c>
      <c r="J122" s="679">
        <f>_xlfn.PERCENTILE.INC((L21:L74),0.05)</f>
        <v>25.687528350000001</v>
      </c>
      <c r="K122" s="679">
        <f>AVERAGE(L21:L74)</f>
        <v>28.987173203703716</v>
      </c>
      <c r="L122" s="679">
        <f>_xlfn.PERCENTILE.INC((L21:L74),0.95)</f>
        <v>32.099311</v>
      </c>
      <c r="M122" s="680">
        <f>MAX(L21:L74)</f>
        <v>33.126624</v>
      </c>
      <c r="N122" s="156"/>
      <c r="O122" s="156"/>
      <c r="P122" s="156"/>
      <c r="Q122" s="156"/>
    </row>
    <row r="123" spans="1:20">
      <c r="H123" s="156"/>
      <c r="I123" s="156"/>
      <c r="J123" s="156"/>
      <c r="K123" s="156"/>
      <c r="L123" s="156"/>
      <c r="M123" s="156"/>
      <c r="N123" s="156"/>
      <c r="O123" s="156"/>
      <c r="P123" s="156"/>
      <c r="Q123" s="156"/>
      <c r="R123" s="156"/>
    </row>
    <row r="124" spans="1:20">
      <c r="G124" s="50"/>
      <c r="H124" s="156"/>
      <c r="I124" s="156"/>
      <c r="J124" s="156"/>
      <c r="K124" s="156"/>
      <c r="L124" s="156"/>
      <c r="M124" s="156"/>
      <c r="N124" s="156"/>
      <c r="O124" s="156"/>
      <c r="P124" s="156"/>
      <c r="Q124" s="156"/>
      <c r="R124" s="156"/>
    </row>
    <row r="125" spans="1:20">
      <c r="H125" s="156"/>
      <c r="I125" s="156"/>
      <c r="J125" s="156"/>
      <c r="K125" s="156"/>
      <c r="L125" s="156"/>
      <c r="M125" s="156"/>
      <c r="N125" s="156"/>
      <c r="O125" s="156"/>
      <c r="P125" s="156"/>
      <c r="Q125" s="156"/>
      <c r="R125" s="156"/>
    </row>
    <row r="126" spans="1:20">
      <c r="H126" s="156"/>
      <c r="I126" s="156"/>
      <c r="J126" s="156"/>
      <c r="K126" s="156"/>
      <c r="L126" s="156"/>
      <c r="M126" s="156"/>
      <c r="N126" s="156"/>
      <c r="O126" s="156"/>
      <c r="P126" s="156"/>
      <c r="Q126" s="156"/>
      <c r="R126" s="156"/>
    </row>
    <row r="127" spans="1:20">
      <c r="H127" s="156"/>
      <c r="I127" s="156"/>
      <c r="J127" s="156"/>
      <c r="K127" s="156"/>
      <c r="L127" s="156"/>
      <c r="M127" s="156"/>
      <c r="N127" s="156"/>
      <c r="O127" s="156"/>
      <c r="P127" s="156"/>
      <c r="Q127" s="156"/>
      <c r="R127" s="156"/>
    </row>
    <row r="128" spans="1:20">
      <c r="H128" s="156"/>
      <c r="I128" s="156"/>
      <c r="J128" s="156"/>
      <c r="K128" s="156"/>
      <c r="L128" s="156"/>
      <c r="M128" s="156"/>
      <c r="N128" s="156"/>
      <c r="O128" s="156"/>
      <c r="P128" s="156"/>
      <c r="Q128" s="156"/>
      <c r="R128" s="156"/>
    </row>
    <row r="129" spans="8:18">
      <c r="H129" s="156"/>
      <c r="I129" s="156"/>
      <c r="J129" s="156"/>
      <c r="K129" s="156"/>
      <c r="L129" s="156"/>
      <c r="M129" s="156"/>
      <c r="N129" s="156"/>
      <c r="O129" s="156"/>
      <c r="P129" s="156"/>
      <c r="Q129" s="156"/>
      <c r="R129" s="156"/>
    </row>
    <row r="130" spans="8:18">
      <c r="H130" s="156"/>
      <c r="I130" s="156"/>
      <c r="J130" s="156"/>
      <c r="K130" s="156"/>
      <c r="L130" s="156"/>
      <c r="M130" s="156"/>
      <c r="N130" s="156"/>
      <c r="O130" s="156"/>
      <c r="P130" s="156"/>
      <c r="Q130" s="156"/>
      <c r="R130" s="156"/>
    </row>
    <row r="131" spans="8:18">
      <c r="H131" s="156"/>
      <c r="I131" s="156"/>
      <c r="J131" s="156"/>
      <c r="K131" s="156"/>
      <c r="L131" s="156"/>
      <c r="M131" s="156"/>
      <c r="N131" s="156"/>
      <c r="O131" s="156"/>
      <c r="P131" s="156"/>
      <c r="Q131" s="156"/>
      <c r="R131" s="156"/>
    </row>
    <row r="132" spans="8:18">
      <c r="H132" s="156"/>
      <c r="I132" s="156"/>
      <c r="J132" s="156"/>
      <c r="K132" s="156"/>
      <c r="L132" s="156"/>
      <c r="M132" s="156"/>
      <c r="N132" s="156"/>
      <c r="O132" s="156"/>
      <c r="P132" s="156"/>
      <c r="Q132" s="156"/>
      <c r="R132" s="156"/>
    </row>
    <row r="133" spans="8:18">
      <c r="H133" s="156"/>
      <c r="I133" s="156"/>
      <c r="J133" s="156"/>
      <c r="K133" s="156"/>
      <c r="L133" s="156"/>
      <c r="M133" s="156"/>
      <c r="N133" s="156"/>
      <c r="O133" s="156"/>
      <c r="P133" s="156"/>
      <c r="Q133" s="156"/>
      <c r="R133" s="156"/>
    </row>
    <row r="134" spans="8:18">
      <c r="H134" s="156"/>
      <c r="I134" s="156"/>
      <c r="J134" s="156"/>
      <c r="K134" s="156"/>
      <c r="L134" s="156"/>
      <c r="M134" s="156"/>
      <c r="N134" s="156"/>
      <c r="O134" s="156"/>
      <c r="P134" s="156"/>
      <c r="Q134" s="156"/>
      <c r="R134" s="156"/>
    </row>
    <row r="135" spans="8:18">
      <c r="H135" s="156"/>
      <c r="I135" s="156"/>
      <c r="J135" s="156"/>
      <c r="K135" s="156"/>
      <c r="L135" s="156"/>
      <c r="M135" s="156"/>
      <c r="N135" s="156"/>
      <c r="O135" s="156"/>
      <c r="P135" s="156"/>
      <c r="Q135" s="156"/>
      <c r="R135" s="156"/>
    </row>
    <row r="136" spans="8:18">
      <c r="H136" s="156"/>
      <c r="I136" s="156"/>
      <c r="J136" s="156"/>
      <c r="K136" s="156"/>
      <c r="L136" s="156"/>
      <c r="M136" s="156"/>
      <c r="N136" s="156"/>
      <c r="O136" s="156"/>
      <c r="P136" s="156"/>
      <c r="Q136" s="156"/>
      <c r="R136" s="156"/>
    </row>
  </sheetData>
  <pageMargins left="0.75" right="0.75" top="1" bottom="1" header="0.5" footer="0.5"/>
  <pageSetup paperSize="9" orientation="portrait" horizontalDpi="4294967292" verticalDpi="4294967292"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77"/>
  <sheetViews>
    <sheetView workbookViewId="0">
      <selection activeCell="B3" sqref="B3"/>
    </sheetView>
  </sheetViews>
  <sheetFormatPr defaultColWidth="10.625" defaultRowHeight="12.75"/>
  <cols>
    <col min="1" max="1" width="15.625" style="69" customWidth="1"/>
    <col min="2" max="2" width="12.375" style="69" bestFit="1" customWidth="1"/>
    <col min="3" max="3" width="16.125" style="69" bestFit="1" customWidth="1"/>
    <col min="4" max="5" width="10.625" style="69"/>
    <col min="6" max="6" width="10.625" style="156"/>
    <col min="7" max="7" width="13.5" style="69" bestFit="1" customWidth="1"/>
    <col min="8" max="8" width="10.625" style="69"/>
    <col min="9" max="9" width="10.625" style="156"/>
    <col min="10" max="10" width="16.5" style="69" customWidth="1"/>
    <col min="11" max="11" width="15.625" style="69" customWidth="1"/>
    <col min="12" max="12" width="26.5" style="156" bestFit="1" customWidth="1"/>
    <col min="13" max="13" width="13" style="156" bestFit="1" customWidth="1"/>
    <col min="14" max="15" width="10.625" style="156"/>
    <col min="16" max="16" width="10.875" style="69" customWidth="1"/>
    <col min="17" max="17" width="31.625" style="69" bestFit="1" customWidth="1"/>
    <col min="18" max="18" width="15.875" style="69" bestFit="1" customWidth="1"/>
    <col min="19" max="19" width="43.625" style="69" bestFit="1" customWidth="1"/>
    <col min="20" max="16384" width="10.625" style="69"/>
  </cols>
  <sheetData>
    <row r="1" spans="1:19" s="11" customFormat="1" ht="15.75">
      <c r="A1" s="466" t="s">
        <v>1</v>
      </c>
      <c r="B1" s="467" t="s">
        <v>117</v>
      </c>
      <c r="C1" s="468"/>
      <c r="F1" s="41"/>
      <c r="I1" s="41"/>
      <c r="L1" s="41"/>
      <c r="M1" s="41"/>
      <c r="N1" s="41"/>
      <c r="O1" s="41"/>
    </row>
    <row r="2" spans="1:19">
      <c r="A2" s="147" t="s">
        <v>636</v>
      </c>
      <c r="B2" s="407" t="s">
        <v>657</v>
      </c>
      <c r="C2" s="405"/>
    </row>
    <row r="3" spans="1:19">
      <c r="A3" s="147" t="s">
        <v>0</v>
      </c>
      <c r="B3" s="407" t="s">
        <v>148</v>
      </c>
      <c r="C3" s="405"/>
    </row>
    <row r="4" spans="1:19">
      <c r="A4" s="147" t="s">
        <v>621</v>
      </c>
      <c r="B4" s="582">
        <v>-24.042000000000002</v>
      </c>
    </row>
    <row r="5" spans="1:19">
      <c r="A5" s="147" t="s">
        <v>622</v>
      </c>
      <c r="B5" s="582">
        <v>1.7629999999999999</v>
      </c>
    </row>
    <row r="6" spans="1:19" s="270" customFormat="1">
      <c r="A6" s="149" t="s">
        <v>50</v>
      </c>
      <c r="B6" s="51">
        <v>-37.276042391399997</v>
      </c>
      <c r="C6" s="625"/>
      <c r="F6" s="248"/>
      <c r="I6" s="248"/>
      <c r="L6" s="248"/>
      <c r="M6" s="248"/>
      <c r="N6" s="248"/>
      <c r="O6" s="248"/>
    </row>
    <row r="7" spans="1:19">
      <c r="A7" s="141" t="s">
        <v>696</v>
      </c>
      <c r="B7" s="584" t="s">
        <v>726</v>
      </c>
      <c r="C7" s="407" t="s">
        <v>148</v>
      </c>
    </row>
    <row r="8" spans="1:19" ht="114.75">
      <c r="A8" s="147" t="s">
        <v>2</v>
      </c>
      <c r="B8" s="408" t="s">
        <v>727</v>
      </c>
      <c r="C8" s="407" t="s">
        <v>148</v>
      </c>
    </row>
    <row r="9" spans="1:19">
      <c r="A9" s="147" t="s">
        <v>3</v>
      </c>
      <c r="B9" s="407" t="s">
        <v>603</v>
      </c>
      <c r="C9" s="409"/>
    </row>
    <row r="10" spans="1:19">
      <c r="A10" s="147" t="s">
        <v>4</v>
      </c>
      <c r="B10" s="410" t="s">
        <v>42</v>
      </c>
      <c r="C10" s="406" t="s">
        <v>148</v>
      </c>
    </row>
    <row r="11" spans="1:19" ht="13.5" thickBot="1">
      <c r="G11" s="270"/>
      <c r="K11" s="411"/>
    </row>
    <row r="12" spans="1:19" ht="39" thickBot="1">
      <c r="A12" s="412" t="s">
        <v>5</v>
      </c>
      <c r="B12" s="413" t="s">
        <v>6</v>
      </c>
      <c r="C12" s="413" t="s">
        <v>7</v>
      </c>
      <c r="D12" s="413" t="s">
        <v>8</v>
      </c>
      <c r="E12" s="413" t="s">
        <v>9</v>
      </c>
      <c r="F12" s="413" t="s">
        <v>43</v>
      </c>
      <c r="G12" s="413" t="s">
        <v>31</v>
      </c>
      <c r="H12" s="485" t="s">
        <v>10</v>
      </c>
      <c r="I12" s="214" t="s">
        <v>725</v>
      </c>
      <c r="J12" s="215" t="s">
        <v>664</v>
      </c>
      <c r="K12" s="216" t="s">
        <v>659</v>
      </c>
      <c r="L12" s="416" t="s">
        <v>11</v>
      </c>
      <c r="M12" s="416" t="s">
        <v>12</v>
      </c>
      <c r="N12" s="416" t="s">
        <v>36</v>
      </c>
      <c r="O12" s="417" t="s">
        <v>34</v>
      </c>
      <c r="P12" s="418" t="s">
        <v>13</v>
      </c>
      <c r="Q12" s="417" t="s">
        <v>14</v>
      </c>
      <c r="R12" s="419" t="s">
        <v>15</v>
      </c>
      <c r="S12" s="420" t="s">
        <v>38</v>
      </c>
    </row>
    <row r="13" spans="1:19">
      <c r="A13" s="421"/>
      <c r="B13" s="422"/>
      <c r="C13" s="422"/>
      <c r="D13" s="422"/>
      <c r="E13" s="422"/>
      <c r="F13" s="422"/>
      <c r="G13" s="422"/>
      <c r="H13" s="487"/>
      <c r="I13" s="424"/>
      <c r="J13" s="426"/>
      <c r="K13" s="532"/>
      <c r="L13" s="288"/>
      <c r="M13" s="289"/>
      <c r="N13" s="289"/>
      <c r="O13" s="290"/>
      <c r="P13" s="288"/>
      <c r="Q13" s="290"/>
      <c r="R13" s="426"/>
      <c r="S13" s="291"/>
    </row>
    <row r="14" spans="1:19">
      <c r="A14" s="427">
        <v>527</v>
      </c>
      <c r="B14" s="428" t="s">
        <v>143</v>
      </c>
      <c r="C14" s="428">
        <v>24</v>
      </c>
      <c r="D14" s="428">
        <v>1</v>
      </c>
      <c r="E14" s="445" t="s">
        <v>119</v>
      </c>
      <c r="F14" s="627">
        <v>199.27</v>
      </c>
      <c r="H14" s="490"/>
      <c r="I14" s="60">
        <v>-0.37</v>
      </c>
      <c r="J14" s="451">
        <v>-0.79817685008049</v>
      </c>
      <c r="K14" s="491">
        <f t="shared" ref="K14:K70" si="0">16.1-4.64*($I14-J14)+0.09*($I14-J14)^2</f>
        <v>14.129759602971564</v>
      </c>
      <c r="L14" s="295" t="s">
        <v>666</v>
      </c>
      <c r="M14" s="296" t="s">
        <v>16</v>
      </c>
      <c r="N14" s="297" t="s">
        <v>95</v>
      </c>
      <c r="O14" s="298" t="s">
        <v>118</v>
      </c>
      <c r="P14" s="306" t="s">
        <v>91</v>
      </c>
      <c r="Q14" s="298" t="s">
        <v>552</v>
      </c>
      <c r="R14" s="299" t="s">
        <v>148</v>
      </c>
      <c r="S14" s="309" t="s">
        <v>728</v>
      </c>
    </row>
    <row r="15" spans="1:19">
      <c r="A15" s="427">
        <v>527</v>
      </c>
      <c r="B15" s="428" t="s">
        <v>143</v>
      </c>
      <c r="C15" s="428">
        <v>24</v>
      </c>
      <c r="D15" s="428">
        <v>1</v>
      </c>
      <c r="E15" s="445" t="s">
        <v>120</v>
      </c>
      <c r="F15" s="627">
        <v>199.49</v>
      </c>
      <c r="H15" s="490"/>
      <c r="I15" s="60">
        <v>-0.38</v>
      </c>
      <c r="J15" s="451">
        <v>-0.79817685008049</v>
      </c>
      <c r="K15" s="491">
        <f t="shared" si="0"/>
        <v>14.17539788464142</v>
      </c>
      <c r="L15" s="295" t="s">
        <v>666</v>
      </c>
      <c r="M15" s="296" t="s">
        <v>16</v>
      </c>
      <c r="N15" s="297" t="s">
        <v>95</v>
      </c>
      <c r="O15" s="298" t="s">
        <v>118</v>
      </c>
      <c r="P15" s="306" t="s">
        <v>91</v>
      </c>
      <c r="Q15" s="298" t="s">
        <v>552</v>
      </c>
      <c r="R15" s="299" t="s">
        <v>148</v>
      </c>
      <c r="S15" s="309"/>
    </row>
    <row r="16" spans="1:19">
      <c r="A16" s="427">
        <v>527</v>
      </c>
      <c r="B16" s="428" t="s">
        <v>143</v>
      </c>
      <c r="C16" s="428">
        <v>24</v>
      </c>
      <c r="D16" s="428">
        <v>1</v>
      </c>
      <c r="E16" s="445" t="s">
        <v>121</v>
      </c>
      <c r="F16" s="627">
        <v>199.73</v>
      </c>
      <c r="H16" s="490"/>
      <c r="I16" s="60">
        <v>-0.08</v>
      </c>
      <c r="J16" s="451">
        <v>-0.79817685008049</v>
      </c>
      <c r="K16" s="491">
        <f t="shared" si="0"/>
        <v>12.814079434545768</v>
      </c>
      <c r="L16" s="295" t="s">
        <v>666</v>
      </c>
      <c r="M16" s="296" t="s">
        <v>16</v>
      </c>
      <c r="N16" s="297" t="s">
        <v>95</v>
      </c>
      <c r="O16" s="298" t="s">
        <v>118</v>
      </c>
      <c r="P16" s="306" t="s">
        <v>91</v>
      </c>
      <c r="Q16" s="298" t="s">
        <v>552</v>
      </c>
      <c r="R16" s="299" t="s">
        <v>148</v>
      </c>
      <c r="S16" s="309"/>
    </row>
    <row r="17" spans="1:19">
      <c r="A17" s="427">
        <v>527</v>
      </c>
      <c r="B17" s="428" t="s">
        <v>143</v>
      </c>
      <c r="C17" s="428">
        <v>24</v>
      </c>
      <c r="D17" s="428">
        <v>1</v>
      </c>
      <c r="E17" s="445" t="s">
        <v>122</v>
      </c>
      <c r="F17" s="627">
        <v>199.96</v>
      </c>
      <c r="H17" s="490"/>
      <c r="I17" s="60">
        <v>-0.37</v>
      </c>
      <c r="J17" s="451">
        <v>-0.79817685008049</v>
      </c>
      <c r="K17" s="491">
        <f t="shared" si="0"/>
        <v>14.129759602971564</v>
      </c>
      <c r="L17" s="295" t="s">
        <v>666</v>
      </c>
      <c r="M17" s="296" t="s">
        <v>16</v>
      </c>
      <c r="N17" s="297" t="s">
        <v>95</v>
      </c>
      <c r="O17" s="298" t="s">
        <v>118</v>
      </c>
      <c r="P17" s="306" t="s">
        <v>91</v>
      </c>
      <c r="Q17" s="298" t="s">
        <v>552</v>
      </c>
      <c r="R17" s="299" t="s">
        <v>148</v>
      </c>
      <c r="S17" s="309"/>
    </row>
    <row r="18" spans="1:19">
      <c r="A18" s="427">
        <v>527</v>
      </c>
      <c r="B18" s="428" t="s">
        <v>143</v>
      </c>
      <c r="C18" s="428">
        <v>24</v>
      </c>
      <c r="D18" s="428">
        <v>1</v>
      </c>
      <c r="E18" s="445" t="s">
        <v>123</v>
      </c>
      <c r="F18" s="627">
        <v>200.1</v>
      </c>
      <c r="H18" s="490"/>
      <c r="I18" s="60">
        <v>-0.3</v>
      </c>
      <c r="J18" s="451">
        <v>-0.79817685008049</v>
      </c>
      <c r="K18" s="491">
        <f t="shared" si="0"/>
        <v>13.810795631282579</v>
      </c>
      <c r="L18" s="295" t="s">
        <v>666</v>
      </c>
      <c r="M18" s="296" t="s">
        <v>16</v>
      </c>
      <c r="N18" s="297" t="s">
        <v>95</v>
      </c>
      <c r="O18" s="298" t="s">
        <v>118</v>
      </c>
      <c r="P18" s="306" t="s">
        <v>91</v>
      </c>
      <c r="Q18" s="298" t="s">
        <v>552</v>
      </c>
      <c r="R18" s="299" t="s">
        <v>148</v>
      </c>
      <c r="S18" s="309"/>
    </row>
    <row r="19" spans="1:19">
      <c r="A19" s="427">
        <v>527</v>
      </c>
      <c r="B19" s="428" t="s">
        <v>143</v>
      </c>
      <c r="C19" s="428">
        <v>24</v>
      </c>
      <c r="D19" s="428">
        <v>1</v>
      </c>
      <c r="E19" s="445" t="s">
        <v>124</v>
      </c>
      <c r="F19" s="627">
        <v>200.31</v>
      </c>
      <c r="H19" s="490"/>
      <c r="I19" s="60">
        <v>-0.43</v>
      </c>
      <c r="J19" s="451">
        <v>-0.79817685008049</v>
      </c>
      <c r="K19" s="491">
        <f t="shared" si="0"/>
        <v>14.403859292990695</v>
      </c>
      <c r="L19" s="295" t="s">
        <v>666</v>
      </c>
      <c r="M19" s="296" t="s">
        <v>16</v>
      </c>
      <c r="N19" s="297" t="s">
        <v>95</v>
      </c>
      <c r="O19" s="298" t="s">
        <v>118</v>
      </c>
      <c r="P19" s="306" t="s">
        <v>91</v>
      </c>
      <c r="Q19" s="298" t="s">
        <v>552</v>
      </c>
      <c r="R19" s="299" t="s">
        <v>148</v>
      </c>
      <c r="S19" s="309"/>
    </row>
    <row r="20" spans="1:19">
      <c r="A20" s="427">
        <v>527</v>
      </c>
      <c r="B20" s="428" t="s">
        <v>143</v>
      </c>
      <c r="C20" s="428">
        <v>24</v>
      </c>
      <c r="D20" s="428">
        <v>1</v>
      </c>
      <c r="E20" s="445" t="s">
        <v>125</v>
      </c>
      <c r="F20" s="627">
        <v>200.41</v>
      </c>
      <c r="H20" s="490"/>
      <c r="I20" s="60">
        <v>-0.34</v>
      </c>
      <c r="J20" s="451">
        <v>-0.79817685008049</v>
      </c>
      <c r="K20" s="491">
        <f t="shared" si="0"/>
        <v>13.992952757961998</v>
      </c>
      <c r="L20" s="295" t="s">
        <v>666</v>
      </c>
      <c r="M20" s="296" t="s">
        <v>16</v>
      </c>
      <c r="N20" s="297" t="s">
        <v>126</v>
      </c>
      <c r="O20" s="298" t="s">
        <v>118</v>
      </c>
      <c r="P20" s="306" t="s">
        <v>91</v>
      </c>
      <c r="Q20" s="298" t="s">
        <v>552</v>
      </c>
      <c r="R20" s="299" t="s">
        <v>148</v>
      </c>
      <c r="S20" s="309"/>
    </row>
    <row r="21" spans="1:19">
      <c r="A21" s="427">
        <v>527</v>
      </c>
      <c r="B21" s="428" t="s">
        <v>143</v>
      </c>
      <c r="C21" s="428">
        <v>24</v>
      </c>
      <c r="D21" s="428">
        <v>1</v>
      </c>
      <c r="E21" s="445" t="s">
        <v>125</v>
      </c>
      <c r="F21" s="627">
        <v>200.41</v>
      </c>
      <c r="H21" s="490"/>
      <c r="I21" s="60">
        <v>-0.57999999999999996</v>
      </c>
      <c r="J21" s="451">
        <v>-0.79817685008049</v>
      </c>
      <c r="K21" s="491">
        <f t="shared" si="0"/>
        <v>15.091943518038521</v>
      </c>
      <c r="L21" s="295" t="s">
        <v>666</v>
      </c>
      <c r="M21" s="296" t="s">
        <v>16</v>
      </c>
      <c r="N21" s="297" t="s">
        <v>127</v>
      </c>
      <c r="O21" s="298" t="s">
        <v>118</v>
      </c>
      <c r="P21" s="306" t="s">
        <v>91</v>
      </c>
      <c r="Q21" s="298" t="s">
        <v>552</v>
      </c>
      <c r="R21" s="299" t="s">
        <v>148</v>
      </c>
      <c r="S21" s="309"/>
    </row>
    <row r="22" spans="1:19">
      <c r="A22" s="427">
        <v>527</v>
      </c>
      <c r="B22" s="428" t="s">
        <v>143</v>
      </c>
      <c r="C22" s="428">
        <v>24</v>
      </c>
      <c r="D22" s="428">
        <v>1</v>
      </c>
      <c r="E22" s="445" t="s">
        <v>125</v>
      </c>
      <c r="F22" s="627">
        <v>200.41</v>
      </c>
      <c r="H22" s="490"/>
      <c r="I22" s="60">
        <v>-0.49</v>
      </c>
      <c r="J22" s="451">
        <v>-0.79817685008049</v>
      </c>
      <c r="K22" s="491">
        <f t="shared" si="0"/>
        <v>14.678606983009825</v>
      </c>
      <c r="L22" s="295" t="s">
        <v>666</v>
      </c>
      <c r="M22" s="296" t="s">
        <v>16</v>
      </c>
      <c r="N22" s="297" t="s">
        <v>95</v>
      </c>
      <c r="O22" s="298" t="s">
        <v>118</v>
      </c>
      <c r="P22" s="306" t="s">
        <v>91</v>
      </c>
      <c r="Q22" s="298" t="s">
        <v>552</v>
      </c>
      <c r="R22" s="299" t="s">
        <v>148</v>
      </c>
      <c r="S22" s="309"/>
    </row>
    <row r="23" spans="1:19">
      <c r="A23" s="427">
        <v>527</v>
      </c>
      <c r="B23" s="428" t="s">
        <v>143</v>
      </c>
      <c r="C23" s="428">
        <v>24</v>
      </c>
      <c r="D23" s="428">
        <v>2</v>
      </c>
      <c r="E23" s="628" t="s">
        <v>145</v>
      </c>
      <c r="F23" s="627">
        <v>200.54</v>
      </c>
      <c r="H23" s="490"/>
      <c r="I23" s="60">
        <v>-0.48</v>
      </c>
      <c r="J23" s="451">
        <v>-0.79817685008049</v>
      </c>
      <c r="K23" s="491">
        <f t="shared" si="0"/>
        <v>14.63277070133997</v>
      </c>
      <c r="L23" s="295" t="s">
        <v>666</v>
      </c>
      <c r="M23" s="296" t="s">
        <v>16</v>
      </c>
      <c r="N23" s="297" t="s">
        <v>126</v>
      </c>
      <c r="O23" s="298" t="s">
        <v>118</v>
      </c>
      <c r="P23" s="306" t="s">
        <v>91</v>
      </c>
      <c r="Q23" s="298" t="s">
        <v>552</v>
      </c>
      <c r="R23" s="299" t="s">
        <v>148</v>
      </c>
      <c r="S23" s="309"/>
    </row>
    <row r="24" spans="1:19">
      <c r="A24" s="427">
        <v>527</v>
      </c>
      <c r="B24" s="428" t="s">
        <v>143</v>
      </c>
      <c r="C24" s="428">
        <v>24</v>
      </c>
      <c r="D24" s="428">
        <v>2</v>
      </c>
      <c r="E24" s="628" t="s">
        <v>145</v>
      </c>
      <c r="F24" s="627">
        <v>200.54</v>
      </c>
      <c r="H24" s="490"/>
      <c r="I24" s="60">
        <v>-0.65</v>
      </c>
      <c r="J24" s="451">
        <v>-0.79817685008049</v>
      </c>
      <c r="K24" s="491">
        <f t="shared" si="0"/>
        <v>15.414435489727509</v>
      </c>
      <c r="L24" s="295" t="s">
        <v>666</v>
      </c>
      <c r="M24" s="296" t="s">
        <v>16</v>
      </c>
      <c r="N24" s="297" t="s">
        <v>127</v>
      </c>
      <c r="O24" s="298" t="s">
        <v>118</v>
      </c>
      <c r="P24" s="306" t="s">
        <v>91</v>
      </c>
      <c r="Q24" s="298" t="s">
        <v>552</v>
      </c>
      <c r="R24" s="299" t="s">
        <v>148</v>
      </c>
      <c r="S24" s="309"/>
    </row>
    <row r="25" spans="1:19">
      <c r="A25" s="427">
        <v>527</v>
      </c>
      <c r="B25" s="428" t="s">
        <v>143</v>
      </c>
      <c r="C25" s="428">
        <v>24</v>
      </c>
      <c r="D25" s="428">
        <v>2</v>
      </c>
      <c r="E25" s="628" t="s">
        <v>145</v>
      </c>
      <c r="F25" s="627">
        <v>200.54</v>
      </c>
      <c r="H25" s="490"/>
      <c r="I25" s="60">
        <v>-0.59</v>
      </c>
      <c r="J25" s="451">
        <v>-0.79817685008049</v>
      </c>
      <c r="K25" s="491">
        <f t="shared" si="0"/>
        <v>15.137959799708376</v>
      </c>
      <c r="L25" s="295" t="s">
        <v>666</v>
      </c>
      <c r="M25" s="296" t="s">
        <v>16</v>
      </c>
      <c r="N25" s="297" t="s">
        <v>95</v>
      </c>
      <c r="O25" s="298" t="s">
        <v>118</v>
      </c>
      <c r="P25" s="306" t="s">
        <v>91</v>
      </c>
      <c r="Q25" s="298" t="s">
        <v>552</v>
      </c>
      <c r="R25" s="299" t="s">
        <v>148</v>
      </c>
      <c r="S25" s="309"/>
    </row>
    <row r="26" spans="1:19">
      <c r="A26" s="427">
        <v>527</v>
      </c>
      <c r="B26" s="428" t="s">
        <v>143</v>
      </c>
      <c r="C26" s="428">
        <v>24</v>
      </c>
      <c r="D26" s="428">
        <v>2</v>
      </c>
      <c r="E26" s="628" t="s">
        <v>146</v>
      </c>
      <c r="F26" s="627">
        <v>200.59</v>
      </c>
      <c r="H26" s="490"/>
      <c r="I26" s="60">
        <v>-0.9</v>
      </c>
      <c r="J26" s="451">
        <v>-0.79817685008049</v>
      </c>
      <c r="K26" s="491">
        <f t="shared" si="0"/>
        <v>16.573392531473885</v>
      </c>
      <c r="L26" s="295" t="s">
        <v>666</v>
      </c>
      <c r="M26" s="296" t="s">
        <v>16</v>
      </c>
      <c r="N26" s="297" t="s">
        <v>126</v>
      </c>
      <c r="O26" s="298" t="s">
        <v>118</v>
      </c>
      <c r="P26" s="306" t="s">
        <v>91</v>
      </c>
      <c r="Q26" s="298" t="s">
        <v>552</v>
      </c>
      <c r="R26" s="299" t="s">
        <v>148</v>
      </c>
      <c r="S26" s="309"/>
    </row>
    <row r="27" spans="1:19">
      <c r="A27" s="427">
        <v>527</v>
      </c>
      <c r="B27" s="428" t="s">
        <v>143</v>
      </c>
      <c r="C27" s="428">
        <v>24</v>
      </c>
      <c r="D27" s="428">
        <v>2</v>
      </c>
      <c r="E27" s="628" t="s">
        <v>146</v>
      </c>
      <c r="F27" s="629">
        <v>200.59</v>
      </c>
      <c r="H27" s="490"/>
      <c r="I27" s="443">
        <v>-0.84</v>
      </c>
      <c r="J27" s="451">
        <v>-0.79817685008049</v>
      </c>
      <c r="K27" s="491">
        <f t="shared" si="0"/>
        <v>16.294216841454755</v>
      </c>
      <c r="L27" s="295" t="s">
        <v>666</v>
      </c>
      <c r="M27" s="296" t="s">
        <v>16</v>
      </c>
      <c r="N27" s="297" t="s">
        <v>127</v>
      </c>
      <c r="O27" s="298" t="s">
        <v>118</v>
      </c>
      <c r="P27" s="306" t="s">
        <v>91</v>
      </c>
      <c r="Q27" s="298" t="s">
        <v>552</v>
      </c>
      <c r="R27" s="299" t="s">
        <v>148</v>
      </c>
      <c r="S27" s="309"/>
    </row>
    <row r="28" spans="1:19">
      <c r="A28" s="427">
        <v>527</v>
      </c>
      <c r="B28" s="428" t="s">
        <v>143</v>
      </c>
      <c r="C28" s="428">
        <v>24</v>
      </c>
      <c r="D28" s="428">
        <v>2</v>
      </c>
      <c r="E28" s="628" t="s">
        <v>146</v>
      </c>
      <c r="F28" s="629">
        <v>200.59</v>
      </c>
      <c r="H28" s="490"/>
      <c r="I28" s="443">
        <v>-0.87</v>
      </c>
      <c r="J28" s="451">
        <v>-0.79817685008049</v>
      </c>
      <c r="K28" s="491">
        <f t="shared" si="0"/>
        <v>16.433723686464319</v>
      </c>
      <c r="L28" s="295" t="s">
        <v>666</v>
      </c>
      <c r="M28" s="296" t="s">
        <v>16</v>
      </c>
      <c r="N28" s="297" t="s">
        <v>95</v>
      </c>
      <c r="O28" s="298" t="s">
        <v>118</v>
      </c>
      <c r="P28" s="306" t="s">
        <v>91</v>
      </c>
      <c r="Q28" s="298" t="s">
        <v>552</v>
      </c>
      <c r="R28" s="299" t="s">
        <v>148</v>
      </c>
      <c r="S28" s="309"/>
    </row>
    <row r="29" spans="1:19">
      <c r="A29" s="427">
        <v>527</v>
      </c>
      <c r="B29" s="428" t="s">
        <v>143</v>
      </c>
      <c r="C29" s="428">
        <v>24</v>
      </c>
      <c r="D29" s="428">
        <v>2</v>
      </c>
      <c r="E29" s="628" t="s">
        <v>147</v>
      </c>
      <c r="F29" s="629">
        <v>200.62</v>
      </c>
      <c r="H29" s="490"/>
      <c r="I29" s="443">
        <v>-1.1499999999999999</v>
      </c>
      <c r="J29" s="451">
        <v>-0.79817685008049</v>
      </c>
      <c r="K29" s="491">
        <f t="shared" si="0"/>
        <v>17.743599573220266</v>
      </c>
      <c r="L29" s="295" t="s">
        <v>666</v>
      </c>
      <c r="M29" s="296" t="s">
        <v>16</v>
      </c>
      <c r="N29" s="297" t="s">
        <v>126</v>
      </c>
      <c r="O29" s="298" t="s">
        <v>118</v>
      </c>
      <c r="P29" s="306" t="s">
        <v>91</v>
      </c>
      <c r="Q29" s="298" t="s">
        <v>552</v>
      </c>
      <c r="R29" s="299" t="s">
        <v>148</v>
      </c>
      <c r="S29" s="309"/>
    </row>
    <row r="30" spans="1:19">
      <c r="A30" s="427">
        <v>527</v>
      </c>
      <c r="B30" s="428" t="s">
        <v>143</v>
      </c>
      <c r="C30" s="428">
        <v>24</v>
      </c>
      <c r="D30" s="428">
        <v>2</v>
      </c>
      <c r="E30" s="628" t="s">
        <v>147</v>
      </c>
      <c r="F30" s="629">
        <v>200.62</v>
      </c>
      <c r="H30" s="490"/>
      <c r="I30" s="443">
        <v>-1.06</v>
      </c>
      <c r="J30" s="451">
        <v>-0.79817685008049</v>
      </c>
      <c r="K30" s="491">
        <f t="shared" si="0"/>
        <v>17.321029038191568</v>
      </c>
      <c r="L30" s="295" t="s">
        <v>666</v>
      </c>
      <c r="M30" s="296" t="s">
        <v>16</v>
      </c>
      <c r="N30" s="297" t="s">
        <v>127</v>
      </c>
      <c r="O30" s="298" t="s">
        <v>118</v>
      </c>
      <c r="P30" s="306" t="s">
        <v>91</v>
      </c>
      <c r="Q30" s="298" t="s">
        <v>552</v>
      </c>
      <c r="R30" s="299" t="s">
        <v>148</v>
      </c>
      <c r="S30" s="309"/>
    </row>
    <row r="31" spans="1:19">
      <c r="A31" s="427">
        <v>527</v>
      </c>
      <c r="B31" s="428" t="s">
        <v>143</v>
      </c>
      <c r="C31" s="428">
        <v>24</v>
      </c>
      <c r="D31" s="428">
        <v>2</v>
      </c>
      <c r="E31" s="628" t="s">
        <v>147</v>
      </c>
      <c r="F31" s="629">
        <v>200.62</v>
      </c>
      <c r="H31" s="490"/>
      <c r="I31" s="443">
        <v>-1.08</v>
      </c>
      <c r="J31" s="451">
        <v>-0.79817685008049</v>
      </c>
      <c r="K31" s="491">
        <f t="shared" si="0"/>
        <v>17.41480760153128</v>
      </c>
      <c r="L31" s="295" t="s">
        <v>666</v>
      </c>
      <c r="M31" s="296" t="s">
        <v>16</v>
      </c>
      <c r="N31" s="297" t="s">
        <v>95</v>
      </c>
      <c r="O31" s="298" t="s">
        <v>118</v>
      </c>
      <c r="P31" s="306" t="s">
        <v>91</v>
      </c>
      <c r="Q31" s="298" t="s">
        <v>552</v>
      </c>
      <c r="R31" s="299" t="s">
        <v>148</v>
      </c>
      <c r="S31" s="309"/>
    </row>
    <row r="32" spans="1:19">
      <c r="A32" s="427">
        <v>527</v>
      </c>
      <c r="B32" s="428" t="s">
        <v>143</v>
      </c>
      <c r="C32" s="428">
        <v>24</v>
      </c>
      <c r="D32" s="428">
        <v>2</v>
      </c>
      <c r="E32" s="445" t="s">
        <v>102</v>
      </c>
      <c r="F32" s="621">
        <v>200.66</v>
      </c>
      <c r="G32" s="69" t="s">
        <v>20</v>
      </c>
      <c r="H32" s="490"/>
      <c r="I32" s="443">
        <v>-1.31</v>
      </c>
      <c r="J32" s="451">
        <v>-0.79817685008049</v>
      </c>
      <c r="K32" s="492">
        <f t="shared" si="0"/>
        <v>18.498436079937946</v>
      </c>
      <c r="L32" s="295" t="s">
        <v>666</v>
      </c>
      <c r="M32" s="296" t="s">
        <v>16</v>
      </c>
      <c r="N32" s="297" t="s">
        <v>126</v>
      </c>
      <c r="O32" s="298" t="s">
        <v>118</v>
      </c>
      <c r="P32" s="306" t="s">
        <v>91</v>
      </c>
      <c r="Q32" s="298" t="s">
        <v>552</v>
      </c>
      <c r="R32" s="299" t="s">
        <v>148</v>
      </c>
      <c r="S32" s="309"/>
    </row>
    <row r="33" spans="1:19">
      <c r="A33" s="427">
        <v>527</v>
      </c>
      <c r="B33" s="428" t="s">
        <v>143</v>
      </c>
      <c r="C33" s="428">
        <v>24</v>
      </c>
      <c r="D33" s="428">
        <v>2</v>
      </c>
      <c r="E33" s="199" t="s">
        <v>102</v>
      </c>
      <c r="F33" s="621">
        <v>200.66</v>
      </c>
      <c r="G33" s="69" t="s">
        <v>20</v>
      </c>
      <c r="H33" s="474"/>
      <c r="I33" s="443">
        <v>-1.36</v>
      </c>
      <c r="J33" s="451">
        <v>-0.79817685008049</v>
      </c>
      <c r="K33" s="492">
        <f t="shared" si="0"/>
        <v>18.735267488287221</v>
      </c>
      <c r="L33" s="295" t="s">
        <v>666</v>
      </c>
      <c r="M33" s="296" t="s">
        <v>16</v>
      </c>
      <c r="N33" s="297" t="s">
        <v>127</v>
      </c>
      <c r="O33" s="298" t="s">
        <v>118</v>
      </c>
      <c r="P33" s="306" t="s">
        <v>91</v>
      </c>
      <c r="Q33" s="298" t="s">
        <v>552</v>
      </c>
      <c r="R33" s="299" t="s">
        <v>148</v>
      </c>
      <c r="S33" s="300"/>
    </row>
    <row r="34" spans="1:19">
      <c r="A34" s="427">
        <v>527</v>
      </c>
      <c r="B34" s="428" t="s">
        <v>143</v>
      </c>
      <c r="C34" s="428">
        <v>24</v>
      </c>
      <c r="D34" s="428">
        <v>2</v>
      </c>
      <c r="E34" s="199" t="s">
        <v>102</v>
      </c>
      <c r="F34" s="621">
        <v>200.66</v>
      </c>
      <c r="G34" s="69" t="s">
        <v>20</v>
      </c>
      <c r="H34" s="474"/>
      <c r="I34" s="443">
        <v>-1.38</v>
      </c>
      <c r="J34" s="451">
        <v>-0.79817685008049</v>
      </c>
      <c r="K34" s="492">
        <f t="shared" si="0"/>
        <v>18.830126051626934</v>
      </c>
      <c r="L34" s="295" t="s">
        <v>666</v>
      </c>
      <c r="M34" s="296" t="s">
        <v>16</v>
      </c>
      <c r="N34" s="297" t="s">
        <v>95</v>
      </c>
      <c r="O34" s="298" t="s">
        <v>118</v>
      </c>
      <c r="P34" s="306" t="s">
        <v>91</v>
      </c>
      <c r="Q34" s="298" t="s">
        <v>552</v>
      </c>
      <c r="R34" s="299" t="s">
        <v>148</v>
      </c>
      <c r="S34" s="300"/>
    </row>
    <row r="35" spans="1:19">
      <c r="A35" s="427">
        <v>527</v>
      </c>
      <c r="B35" s="428" t="s">
        <v>143</v>
      </c>
      <c r="C35" s="428">
        <v>24</v>
      </c>
      <c r="D35" s="428">
        <v>2</v>
      </c>
      <c r="E35" s="199" t="s">
        <v>128</v>
      </c>
      <c r="F35" s="621">
        <v>200.71</v>
      </c>
      <c r="G35" s="69" t="s">
        <v>20</v>
      </c>
      <c r="H35" s="474"/>
      <c r="I35" s="443">
        <v>-1.44</v>
      </c>
      <c r="J35" s="451">
        <v>-0.79817685008049</v>
      </c>
      <c r="K35" s="492">
        <f t="shared" si="0"/>
        <v>19.115133741646062</v>
      </c>
      <c r="L35" s="295" t="s">
        <v>666</v>
      </c>
      <c r="M35" s="296" t="s">
        <v>16</v>
      </c>
      <c r="N35" s="297" t="s">
        <v>126</v>
      </c>
      <c r="O35" s="298" t="s">
        <v>118</v>
      </c>
      <c r="P35" s="306" t="s">
        <v>91</v>
      </c>
      <c r="Q35" s="298" t="s">
        <v>552</v>
      </c>
      <c r="R35" s="299" t="s">
        <v>148</v>
      </c>
      <c r="S35" s="300"/>
    </row>
    <row r="36" spans="1:19">
      <c r="A36" s="427">
        <v>527</v>
      </c>
      <c r="B36" s="428" t="s">
        <v>143</v>
      </c>
      <c r="C36" s="428">
        <v>24</v>
      </c>
      <c r="D36" s="428">
        <v>2</v>
      </c>
      <c r="E36" s="199" t="s">
        <v>128</v>
      </c>
      <c r="F36" s="621">
        <v>200.71</v>
      </c>
      <c r="G36" s="69" t="s">
        <v>20</v>
      </c>
      <c r="H36" s="474"/>
      <c r="I36" s="443">
        <v>-1.38</v>
      </c>
      <c r="J36" s="451">
        <v>-0.79817685008049</v>
      </c>
      <c r="K36" s="492">
        <f t="shared" si="0"/>
        <v>18.830126051626934</v>
      </c>
      <c r="L36" s="295" t="s">
        <v>666</v>
      </c>
      <c r="M36" s="296" t="s">
        <v>16</v>
      </c>
      <c r="N36" s="297" t="s">
        <v>127</v>
      </c>
      <c r="O36" s="298" t="s">
        <v>118</v>
      </c>
      <c r="P36" s="306" t="s">
        <v>91</v>
      </c>
      <c r="Q36" s="298" t="s">
        <v>552</v>
      </c>
      <c r="R36" s="299" t="s">
        <v>148</v>
      </c>
      <c r="S36" s="300"/>
    </row>
    <row r="37" spans="1:19">
      <c r="A37" s="427">
        <v>527</v>
      </c>
      <c r="B37" s="428" t="s">
        <v>143</v>
      </c>
      <c r="C37" s="428">
        <v>24</v>
      </c>
      <c r="D37" s="428">
        <v>2</v>
      </c>
      <c r="E37" s="199" t="s">
        <v>129</v>
      </c>
      <c r="F37" s="621">
        <v>200.75</v>
      </c>
      <c r="G37" s="69" t="s">
        <v>20</v>
      </c>
      <c r="H37" s="474"/>
      <c r="I37" s="443">
        <v>-1.32</v>
      </c>
      <c r="J37" s="451">
        <v>-0.79817685008049</v>
      </c>
      <c r="K37" s="492">
        <f t="shared" si="0"/>
        <v>18.5457663616078</v>
      </c>
      <c r="L37" s="295" t="s">
        <v>666</v>
      </c>
      <c r="M37" s="296" t="s">
        <v>16</v>
      </c>
      <c r="N37" s="297" t="s">
        <v>127</v>
      </c>
      <c r="O37" s="298" t="s">
        <v>118</v>
      </c>
      <c r="P37" s="306" t="s">
        <v>91</v>
      </c>
      <c r="Q37" s="298" t="s">
        <v>552</v>
      </c>
      <c r="R37" s="299" t="s">
        <v>148</v>
      </c>
      <c r="S37" s="300"/>
    </row>
    <row r="38" spans="1:19">
      <c r="A38" s="427">
        <v>527</v>
      </c>
      <c r="B38" s="428" t="s">
        <v>143</v>
      </c>
      <c r="C38" s="428">
        <v>24</v>
      </c>
      <c r="D38" s="428">
        <v>2</v>
      </c>
      <c r="E38" s="199" t="s">
        <v>119</v>
      </c>
      <c r="F38" s="621">
        <v>200.77</v>
      </c>
      <c r="G38" s="69" t="s">
        <v>20</v>
      </c>
      <c r="H38" s="474"/>
      <c r="I38" s="443">
        <v>-1.78</v>
      </c>
      <c r="J38" s="451">
        <v>-0.79817685008049</v>
      </c>
      <c r="K38" s="492">
        <f t="shared" si="0"/>
        <v>20.742417318421136</v>
      </c>
      <c r="L38" s="295" t="s">
        <v>666</v>
      </c>
      <c r="M38" s="296" t="s">
        <v>16</v>
      </c>
      <c r="N38" s="297" t="s">
        <v>126</v>
      </c>
      <c r="O38" s="298" t="s">
        <v>118</v>
      </c>
      <c r="P38" s="306" t="s">
        <v>91</v>
      </c>
      <c r="Q38" s="298" t="s">
        <v>552</v>
      </c>
      <c r="R38" s="299" t="s">
        <v>148</v>
      </c>
      <c r="S38" s="300"/>
    </row>
    <row r="39" spans="1:19">
      <c r="A39" s="427">
        <v>527</v>
      </c>
      <c r="B39" s="428" t="s">
        <v>143</v>
      </c>
      <c r="C39" s="428">
        <v>24</v>
      </c>
      <c r="D39" s="428">
        <v>2</v>
      </c>
      <c r="E39" s="199" t="s">
        <v>119</v>
      </c>
      <c r="F39" s="621">
        <v>200.77</v>
      </c>
      <c r="G39" s="69" t="s">
        <v>20</v>
      </c>
      <c r="H39" s="474"/>
      <c r="I39" s="443">
        <v>-1.5</v>
      </c>
      <c r="J39" s="451">
        <v>-0.79817685008049</v>
      </c>
      <c r="K39" s="492">
        <f t="shared" si="0"/>
        <v>19.400789431665192</v>
      </c>
      <c r="L39" s="295" t="s">
        <v>666</v>
      </c>
      <c r="M39" s="296" t="s">
        <v>16</v>
      </c>
      <c r="N39" s="297" t="s">
        <v>127</v>
      </c>
      <c r="O39" s="298" t="s">
        <v>118</v>
      </c>
      <c r="P39" s="306" t="s">
        <v>91</v>
      </c>
      <c r="Q39" s="298" t="s">
        <v>552</v>
      </c>
      <c r="R39" s="299" t="s">
        <v>148</v>
      </c>
      <c r="S39" s="300"/>
    </row>
    <row r="40" spans="1:19">
      <c r="A40" s="427">
        <v>527</v>
      </c>
      <c r="B40" s="428" t="s">
        <v>143</v>
      </c>
      <c r="C40" s="428">
        <v>24</v>
      </c>
      <c r="D40" s="428">
        <v>2</v>
      </c>
      <c r="E40" s="199" t="s">
        <v>112</v>
      </c>
      <c r="F40" s="621">
        <v>200.8</v>
      </c>
      <c r="G40" s="69" t="s">
        <v>20</v>
      </c>
      <c r="H40" s="474"/>
      <c r="I40" s="443">
        <v>-1.58</v>
      </c>
      <c r="J40" s="451">
        <v>-0.79817685008049</v>
      </c>
      <c r="K40" s="492">
        <f t="shared" si="0"/>
        <v>19.782671685024031</v>
      </c>
      <c r="L40" s="295" t="s">
        <v>666</v>
      </c>
      <c r="M40" s="296" t="s">
        <v>16</v>
      </c>
      <c r="N40" s="297" t="s">
        <v>126</v>
      </c>
      <c r="O40" s="298" t="s">
        <v>118</v>
      </c>
      <c r="P40" s="306" t="s">
        <v>91</v>
      </c>
      <c r="Q40" s="298" t="s">
        <v>552</v>
      </c>
      <c r="R40" s="299" t="s">
        <v>148</v>
      </c>
      <c r="S40" s="300"/>
    </row>
    <row r="41" spans="1:19">
      <c r="A41" s="427">
        <v>527</v>
      </c>
      <c r="B41" s="428" t="s">
        <v>143</v>
      </c>
      <c r="C41" s="428">
        <v>24</v>
      </c>
      <c r="D41" s="428">
        <v>2</v>
      </c>
      <c r="E41" s="199" t="s">
        <v>112</v>
      </c>
      <c r="F41" s="621">
        <v>200.8</v>
      </c>
      <c r="G41" s="69" t="s">
        <v>20</v>
      </c>
      <c r="H41" s="474"/>
      <c r="I41" s="443">
        <v>-1.49</v>
      </c>
      <c r="J41" s="451">
        <v>-0.79817685008049</v>
      </c>
      <c r="K41" s="492">
        <f t="shared" si="0"/>
        <v>19.353135149995335</v>
      </c>
      <c r="L41" s="295" t="s">
        <v>666</v>
      </c>
      <c r="M41" s="296" t="s">
        <v>16</v>
      </c>
      <c r="N41" s="297" t="s">
        <v>127</v>
      </c>
      <c r="O41" s="298" t="s">
        <v>118</v>
      </c>
      <c r="P41" s="306" t="s">
        <v>91</v>
      </c>
      <c r="Q41" s="298" t="s">
        <v>552</v>
      </c>
      <c r="R41" s="299" t="s">
        <v>148</v>
      </c>
      <c r="S41" s="300"/>
    </row>
    <row r="42" spans="1:19">
      <c r="A42" s="427">
        <v>527</v>
      </c>
      <c r="B42" s="428" t="s">
        <v>143</v>
      </c>
      <c r="C42" s="428">
        <v>24</v>
      </c>
      <c r="D42" s="428">
        <v>2</v>
      </c>
      <c r="E42" s="199" t="s">
        <v>130</v>
      </c>
      <c r="F42" s="621">
        <v>200.85</v>
      </c>
      <c r="G42" s="69" t="s">
        <v>20</v>
      </c>
      <c r="H42" s="474"/>
      <c r="I42" s="443">
        <v>-1.54</v>
      </c>
      <c r="J42" s="451">
        <v>-0.79817685008049</v>
      </c>
      <c r="K42" s="492">
        <f t="shared" si="0"/>
        <v>19.591586558344613</v>
      </c>
      <c r="L42" s="295" t="s">
        <v>666</v>
      </c>
      <c r="M42" s="296" t="s">
        <v>16</v>
      </c>
      <c r="N42" s="297" t="s">
        <v>127</v>
      </c>
      <c r="O42" s="298" t="s">
        <v>118</v>
      </c>
      <c r="P42" s="306" t="s">
        <v>91</v>
      </c>
      <c r="Q42" s="298" t="s">
        <v>552</v>
      </c>
      <c r="R42" s="299" t="s">
        <v>148</v>
      </c>
      <c r="S42" s="300"/>
    </row>
    <row r="43" spans="1:19">
      <c r="A43" s="427">
        <v>527</v>
      </c>
      <c r="B43" s="428" t="s">
        <v>143</v>
      </c>
      <c r="C43" s="428">
        <v>24</v>
      </c>
      <c r="D43" s="428">
        <v>2</v>
      </c>
      <c r="E43" s="199" t="s">
        <v>131</v>
      </c>
      <c r="F43" s="629">
        <v>201</v>
      </c>
      <c r="G43" s="69" t="s">
        <v>196</v>
      </c>
      <c r="H43" s="474"/>
      <c r="I43" s="443">
        <v>-0.83</v>
      </c>
      <c r="J43" s="451">
        <v>-0.79817685008049</v>
      </c>
      <c r="K43" s="494">
        <f t="shared" si="0"/>
        <v>16.247750559784901</v>
      </c>
      <c r="L43" s="295" t="s">
        <v>666</v>
      </c>
      <c r="M43" s="296" t="s">
        <v>16</v>
      </c>
      <c r="N43" s="297" t="s">
        <v>126</v>
      </c>
      <c r="O43" s="298" t="s">
        <v>118</v>
      </c>
      <c r="P43" s="306" t="s">
        <v>91</v>
      </c>
      <c r="Q43" s="298" t="s">
        <v>552</v>
      </c>
      <c r="R43" s="299" t="s">
        <v>148</v>
      </c>
      <c r="S43" s="300"/>
    </row>
    <row r="44" spans="1:19">
      <c r="A44" s="427">
        <v>527</v>
      </c>
      <c r="B44" s="428" t="s">
        <v>143</v>
      </c>
      <c r="C44" s="428">
        <v>24</v>
      </c>
      <c r="D44" s="428">
        <v>2</v>
      </c>
      <c r="E44" s="199" t="s">
        <v>132</v>
      </c>
      <c r="F44" s="629">
        <v>201.06</v>
      </c>
      <c r="G44" s="69" t="s">
        <v>196</v>
      </c>
      <c r="H44" s="474"/>
      <c r="I44" s="443">
        <f>-0.86</f>
        <v>-0.86</v>
      </c>
      <c r="J44" s="451">
        <v>-0.79817685008049</v>
      </c>
      <c r="K44" s="494">
        <f t="shared" si="0"/>
        <v>16.387203404794466</v>
      </c>
      <c r="L44" s="295" t="s">
        <v>666</v>
      </c>
      <c r="M44" s="296" t="s">
        <v>16</v>
      </c>
      <c r="N44" s="297" t="s">
        <v>126</v>
      </c>
      <c r="O44" s="298" t="s">
        <v>118</v>
      </c>
      <c r="P44" s="306" t="s">
        <v>91</v>
      </c>
      <c r="Q44" s="298" t="s">
        <v>552</v>
      </c>
      <c r="R44" s="299" t="s">
        <v>148</v>
      </c>
      <c r="S44" s="300"/>
    </row>
    <row r="45" spans="1:19">
      <c r="A45" s="427">
        <v>527</v>
      </c>
      <c r="B45" s="428" t="s">
        <v>143</v>
      </c>
      <c r="C45" s="428">
        <v>24</v>
      </c>
      <c r="D45" s="428">
        <v>2</v>
      </c>
      <c r="E45" s="199" t="s">
        <v>133</v>
      </c>
      <c r="F45" s="629">
        <v>201.08</v>
      </c>
      <c r="G45" s="69" t="s">
        <v>196</v>
      </c>
      <c r="H45" s="474"/>
      <c r="I45" s="443">
        <v>-0.74</v>
      </c>
      <c r="J45" s="451">
        <v>-0.79817685008049</v>
      </c>
      <c r="K45" s="494">
        <f t="shared" si="0"/>
        <v>15.830364024756204</v>
      </c>
      <c r="L45" s="295" t="s">
        <v>666</v>
      </c>
      <c r="M45" s="296" t="s">
        <v>16</v>
      </c>
      <c r="N45" s="297" t="s">
        <v>126</v>
      </c>
      <c r="O45" s="298" t="s">
        <v>118</v>
      </c>
      <c r="P45" s="306" t="s">
        <v>91</v>
      </c>
      <c r="Q45" s="298" t="s">
        <v>552</v>
      </c>
      <c r="R45" s="299" t="s">
        <v>148</v>
      </c>
      <c r="S45" s="300"/>
    </row>
    <row r="46" spans="1:19">
      <c r="A46" s="427">
        <v>527</v>
      </c>
      <c r="B46" s="428" t="s">
        <v>143</v>
      </c>
      <c r="C46" s="428">
        <v>24</v>
      </c>
      <c r="D46" s="428">
        <v>2</v>
      </c>
      <c r="E46" s="199" t="s">
        <v>133</v>
      </c>
      <c r="F46" s="629">
        <v>201.08</v>
      </c>
      <c r="G46" s="69" t="s">
        <v>196</v>
      </c>
      <c r="H46" s="474"/>
      <c r="I46" s="443">
        <v>-0.54</v>
      </c>
      <c r="J46" s="451">
        <v>-0.79817685008049</v>
      </c>
      <c r="K46" s="494">
        <f t="shared" si="0"/>
        <v>14.908058391359102</v>
      </c>
      <c r="L46" s="295" t="s">
        <v>666</v>
      </c>
      <c r="M46" s="296" t="s">
        <v>16</v>
      </c>
      <c r="N46" s="297" t="s">
        <v>127</v>
      </c>
      <c r="O46" s="298" t="s">
        <v>118</v>
      </c>
      <c r="P46" s="306" t="s">
        <v>91</v>
      </c>
      <c r="Q46" s="298" t="s">
        <v>552</v>
      </c>
      <c r="R46" s="299" t="s">
        <v>148</v>
      </c>
      <c r="S46" s="300"/>
    </row>
    <row r="47" spans="1:19">
      <c r="A47" s="427">
        <v>527</v>
      </c>
      <c r="B47" s="428" t="s">
        <v>143</v>
      </c>
      <c r="C47" s="428">
        <v>24</v>
      </c>
      <c r="D47" s="428">
        <v>2</v>
      </c>
      <c r="E47" s="199" t="s">
        <v>109</v>
      </c>
      <c r="F47" s="629">
        <v>201.1</v>
      </c>
      <c r="G47" s="69" t="s">
        <v>196</v>
      </c>
      <c r="H47" s="474"/>
      <c r="I47" s="443">
        <v>-0.54</v>
      </c>
      <c r="J47" s="451">
        <v>-0.79817685008049</v>
      </c>
      <c r="K47" s="494">
        <f t="shared" si="0"/>
        <v>14.908058391359102</v>
      </c>
      <c r="L47" s="295" t="s">
        <v>666</v>
      </c>
      <c r="M47" s="296" t="s">
        <v>16</v>
      </c>
      <c r="N47" s="297" t="s">
        <v>126</v>
      </c>
      <c r="O47" s="298" t="s">
        <v>118</v>
      </c>
      <c r="P47" s="306" t="s">
        <v>91</v>
      </c>
      <c r="Q47" s="298" t="s">
        <v>552</v>
      </c>
      <c r="R47" s="299" t="s">
        <v>148</v>
      </c>
      <c r="S47" s="300"/>
    </row>
    <row r="48" spans="1:19">
      <c r="A48" s="427">
        <v>527</v>
      </c>
      <c r="B48" s="428" t="s">
        <v>143</v>
      </c>
      <c r="C48" s="428">
        <v>24</v>
      </c>
      <c r="D48" s="428">
        <v>2</v>
      </c>
      <c r="E48" s="199" t="s">
        <v>109</v>
      </c>
      <c r="F48" s="629">
        <v>201.1</v>
      </c>
      <c r="G48" s="69" t="s">
        <v>196</v>
      </c>
      <c r="H48" s="474"/>
      <c r="I48" s="443">
        <v>-0.6</v>
      </c>
      <c r="J48" s="451">
        <v>-0.79817685008049</v>
      </c>
      <c r="K48" s="494">
        <f t="shared" si="0"/>
        <v>15.183994081378232</v>
      </c>
      <c r="L48" s="295" t="s">
        <v>666</v>
      </c>
      <c r="M48" s="296" t="s">
        <v>16</v>
      </c>
      <c r="N48" s="297" t="s">
        <v>127</v>
      </c>
      <c r="O48" s="298" t="s">
        <v>118</v>
      </c>
      <c r="P48" s="306" t="s">
        <v>91</v>
      </c>
      <c r="Q48" s="298" t="s">
        <v>552</v>
      </c>
      <c r="R48" s="299" t="s">
        <v>148</v>
      </c>
      <c r="S48" s="300"/>
    </row>
    <row r="49" spans="1:19">
      <c r="A49" s="427">
        <v>527</v>
      </c>
      <c r="B49" s="428" t="s">
        <v>143</v>
      </c>
      <c r="C49" s="428">
        <v>24</v>
      </c>
      <c r="D49" s="428">
        <v>2</v>
      </c>
      <c r="E49" s="199" t="s">
        <v>109</v>
      </c>
      <c r="F49" s="629">
        <v>201.1</v>
      </c>
      <c r="G49" s="69" t="s">
        <v>196</v>
      </c>
      <c r="H49" s="474"/>
      <c r="I49" s="443">
        <v>-0.74</v>
      </c>
      <c r="J49" s="451">
        <v>-0.79817685008049</v>
      </c>
      <c r="K49" s="494">
        <f t="shared" si="0"/>
        <v>15.830364024756204</v>
      </c>
      <c r="L49" s="295" t="s">
        <v>666</v>
      </c>
      <c r="M49" s="296" t="s">
        <v>16</v>
      </c>
      <c r="N49" s="297" t="s">
        <v>95</v>
      </c>
      <c r="O49" s="298" t="s">
        <v>118</v>
      </c>
      <c r="P49" s="306" t="s">
        <v>91</v>
      </c>
      <c r="Q49" s="298" t="s">
        <v>552</v>
      </c>
      <c r="R49" s="299" t="s">
        <v>148</v>
      </c>
      <c r="S49" s="300"/>
    </row>
    <row r="50" spans="1:19">
      <c r="A50" s="427">
        <v>527</v>
      </c>
      <c r="B50" s="428" t="s">
        <v>143</v>
      </c>
      <c r="C50" s="428">
        <v>24</v>
      </c>
      <c r="D50" s="428">
        <v>2</v>
      </c>
      <c r="E50" s="199" t="s">
        <v>134</v>
      </c>
      <c r="F50" s="629">
        <v>201.14</v>
      </c>
      <c r="G50" s="69" t="s">
        <v>196</v>
      </c>
      <c r="H50" s="474"/>
      <c r="I50" s="443">
        <v>-0.62</v>
      </c>
      <c r="J50" s="451">
        <v>-0.79817685008049</v>
      </c>
      <c r="K50" s="494">
        <f t="shared" si="0"/>
        <v>15.276116644717943</v>
      </c>
      <c r="L50" s="295" t="s">
        <v>666</v>
      </c>
      <c r="M50" s="296" t="s">
        <v>16</v>
      </c>
      <c r="N50" s="297" t="s">
        <v>126</v>
      </c>
      <c r="O50" s="298" t="s">
        <v>118</v>
      </c>
      <c r="P50" s="306" t="s">
        <v>91</v>
      </c>
      <c r="Q50" s="298" t="s">
        <v>552</v>
      </c>
      <c r="R50" s="299" t="s">
        <v>148</v>
      </c>
      <c r="S50" s="300"/>
    </row>
    <row r="51" spans="1:19">
      <c r="A51" s="427">
        <v>527</v>
      </c>
      <c r="B51" s="428" t="s">
        <v>143</v>
      </c>
      <c r="C51" s="428">
        <v>24</v>
      </c>
      <c r="D51" s="428">
        <v>2</v>
      </c>
      <c r="E51" s="199" t="s">
        <v>134</v>
      </c>
      <c r="F51" s="629">
        <v>201.14</v>
      </c>
      <c r="G51" s="69" t="s">
        <v>196</v>
      </c>
      <c r="H51" s="474"/>
      <c r="I51" s="443">
        <v>-0.05</v>
      </c>
      <c r="J51" s="451">
        <v>-0.79817685008049</v>
      </c>
      <c r="K51" s="494">
        <f t="shared" si="0"/>
        <v>12.6788385895362</v>
      </c>
      <c r="L51" s="295" t="s">
        <v>666</v>
      </c>
      <c r="M51" s="296" t="s">
        <v>16</v>
      </c>
      <c r="N51" s="297" t="s">
        <v>127</v>
      </c>
      <c r="O51" s="298" t="s">
        <v>118</v>
      </c>
      <c r="P51" s="306" t="s">
        <v>91</v>
      </c>
      <c r="Q51" s="298" t="s">
        <v>552</v>
      </c>
      <c r="R51" s="299" t="s">
        <v>148</v>
      </c>
      <c r="S51" s="300"/>
    </row>
    <row r="52" spans="1:19">
      <c r="A52" s="427">
        <v>527</v>
      </c>
      <c r="B52" s="428" t="s">
        <v>143</v>
      </c>
      <c r="C52" s="428">
        <v>24</v>
      </c>
      <c r="D52" s="428">
        <v>2</v>
      </c>
      <c r="E52" s="199" t="s">
        <v>134</v>
      </c>
      <c r="F52" s="629">
        <v>201.14</v>
      </c>
      <c r="G52" s="69" t="s">
        <v>196</v>
      </c>
      <c r="H52" s="474"/>
      <c r="I52" s="443">
        <v>-0.78</v>
      </c>
      <c r="J52" s="451">
        <v>-0.79817685008049</v>
      </c>
      <c r="K52" s="494">
        <f t="shared" si="0"/>
        <v>16.015689151435623</v>
      </c>
      <c r="L52" s="295" t="s">
        <v>666</v>
      </c>
      <c r="M52" s="296" t="s">
        <v>16</v>
      </c>
      <c r="N52" s="297" t="s">
        <v>95</v>
      </c>
      <c r="O52" s="298" t="s">
        <v>118</v>
      </c>
      <c r="P52" s="306" t="s">
        <v>91</v>
      </c>
      <c r="Q52" s="298" t="s">
        <v>552</v>
      </c>
      <c r="R52" s="299" t="s">
        <v>148</v>
      </c>
      <c r="S52" s="300"/>
    </row>
    <row r="53" spans="1:19">
      <c r="A53" s="427">
        <v>527</v>
      </c>
      <c r="B53" s="428" t="s">
        <v>143</v>
      </c>
      <c r="C53" s="428">
        <v>24</v>
      </c>
      <c r="D53" s="428">
        <v>2</v>
      </c>
      <c r="E53" s="199" t="s">
        <v>135</v>
      </c>
      <c r="F53" s="629">
        <v>201.16</v>
      </c>
      <c r="G53" s="69" t="s">
        <v>196</v>
      </c>
      <c r="H53" s="474"/>
      <c r="I53" s="443">
        <v>-0.62</v>
      </c>
      <c r="J53" s="451">
        <v>-0.79817685008049</v>
      </c>
      <c r="K53" s="494">
        <f t="shared" si="0"/>
        <v>15.276116644717943</v>
      </c>
      <c r="L53" s="295" t="s">
        <v>666</v>
      </c>
      <c r="M53" s="296" t="s">
        <v>16</v>
      </c>
      <c r="N53" s="297" t="s">
        <v>126</v>
      </c>
      <c r="O53" s="298" t="s">
        <v>118</v>
      </c>
      <c r="P53" s="306" t="s">
        <v>91</v>
      </c>
      <c r="Q53" s="298" t="s">
        <v>552</v>
      </c>
      <c r="R53" s="299" t="s">
        <v>148</v>
      </c>
      <c r="S53" s="300"/>
    </row>
    <row r="54" spans="1:19">
      <c r="A54" s="427">
        <v>527</v>
      </c>
      <c r="B54" s="428" t="s">
        <v>143</v>
      </c>
      <c r="C54" s="428">
        <v>24</v>
      </c>
      <c r="D54" s="428">
        <v>2</v>
      </c>
      <c r="E54" s="199" t="s">
        <v>135</v>
      </c>
      <c r="F54" s="629">
        <v>201.16</v>
      </c>
      <c r="G54" s="69" t="s">
        <v>196</v>
      </c>
      <c r="H54" s="474"/>
      <c r="I54" s="443">
        <v>-0.61</v>
      </c>
      <c r="J54" s="451">
        <v>-0.79817685008049</v>
      </c>
      <c r="K54" s="494">
        <f t="shared" si="0"/>
        <v>15.230046363048087</v>
      </c>
      <c r="L54" s="295" t="s">
        <v>666</v>
      </c>
      <c r="M54" s="296" t="s">
        <v>16</v>
      </c>
      <c r="N54" s="297" t="s">
        <v>127</v>
      </c>
      <c r="O54" s="298" t="s">
        <v>118</v>
      </c>
      <c r="P54" s="306" t="s">
        <v>91</v>
      </c>
      <c r="Q54" s="298" t="s">
        <v>552</v>
      </c>
      <c r="R54" s="299" t="s">
        <v>148</v>
      </c>
      <c r="S54" s="300"/>
    </row>
    <row r="55" spans="1:19">
      <c r="A55" s="427">
        <v>527</v>
      </c>
      <c r="B55" s="428" t="s">
        <v>143</v>
      </c>
      <c r="C55" s="428">
        <v>24</v>
      </c>
      <c r="D55" s="428">
        <v>2</v>
      </c>
      <c r="E55" s="199" t="s">
        <v>136</v>
      </c>
      <c r="F55" s="629">
        <v>201.18</v>
      </c>
      <c r="G55" s="69" t="s">
        <v>196</v>
      </c>
      <c r="H55" s="474"/>
      <c r="I55" s="443">
        <v>-0.79</v>
      </c>
      <c r="J55" s="451">
        <v>-0.79817685008049</v>
      </c>
      <c r="K55" s="494">
        <f t="shared" si="0"/>
        <v>16.062065433105481</v>
      </c>
      <c r="L55" s="295" t="s">
        <v>666</v>
      </c>
      <c r="M55" s="296" t="s">
        <v>16</v>
      </c>
      <c r="N55" s="297" t="s">
        <v>126</v>
      </c>
      <c r="O55" s="298" t="s">
        <v>118</v>
      </c>
      <c r="P55" s="306" t="s">
        <v>91</v>
      </c>
      <c r="Q55" s="298" t="s">
        <v>552</v>
      </c>
      <c r="R55" s="299" t="s">
        <v>148</v>
      </c>
      <c r="S55" s="300"/>
    </row>
    <row r="56" spans="1:19">
      <c r="A56" s="427">
        <v>527</v>
      </c>
      <c r="B56" s="428" t="s">
        <v>143</v>
      </c>
      <c r="C56" s="428">
        <v>24</v>
      </c>
      <c r="D56" s="428">
        <v>2</v>
      </c>
      <c r="E56" s="199" t="s">
        <v>136</v>
      </c>
      <c r="F56" s="629">
        <v>201.18</v>
      </c>
      <c r="G56" s="69" t="s">
        <v>196</v>
      </c>
      <c r="H56" s="474"/>
      <c r="I56" s="443">
        <v>-0.72</v>
      </c>
      <c r="J56" s="451">
        <v>-0.79817685008049</v>
      </c>
      <c r="K56" s="494">
        <f t="shared" si="0"/>
        <v>15.737809461416495</v>
      </c>
      <c r="L56" s="295" t="s">
        <v>666</v>
      </c>
      <c r="M56" s="296" t="s">
        <v>16</v>
      </c>
      <c r="N56" s="297" t="s">
        <v>127</v>
      </c>
      <c r="O56" s="298" t="s">
        <v>118</v>
      </c>
      <c r="P56" s="306" t="s">
        <v>91</v>
      </c>
      <c r="Q56" s="298" t="s">
        <v>552</v>
      </c>
      <c r="R56" s="299" t="s">
        <v>148</v>
      </c>
      <c r="S56" s="300"/>
    </row>
    <row r="57" spans="1:19">
      <c r="A57" s="427">
        <v>527</v>
      </c>
      <c r="B57" s="428" t="s">
        <v>143</v>
      </c>
      <c r="C57" s="428">
        <v>24</v>
      </c>
      <c r="D57" s="428">
        <v>2</v>
      </c>
      <c r="E57" s="199" t="s">
        <v>136</v>
      </c>
      <c r="F57" s="629">
        <v>201.18</v>
      </c>
      <c r="G57" s="69" t="s">
        <v>196</v>
      </c>
      <c r="H57" s="474"/>
      <c r="I57" s="443">
        <v>-0.97</v>
      </c>
      <c r="J57" s="451">
        <v>-0.79817685008049</v>
      </c>
      <c r="K57" s="494">
        <f t="shared" si="0"/>
        <v>16.899916503162871</v>
      </c>
      <c r="L57" s="295" t="s">
        <v>666</v>
      </c>
      <c r="M57" s="296" t="s">
        <v>16</v>
      </c>
      <c r="N57" s="297" t="s">
        <v>95</v>
      </c>
      <c r="O57" s="298" t="s">
        <v>118</v>
      </c>
      <c r="P57" s="306" t="s">
        <v>91</v>
      </c>
      <c r="Q57" s="298" t="s">
        <v>552</v>
      </c>
      <c r="R57" s="299" t="s">
        <v>148</v>
      </c>
      <c r="S57" s="300"/>
    </row>
    <row r="58" spans="1:19">
      <c r="A58" s="427">
        <v>527</v>
      </c>
      <c r="B58" s="428" t="s">
        <v>143</v>
      </c>
      <c r="C58" s="428">
        <v>24</v>
      </c>
      <c r="D58" s="428">
        <v>2</v>
      </c>
      <c r="E58" s="199" t="s">
        <v>137</v>
      </c>
      <c r="F58" s="629">
        <v>201.23</v>
      </c>
      <c r="G58" s="69" t="s">
        <v>196</v>
      </c>
      <c r="H58" s="474"/>
      <c r="I58" s="443">
        <v>-0.61</v>
      </c>
      <c r="J58" s="451">
        <v>-0.79817685008049</v>
      </c>
      <c r="K58" s="494">
        <f t="shared" si="0"/>
        <v>15.230046363048087</v>
      </c>
      <c r="L58" s="295" t="s">
        <v>666</v>
      </c>
      <c r="M58" s="296" t="s">
        <v>16</v>
      </c>
      <c r="N58" s="297" t="s">
        <v>126</v>
      </c>
      <c r="O58" s="298" t="s">
        <v>118</v>
      </c>
      <c r="P58" s="306" t="s">
        <v>91</v>
      </c>
      <c r="Q58" s="298" t="s">
        <v>552</v>
      </c>
      <c r="R58" s="299" t="s">
        <v>148</v>
      </c>
      <c r="S58" s="300"/>
    </row>
    <row r="59" spans="1:19">
      <c r="A59" s="427">
        <v>527</v>
      </c>
      <c r="B59" s="428" t="s">
        <v>143</v>
      </c>
      <c r="C59" s="428">
        <v>24</v>
      </c>
      <c r="D59" s="428">
        <v>2</v>
      </c>
      <c r="E59" s="199" t="s">
        <v>137</v>
      </c>
      <c r="F59" s="629">
        <v>201.23</v>
      </c>
      <c r="G59" s="69" t="s">
        <v>196</v>
      </c>
      <c r="H59" s="474"/>
      <c r="I59" s="443">
        <v>-0.67</v>
      </c>
      <c r="J59" s="451">
        <v>-0.79817685008049</v>
      </c>
      <c r="K59" s="494">
        <f t="shared" si="0"/>
        <v>15.506738053067217</v>
      </c>
      <c r="L59" s="295" t="s">
        <v>666</v>
      </c>
      <c r="M59" s="296" t="s">
        <v>16</v>
      </c>
      <c r="N59" s="297" t="s">
        <v>127</v>
      </c>
      <c r="O59" s="298" t="s">
        <v>118</v>
      </c>
      <c r="P59" s="306" t="s">
        <v>91</v>
      </c>
      <c r="Q59" s="298" t="s">
        <v>552</v>
      </c>
      <c r="R59" s="299" t="s">
        <v>148</v>
      </c>
      <c r="S59" s="300"/>
    </row>
    <row r="60" spans="1:19">
      <c r="A60" s="427">
        <v>527</v>
      </c>
      <c r="B60" s="428" t="s">
        <v>143</v>
      </c>
      <c r="C60" s="428">
        <v>24</v>
      </c>
      <c r="D60" s="428">
        <v>2</v>
      </c>
      <c r="E60" s="199" t="s">
        <v>137</v>
      </c>
      <c r="F60" s="629">
        <v>201.23</v>
      </c>
      <c r="G60" s="69" t="s">
        <v>196</v>
      </c>
      <c r="H60" s="474"/>
      <c r="I60" s="443">
        <v>-0.77</v>
      </c>
      <c r="J60" s="451">
        <v>-0.79817685008049</v>
      </c>
      <c r="K60" s="494">
        <f t="shared" si="0"/>
        <v>15.96933086976577</v>
      </c>
      <c r="L60" s="295" t="s">
        <v>666</v>
      </c>
      <c r="M60" s="296" t="s">
        <v>16</v>
      </c>
      <c r="N60" s="297" t="s">
        <v>95</v>
      </c>
      <c r="O60" s="298" t="s">
        <v>118</v>
      </c>
      <c r="P60" s="306" t="s">
        <v>91</v>
      </c>
      <c r="Q60" s="298" t="s">
        <v>552</v>
      </c>
      <c r="R60" s="299" t="s">
        <v>148</v>
      </c>
      <c r="S60" s="300"/>
    </row>
    <row r="61" spans="1:19">
      <c r="A61" s="427">
        <v>527</v>
      </c>
      <c r="B61" s="428" t="s">
        <v>143</v>
      </c>
      <c r="C61" s="428">
        <v>24</v>
      </c>
      <c r="D61" s="428">
        <v>2</v>
      </c>
      <c r="E61" s="199" t="s">
        <v>104</v>
      </c>
      <c r="F61" s="629">
        <v>201.3</v>
      </c>
      <c r="G61" s="69" t="s">
        <v>196</v>
      </c>
      <c r="H61" s="474"/>
      <c r="I61" s="443">
        <v>-0.5</v>
      </c>
      <c r="J61" s="451">
        <v>-0.79817685008049</v>
      </c>
      <c r="K61" s="494">
        <f t="shared" si="0"/>
        <v>14.724461264679681</v>
      </c>
      <c r="L61" s="295" t="s">
        <v>666</v>
      </c>
      <c r="M61" s="296" t="s">
        <v>16</v>
      </c>
      <c r="N61" s="297" t="s">
        <v>126</v>
      </c>
      <c r="O61" s="298" t="s">
        <v>118</v>
      </c>
      <c r="P61" s="306" t="s">
        <v>91</v>
      </c>
      <c r="Q61" s="298" t="s">
        <v>552</v>
      </c>
      <c r="R61" s="299" t="s">
        <v>148</v>
      </c>
      <c r="S61" s="300"/>
    </row>
    <row r="62" spans="1:19">
      <c r="A62" s="427">
        <v>527</v>
      </c>
      <c r="B62" s="428" t="s">
        <v>143</v>
      </c>
      <c r="C62" s="428">
        <v>24</v>
      </c>
      <c r="D62" s="428">
        <v>2</v>
      </c>
      <c r="E62" s="199" t="s">
        <v>104</v>
      </c>
      <c r="F62" s="629">
        <v>201.3</v>
      </c>
      <c r="G62" s="69" t="s">
        <v>196</v>
      </c>
      <c r="H62" s="474"/>
      <c r="I62" s="443">
        <v>-0.59</v>
      </c>
      <c r="J62" s="451">
        <v>-0.79817685008049</v>
      </c>
      <c r="K62" s="494">
        <f t="shared" si="0"/>
        <v>15.137959799708376</v>
      </c>
      <c r="L62" s="295" t="s">
        <v>666</v>
      </c>
      <c r="M62" s="296" t="s">
        <v>16</v>
      </c>
      <c r="N62" s="297" t="s">
        <v>127</v>
      </c>
      <c r="O62" s="298" t="s">
        <v>118</v>
      </c>
      <c r="P62" s="306" t="s">
        <v>91</v>
      </c>
      <c r="Q62" s="298" t="s">
        <v>552</v>
      </c>
      <c r="R62" s="299" t="s">
        <v>148</v>
      </c>
      <c r="S62" s="300"/>
    </row>
    <row r="63" spans="1:19">
      <c r="A63" s="427">
        <v>527</v>
      </c>
      <c r="B63" s="428" t="s">
        <v>143</v>
      </c>
      <c r="C63" s="428">
        <v>24</v>
      </c>
      <c r="D63" s="428">
        <v>2</v>
      </c>
      <c r="E63" s="199" t="s">
        <v>104</v>
      </c>
      <c r="F63" s="629">
        <v>201.3</v>
      </c>
      <c r="G63" s="69" t="s">
        <v>196</v>
      </c>
      <c r="H63" s="474"/>
      <c r="I63" s="443">
        <v>-0.59</v>
      </c>
      <c r="J63" s="451">
        <v>-0.79817685008049</v>
      </c>
      <c r="K63" s="494">
        <f t="shared" si="0"/>
        <v>15.137959799708376</v>
      </c>
      <c r="L63" s="295" t="s">
        <v>666</v>
      </c>
      <c r="M63" s="296" t="s">
        <v>16</v>
      </c>
      <c r="N63" s="297" t="s">
        <v>95</v>
      </c>
      <c r="O63" s="298" t="s">
        <v>118</v>
      </c>
      <c r="P63" s="306" t="s">
        <v>91</v>
      </c>
      <c r="Q63" s="298" t="s">
        <v>552</v>
      </c>
      <c r="R63" s="299" t="s">
        <v>148</v>
      </c>
      <c r="S63" s="300"/>
    </row>
    <row r="64" spans="1:19">
      <c r="A64" s="427">
        <v>527</v>
      </c>
      <c r="B64" s="428" t="s">
        <v>143</v>
      </c>
      <c r="C64" s="428">
        <v>24</v>
      </c>
      <c r="D64" s="428">
        <v>2</v>
      </c>
      <c r="E64" s="199" t="s">
        <v>138</v>
      </c>
      <c r="F64" s="621">
        <v>201.45</v>
      </c>
      <c r="G64" s="69" t="s">
        <v>196</v>
      </c>
      <c r="H64" s="474"/>
      <c r="I64" s="443">
        <v>-0.79</v>
      </c>
      <c r="J64" s="451">
        <v>-0.79817685008049</v>
      </c>
      <c r="K64" s="494">
        <f t="shared" si="0"/>
        <v>16.062065433105481</v>
      </c>
      <c r="L64" s="295" t="s">
        <v>666</v>
      </c>
      <c r="M64" s="296" t="s">
        <v>16</v>
      </c>
      <c r="N64" s="297" t="s">
        <v>95</v>
      </c>
      <c r="O64" s="298" t="s">
        <v>118</v>
      </c>
      <c r="P64" s="306" t="s">
        <v>91</v>
      </c>
      <c r="Q64" s="298" t="s">
        <v>552</v>
      </c>
      <c r="R64" s="299" t="s">
        <v>148</v>
      </c>
      <c r="S64" s="300" t="s">
        <v>588</v>
      </c>
    </row>
    <row r="65" spans="1:19">
      <c r="A65" s="427">
        <v>527</v>
      </c>
      <c r="B65" s="428" t="s">
        <v>143</v>
      </c>
      <c r="C65" s="428">
        <v>24</v>
      </c>
      <c r="D65" s="428">
        <v>2</v>
      </c>
      <c r="E65" s="199" t="s">
        <v>139</v>
      </c>
      <c r="F65" s="621">
        <v>201.56</v>
      </c>
      <c r="G65" s="69" t="s">
        <v>196</v>
      </c>
      <c r="H65" s="474"/>
      <c r="I65" s="443">
        <v>-0.66</v>
      </c>
      <c r="J65" s="451">
        <v>-0.79817685008049</v>
      </c>
      <c r="K65" s="494">
        <f t="shared" si="0"/>
        <v>15.460577771397363</v>
      </c>
      <c r="L65" s="295" t="s">
        <v>666</v>
      </c>
      <c r="M65" s="296" t="s">
        <v>16</v>
      </c>
      <c r="N65" s="297" t="s">
        <v>95</v>
      </c>
      <c r="O65" s="298" t="s">
        <v>118</v>
      </c>
      <c r="P65" s="306" t="s">
        <v>91</v>
      </c>
      <c r="Q65" s="298" t="s">
        <v>552</v>
      </c>
      <c r="R65" s="299" t="s">
        <v>148</v>
      </c>
      <c r="S65" s="300"/>
    </row>
    <row r="66" spans="1:19">
      <c r="A66" s="427">
        <v>527</v>
      </c>
      <c r="B66" s="428" t="s">
        <v>143</v>
      </c>
      <c r="C66" s="428">
        <v>24</v>
      </c>
      <c r="D66" s="428">
        <v>2</v>
      </c>
      <c r="E66" s="199" t="s">
        <v>140</v>
      </c>
      <c r="F66" s="621">
        <v>201.67</v>
      </c>
      <c r="G66" s="69" t="s">
        <v>196</v>
      </c>
      <c r="H66" s="474"/>
      <c r="I66" s="443">
        <v>-0.74</v>
      </c>
      <c r="J66" s="451">
        <v>-0.79817685008049</v>
      </c>
      <c r="K66" s="494">
        <f t="shared" si="0"/>
        <v>15.830364024756204</v>
      </c>
      <c r="L66" s="295" t="s">
        <v>666</v>
      </c>
      <c r="M66" s="296" t="s">
        <v>16</v>
      </c>
      <c r="N66" s="297" t="s">
        <v>95</v>
      </c>
      <c r="O66" s="298" t="s">
        <v>118</v>
      </c>
      <c r="P66" s="306" t="s">
        <v>91</v>
      </c>
      <c r="Q66" s="298" t="s">
        <v>552</v>
      </c>
      <c r="R66" s="299" t="s">
        <v>148</v>
      </c>
      <c r="S66" s="300"/>
    </row>
    <row r="67" spans="1:19">
      <c r="A67" s="427">
        <v>527</v>
      </c>
      <c r="B67" s="428" t="s">
        <v>143</v>
      </c>
      <c r="C67" s="428">
        <v>24</v>
      </c>
      <c r="D67" s="428">
        <v>3</v>
      </c>
      <c r="E67" s="630" t="s">
        <v>144</v>
      </c>
      <c r="F67" s="621">
        <v>202.1</v>
      </c>
      <c r="G67" s="69" t="s">
        <v>196</v>
      </c>
      <c r="H67" s="474"/>
      <c r="I67" s="443">
        <v>-0.9</v>
      </c>
      <c r="J67" s="451">
        <v>-0.79817685008049</v>
      </c>
      <c r="K67" s="494">
        <f t="shared" si="0"/>
        <v>16.573392531473885</v>
      </c>
      <c r="L67" s="295" t="s">
        <v>666</v>
      </c>
      <c r="M67" s="296" t="s">
        <v>16</v>
      </c>
      <c r="N67" s="297" t="s">
        <v>95</v>
      </c>
      <c r="O67" s="298" t="s">
        <v>118</v>
      </c>
      <c r="P67" s="306" t="s">
        <v>91</v>
      </c>
      <c r="Q67" s="298" t="s">
        <v>552</v>
      </c>
      <c r="R67" s="299" t="s">
        <v>148</v>
      </c>
      <c r="S67" s="300"/>
    </row>
    <row r="68" spans="1:19">
      <c r="A68" s="427">
        <v>527</v>
      </c>
      <c r="B68" s="428" t="s">
        <v>143</v>
      </c>
      <c r="C68" s="428">
        <v>24</v>
      </c>
      <c r="D68" s="428">
        <v>3</v>
      </c>
      <c r="E68" s="199" t="s">
        <v>141</v>
      </c>
      <c r="F68" s="621">
        <v>202.41</v>
      </c>
      <c r="G68" s="69" t="s">
        <v>196</v>
      </c>
      <c r="H68" s="474"/>
      <c r="I68" s="443">
        <v>-0.83</v>
      </c>
      <c r="J68" s="451">
        <v>-0.79817685008049</v>
      </c>
      <c r="K68" s="494">
        <f t="shared" si="0"/>
        <v>16.247750559784901</v>
      </c>
      <c r="L68" s="295" t="s">
        <v>666</v>
      </c>
      <c r="M68" s="296" t="s">
        <v>16</v>
      </c>
      <c r="N68" s="297" t="s">
        <v>95</v>
      </c>
      <c r="O68" s="298" t="s">
        <v>118</v>
      </c>
      <c r="P68" s="306" t="s">
        <v>91</v>
      </c>
      <c r="Q68" s="298" t="s">
        <v>552</v>
      </c>
      <c r="R68" s="299" t="s">
        <v>148</v>
      </c>
      <c r="S68" s="300"/>
    </row>
    <row r="69" spans="1:19">
      <c r="A69" s="427">
        <v>527</v>
      </c>
      <c r="B69" s="428" t="s">
        <v>143</v>
      </c>
      <c r="C69" s="428">
        <v>24</v>
      </c>
      <c r="D69" s="428">
        <v>3</v>
      </c>
      <c r="E69" s="199" t="s">
        <v>121</v>
      </c>
      <c r="F69" s="621">
        <v>202.73</v>
      </c>
      <c r="G69" s="69" t="s">
        <v>196</v>
      </c>
      <c r="H69" s="474"/>
      <c r="I69" s="443">
        <v>-0.88</v>
      </c>
      <c r="J69" s="451">
        <v>-0.79817685008049</v>
      </c>
      <c r="K69" s="494">
        <f t="shared" si="0"/>
        <v>16.480261968134176</v>
      </c>
      <c r="L69" s="295" t="s">
        <v>666</v>
      </c>
      <c r="M69" s="296" t="s">
        <v>16</v>
      </c>
      <c r="N69" s="297" t="s">
        <v>95</v>
      </c>
      <c r="O69" s="298" t="s">
        <v>118</v>
      </c>
      <c r="P69" s="306" t="s">
        <v>91</v>
      </c>
      <c r="Q69" s="298" t="s">
        <v>552</v>
      </c>
      <c r="R69" s="299" t="s">
        <v>148</v>
      </c>
      <c r="S69" s="300"/>
    </row>
    <row r="70" spans="1:19">
      <c r="A70" s="427">
        <v>527</v>
      </c>
      <c r="B70" s="428" t="s">
        <v>143</v>
      </c>
      <c r="C70" s="428">
        <v>24</v>
      </c>
      <c r="D70" s="428">
        <v>3</v>
      </c>
      <c r="E70" s="199" t="s">
        <v>142</v>
      </c>
      <c r="F70" s="621">
        <v>203.3</v>
      </c>
      <c r="G70" s="69" t="s">
        <v>196</v>
      </c>
      <c r="H70" s="474"/>
      <c r="I70" s="443">
        <v>-0.62</v>
      </c>
      <c r="J70" s="451">
        <v>-0.79817685008049</v>
      </c>
      <c r="K70" s="494">
        <f t="shared" si="0"/>
        <v>15.276116644717943</v>
      </c>
      <c r="L70" s="295" t="s">
        <v>666</v>
      </c>
      <c r="M70" s="296" t="s">
        <v>16</v>
      </c>
      <c r="N70" s="297" t="s">
        <v>95</v>
      </c>
      <c r="O70" s="298" t="s">
        <v>118</v>
      </c>
      <c r="P70" s="306" t="s">
        <v>91</v>
      </c>
      <c r="Q70" s="298" t="s">
        <v>552</v>
      </c>
      <c r="R70" s="299" t="s">
        <v>148</v>
      </c>
      <c r="S70" s="300"/>
    </row>
    <row r="71" spans="1:19" ht="13.5" thickBot="1">
      <c r="A71" s="200"/>
      <c r="B71" s="201"/>
      <c r="C71" s="201"/>
      <c r="D71" s="201"/>
      <c r="E71" s="201"/>
      <c r="F71" s="202"/>
      <c r="G71" s="201"/>
      <c r="H71" s="204"/>
      <c r="I71" s="325"/>
      <c r="J71" s="329"/>
      <c r="K71" s="632"/>
      <c r="L71" s="325"/>
      <c r="M71" s="202"/>
      <c r="N71" s="327"/>
      <c r="O71" s="328"/>
      <c r="P71" s="200"/>
      <c r="Q71" s="204"/>
      <c r="R71" s="329"/>
      <c r="S71" s="329"/>
    </row>
    <row r="73" spans="1:19" ht="13.5" thickBot="1"/>
    <row r="74" spans="1:19" ht="13.5" thickBot="1">
      <c r="G74" s="760"/>
      <c r="H74" s="761" t="s">
        <v>607</v>
      </c>
      <c r="I74" s="761" t="s">
        <v>605</v>
      </c>
      <c r="J74" s="762">
        <v>0.05</v>
      </c>
      <c r="K74" s="761" t="s">
        <v>602</v>
      </c>
      <c r="L74" s="762">
        <v>0.95</v>
      </c>
      <c r="M74" s="763" t="s">
        <v>606</v>
      </c>
    </row>
    <row r="75" spans="1:19">
      <c r="G75" s="322" t="s">
        <v>21</v>
      </c>
      <c r="H75" s="244"/>
      <c r="I75" s="756"/>
      <c r="J75" s="756"/>
      <c r="K75" s="756"/>
      <c r="L75" s="756"/>
      <c r="M75" s="757"/>
    </row>
    <row r="76" spans="1:19">
      <c r="G76" s="322" t="s">
        <v>20</v>
      </c>
      <c r="H76" s="244">
        <f>COUNT(K32:K42)</f>
        <v>11</v>
      </c>
      <c r="I76" s="756">
        <f>MIN(K32:K42)</f>
        <v>18.498436079937946</v>
      </c>
      <c r="J76" s="756">
        <f>_xlfn.PERCENTILE.INC((K32:K42),0.05)</f>
        <v>18.522101220772875</v>
      </c>
      <c r="K76" s="756">
        <f>AVERAGE(K32:K42)</f>
        <v>19.22049599256211</v>
      </c>
      <c r="L76" s="756">
        <f>_xlfn.PERCENTILE.INC((K32:K42),0.95)</f>
        <v>20.262544501722584</v>
      </c>
      <c r="M76" s="757">
        <f>MAX(K32:K42)</f>
        <v>20.742417318421136</v>
      </c>
    </row>
    <row r="77" spans="1:19" ht="13.5" thickBot="1">
      <c r="G77" s="748" t="s">
        <v>601</v>
      </c>
      <c r="H77" s="327">
        <f>COUNT(K43:K70)</f>
        <v>28</v>
      </c>
      <c r="I77" s="758">
        <f>MIN(K43:K70)</f>
        <v>12.6788385895362</v>
      </c>
      <c r="J77" s="758">
        <f>_xlfn.PERCENTILE.INC((K43:K70),0.05)</f>
        <v>14.788720259017477</v>
      </c>
      <c r="K77" s="758">
        <f>AVERAGE(K43:K70)</f>
        <v>15.575336312595583</v>
      </c>
      <c r="L77" s="758">
        <f>_xlfn.PERCENTILE.INC((K43:K70),0.95)</f>
        <v>16.540796834304988</v>
      </c>
      <c r="M77" s="759">
        <f>MAX(K43:K70)</f>
        <v>16.899916503162871</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34"/>
  <sheetViews>
    <sheetView workbookViewId="0">
      <selection activeCell="B3" sqref="B3"/>
    </sheetView>
  </sheetViews>
  <sheetFormatPr defaultColWidth="10.625" defaultRowHeight="12.75"/>
  <cols>
    <col min="1" max="1" width="15.625" style="69" customWidth="1"/>
    <col min="2" max="2" width="30.625" style="69" bestFit="1" customWidth="1"/>
    <col min="3" max="5" width="10.625" style="69"/>
    <col min="6" max="6" width="10.625" style="156"/>
    <col min="7" max="7" width="13.5" style="156" bestFit="1" customWidth="1"/>
    <col min="8" max="9" width="10.625" style="156"/>
    <col min="10" max="10" width="10.625" style="69"/>
    <col min="11" max="11" width="15.625" style="69" customWidth="1"/>
    <col min="12" max="12" width="19.125" style="69" bestFit="1" customWidth="1"/>
    <col min="13" max="13" width="13" style="69" bestFit="1" customWidth="1"/>
    <col min="14" max="15" width="10.625" style="69"/>
    <col min="16" max="16" width="10.625" style="156"/>
    <col min="17" max="17" width="21.625" style="156" bestFit="1" customWidth="1"/>
    <col min="18" max="18" width="15.5" style="69" bestFit="1" customWidth="1"/>
    <col min="19" max="19" width="39.125" style="69" customWidth="1"/>
    <col min="20" max="16384" width="10.625" style="69"/>
  </cols>
  <sheetData>
    <row r="1" spans="1:19" s="11" customFormat="1" ht="15.75">
      <c r="A1" s="205" t="s">
        <v>62</v>
      </c>
      <c r="B1" s="634" t="s">
        <v>450</v>
      </c>
      <c r="D1" s="43"/>
      <c r="E1" s="43"/>
      <c r="F1" s="20"/>
      <c r="G1" s="20"/>
      <c r="H1" s="20"/>
      <c r="I1" s="20"/>
      <c r="J1" s="20"/>
      <c r="K1" s="20"/>
      <c r="L1" s="20"/>
      <c r="M1" s="20"/>
      <c r="N1" s="20"/>
      <c r="O1" s="20"/>
      <c r="P1" s="20"/>
      <c r="Q1" s="20"/>
      <c r="R1" s="19"/>
      <c r="S1" s="19"/>
    </row>
    <row r="2" spans="1:19">
      <c r="A2" s="141" t="s">
        <v>636</v>
      </c>
      <c r="B2" s="50" t="s">
        <v>640</v>
      </c>
      <c r="D2" s="154"/>
      <c r="E2" s="154"/>
      <c r="F2" s="144"/>
      <c r="G2" s="144"/>
      <c r="H2" s="144"/>
      <c r="I2" s="144"/>
      <c r="J2" s="144"/>
      <c r="K2" s="144"/>
      <c r="L2" s="144"/>
      <c r="M2" s="144"/>
      <c r="N2" s="144"/>
      <c r="O2" s="144"/>
      <c r="P2" s="144"/>
      <c r="Q2" s="144"/>
      <c r="R2" s="145"/>
      <c r="S2" s="145"/>
    </row>
    <row r="3" spans="1:19">
      <c r="A3" s="141" t="s">
        <v>61</v>
      </c>
      <c r="B3" s="70" t="s">
        <v>446</v>
      </c>
      <c r="D3" s="154"/>
      <c r="E3" s="154"/>
      <c r="F3" s="144"/>
      <c r="G3" s="144"/>
      <c r="H3" s="144"/>
      <c r="I3" s="144"/>
      <c r="J3" s="144"/>
      <c r="K3" s="144"/>
      <c r="L3" s="144"/>
      <c r="M3" s="144"/>
      <c r="N3" s="144"/>
      <c r="O3" s="144"/>
      <c r="P3" s="144"/>
      <c r="Q3" s="144"/>
      <c r="R3" s="145"/>
      <c r="S3" s="145"/>
    </row>
    <row r="4" spans="1:19">
      <c r="A4" s="230" t="s">
        <v>621</v>
      </c>
      <c r="B4" s="51">
        <v>-43.06</v>
      </c>
      <c r="D4" s="154"/>
      <c r="E4" s="154"/>
      <c r="F4" s="144"/>
      <c r="G4" s="144"/>
      <c r="H4" s="144"/>
      <c r="I4" s="144"/>
      <c r="J4" s="144"/>
      <c r="K4" s="144"/>
      <c r="L4" s="144"/>
      <c r="M4" s="144"/>
      <c r="N4" s="144"/>
      <c r="O4" s="144"/>
      <c r="P4" s="144"/>
      <c r="Q4" s="144"/>
      <c r="R4" s="145"/>
      <c r="S4" s="145"/>
    </row>
    <row r="5" spans="1:19">
      <c r="A5" s="230" t="s">
        <v>622</v>
      </c>
      <c r="B5" s="51">
        <v>172.61</v>
      </c>
      <c r="D5" s="154"/>
      <c r="E5" s="154"/>
      <c r="F5" s="144"/>
      <c r="G5" s="144"/>
      <c r="H5" s="144"/>
      <c r="I5" s="144"/>
      <c r="J5" s="144"/>
      <c r="K5" s="144"/>
      <c r="L5" s="144"/>
      <c r="M5" s="144"/>
      <c r="N5" s="144"/>
      <c r="O5" s="144"/>
      <c r="P5" s="144"/>
      <c r="Q5" s="144"/>
      <c r="R5" s="145"/>
      <c r="S5" s="145"/>
    </row>
    <row r="6" spans="1:19">
      <c r="A6" s="232" t="s">
        <v>50</v>
      </c>
      <c r="B6" s="51">
        <v>-46.260846917899997</v>
      </c>
      <c r="D6" s="154"/>
      <c r="E6" s="154"/>
      <c r="F6" s="144"/>
      <c r="G6" s="144"/>
      <c r="H6" s="144"/>
      <c r="I6" s="144"/>
      <c r="J6" s="144"/>
      <c r="K6" s="144"/>
      <c r="L6" s="144"/>
      <c r="M6" s="144"/>
      <c r="N6" s="144"/>
      <c r="O6" s="144"/>
      <c r="P6" s="144"/>
      <c r="Q6" s="144"/>
      <c r="R6" s="145"/>
      <c r="S6" s="145"/>
    </row>
    <row r="7" spans="1:19">
      <c r="A7" s="208" t="s">
        <v>696</v>
      </c>
      <c r="B7" s="50" t="s">
        <v>190</v>
      </c>
      <c r="C7" s="70" t="s">
        <v>446</v>
      </c>
      <c r="D7" s="154"/>
      <c r="E7" s="154"/>
      <c r="F7" s="144"/>
      <c r="G7" s="144"/>
      <c r="H7" s="144"/>
      <c r="I7" s="144"/>
      <c r="J7" s="144"/>
      <c r="K7" s="144"/>
      <c r="L7" s="144"/>
      <c r="M7" s="144"/>
      <c r="N7" s="144"/>
      <c r="O7" s="144"/>
      <c r="P7" s="144"/>
      <c r="Q7" s="144"/>
      <c r="R7" s="145"/>
      <c r="S7" s="145"/>
    </row>
    <row r="8" spans="1:19" ht="25.5">
      <c r="A8" s="141" t="s">
        <v>63</v>
      </c>
      <c r="B8" s="597" t="s">
        <v>806</v>
      </c>
      <c r="C8" s="71"/>
      <c r="D8" s="154"/>
      <c r="E8" s="154"/>
      <c r="F8" s="144"/>
      <c r="G8" s="144"/>
      <c r="H8" s="144"/>
      <c r="I8" s="144"/>
      <c r="J8" s="144"/>
      <c r="K8" s="144"/>
      <c r="L8" s="144"/>
      <c r="M8" s="144"/>
      <c r="N8" s="144"/>
      <c r="O8" s="144"/>
      <c r="P8" s="144"/>
      <c r="Q8" s="144"/>
      <c r="R8" s="145"/>
      <c r="S8" s="145"/>
    </row>
    <row r="9" spans="1:19">
      <c r="A9" s="141" t="s">
        <v>64</v>
      </c>
      <c r="B9" s="50" t="s">
        <v>197</v>
      </c>
      <c r="C9" s="72"/>
      <c r="D9" s="72"/>
      <c r="E9" s="154"/>
      <c r="F9" s="144"/>
      <c r="G9" s="144"/>
      <c r="H9" s="144"/>
      <c r="I9" s="144"/>
      <c r="J9" s="144"/>
      <c r="K9" s="144"/>
      <c r="L9" s="144"/>
      <c r="M9" s="144"/>
      <c r="N9" s="144"/>
      <c r="O9" s="144"/>
      <c r="P9" s="144"/>
      <c r="Q9" s="144"/>
      <c r="R9" s="145"/>
      <c r="S9" s="145"/>
    </row>
    <row r="10" spans="1:19">
      <c r="A10" s="141" t="s">
        <v>65</v>
      </c>
      <c r="B10" s="50" t="s">
        <v>451</v>
      </c>
      <c r="C10" s="70" t="s">
        <v>446</v>
      </c>
      <c r="D10" s="70"/>
      <c r="E10" s="154"/>
      <c r="F10" s="154"/>
      <c r="G10" s="144"/>
      <c r="H10" s="144"/>
      <c r="I10" s="144"/>
      <c r="J10" s="144"/>
      <c r="K10" s="144"/>
      <c r="L10" s="144"/>
      <c r="M10" s="144"/>
      <c r="N10" s="144"/>
      <c r="O10" s="144"/>
      <c r="P10" s="144"/>
      <c r="Q10" s="144"/>
      <c r="R10" s="145"/>
      <c r="S10" s="145"/>
    </row>
    <row r="11" spans="1:19" ht="13.5" thickBot="1">
      <c r="A11" s="145"/>
      <c r="B11" s="145"/>
      <c r="C11" s="144"/>
      <c r="D11" s="144"/>
      <c r="E11" s="144"/>
      <c r="F11" s="154"/>
      <c r="G11" s="144"/>
      <c r="H11" s="144"/>
      <c r="I11" s="144"/>
      <c r="J11" s="144"/>
      <c r="K11" s="168"/>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35" t="s">
        <v>10</v>
      </c>
      <c r="I12" s="214" t="s">
        <v>725</v>
      </c>
      <c r="J12" s="215" t="s">
        <v>664</v>
      </c>
      <c r="K12" s="216" t="s">
        <v>659</v>
      </c>
      <c r="L12" s="217" t="s">
        <v>70</v>
      </c>
      <c r="M12" s="217" t="s">
        <v>71</v>
      </c>
      <c r="N12" s="217" t="s">
        <v>36</v>
      </c>
      <c r="O12" s="218" t="s">
        <v>34</v>
      </c>
      <c r="P12" s="217" t="s">
        <v>72</v>
      </c>
      <c r="Q12" s="218" t="s">
        <v>73</v>
      </c>
      <c r="R12" s="160" t="s">
        <v>15</v>
      </c>
      <c r="S12" s="166" t="s">
        <v>38</v>
      </c>
    </row>
    <row r="13" spans="1:19">
      <c r="A13" s="236"/>
      <c r="B13" s="237"/>
      <c r="C13" s="237"/>
      <c r="D13" s="237"/>
      <c r="E13" s="237"/>
      <c r="F13" s="237"/>
      <c r="G13" s="237"/>
      <c r="H13" s="499"/>
      <c r="I13" s="239"/>
      <c r="J13" s="170"/>
      <c r="K13" s="636"/>
      <c r="L13" s="240"/>
      <c r="M13" s="241"/>
      <c r="N13" s="241"/>
      <c r="O13" s="242"/>
      <c r="P13" s="241"/>
      <c r="Q13" s="242"/>
      <c r="R13" s="239"/>
      <c r="S13" s="176"/>
    </row>
    <row r="14" spans="1:19">
      <c r="A14" s="58" t="s">
        <v>450</v>
      </c>
      <c r="B14" s="168"/>
      <c r="C14" s="168"/>
      <c r="D14" s="168"/>
      <c r="E14" s="52" t="s">
        <v>452</v>
      </c>
      <c r="F14" s="54">
        <v>50.6</v>
      </c>
      <c r="G14" s="168"/>
      <c r="H14" s="53">
        <v>46.746428571428567</v>
      </c>
      <c r="I14" s="56">
        <v>-1.9239766666666669</v>
      </c>
      <c r="J14" s="170">
        <v>-1.29762768752873</v>
      </c>
      <c r="K14" s="661">
        <f t="shared" ref="K14" si="0">16.1-4.64*($I14-J14)+0.09*($I14-J14)^2</f>
        <v>19.04156743713007</v>
      </c>
      <c r="L14" s="173" t="s">
        <v>686</v>
      </c>
      <c r="M14" s="171" t="s">
        <v>465</v>
      </c>
      <c r="N14" s="247"/>
      <c r="O14" s="172" t="s">
        <v>35</v>
      </c>
      <c r="P14" s="171" t="s">
        <v>91</v>
      </c>
      <c r="Q14" s="172" t="s">
        <v>466</v>
      </c>
      <c r="R14" s="249" t="s">
        <v>466</v>
      </c>
      <c r="S14" s="176" t="s">
        <v>810</v>
      </c>
    </row>
    <row r="15" spans="1:19">
      <c r="A15" s="58" t="s">
        <v>450</v>
      </c>
      <c r="B15" s="168"/>
      <c r="C15" s="168"/>
      <c r="D15" s="168"/>
      <c r="E15" s="52" t="s">
        <v>453</v>
      </c>
      <c r="F15" s="54">
        <v>43.56</v>
      </c>
      <c r="G15" s="168"/>
      <c r="H15" s="53">
        <v>47.584523809523809</v>
      </c>
      <c r="I15" s="56">
        <v>-1.7166866666666669</v>
      </c>
      <c r="J15" s="170">
        <v>-1.29762768752873</v>
      </c>
      <c r="K15" s="661">
        <f t="shared" ref="K15:K26" si="1">16.1-4.64*($I15-J15)+0.09*($I15-J15)^2</f>
        <v>18.060238601719679</v>
      </c>
      <c r="L15" s="173" t="s">
        <v>686</v>
      </c>
      <c r="M15" s="171" t="s">
        <v>465</v>
      </c>
      <c r="N15" s="247"/>
      <c r="O15" s="172" t="s">
        <v>35</v>
      </c>
      <c r="P15" s="171" t="s">
        <v>91</v>
      </c>
      <c r="Q15" s="172" t="s">
        <v>466</v>
      </c>
      <c r="R15" s="249" t="s">
        <v>466</v>
      </c>
      <c r="S15" s="176" t="s">
        <v>810</v>
      </c>
    </row>
    <row r="16" spans="1:19">
      <c r="A16" s="58" t="s">
        <v>450</v>
      </c>
      <c r="B16" s="168"/>
      <c r="C16" s="168"/>
      <c r="D16" s="168"/>
      <c r="E16" s="52" t="s">
        <v>454</v>
      </c>
      <c r="F16" s="54">
        <v>40.19</v>
      </c>
      <c r="G16" s="168"/>
      <c r="H16" s="53">
        <v>47.986000000000004</v>
      </c>
      <c r="I16" s="56">
        <v>-1.8632666666666668</v>
      </c>
      <c r="J16" s="170">
        <v>-1.29762768752873</v>
      </c>
      <c r="K16" s="661">
        <f t="shared" si="1"/>
        <v>18.753360134124847</v>
      </c>
      <c r="L16" s="173" t="s">
        <v>686</v>
      </c>
      <c r="M16" s="171" t="s">
        <v>465</v>
      </c>
      <c r="N16" s="247"/>
      <c r="O16" s="172" t="s">
        <v>35</v>
      </c>
      <c r="P16" s="171" t="s">
        <v>91</v>
      </c>
      <c r="Q16" s="172" t="s">
        <v>466</v>
      </c>
      <c r="R16" s="249" t="s">
        <v>466</v>
      </c>
      <c r="S16" s="176" t="s">
        <v>810</v>
      </c>
    </row>
    <row r="17" spans="1:19">
      <c r="A17" s="58" t="s">
        <v>450</v>
      </c>
      <c r="B17" s="168"/>
      <c r="C17" s="168"/>
      <c r="D17" s="168"/>
      <c r="E17" s="52" t="s">
        <v>455</v>
      </c>
      <c r="F17" s="54">
        <v>36.83</v>
      </c>
      <c r="G17" s="168"/>
      <c r="H17" s="53">
        <v>48.370000000000005</v>
      </c>
      <c r="I17" s="56">
        <v>-3.3035666666666668</v>
      </c>
      <c r="J17" s="170">
        <v>-1.29762768752873</v>
      </c>
      <c r="K17" s="661">
        <f t="shared" si="1"/>
        <v>25.769698070122274</v>
      </c>
      <c r="L17" s="173" t="s">
        <v>686</v>
      </c>
      <c r="M17" s="171" t="s">
        <v>465</v>
      </c>
      <c r="N17" s="247"/>
      <c r="O17" s="172" t="s">
        <v>35</v>
      </c>
      <c r="P17" s="171" t="s">
        <v>91</v>
      </c>
      <c r="Q17" s="172" t="s">
        <v>466</v>
      </c>
      <c r="R17" s="249" t="s">
        <v>466</v>
      </c>
      <c r="S17" s="176" t="s">
        <v>810</v>
      </c>
    </row>
    <row r="18" spans="1:19">
      <c r="A18" s="58" t="s">
        <v>450</v>
      </c>
      <c r="B18" s="168"/>
      <c r="C18" s="168"/>
      <c r="D18" s="168"/>
      <c r="E18" s="52" t="s">
        <v>456</v>
      </c>
      <c r="F18" s="54">
        <v>33.450000000000003</v>
      </c>
      <c r="G18" s="196"/>
      <c r="H18" s="53">
        <v>48.756285714285717</v>
      </c>
      <c r="I18" s="56">
        <v>-3.7435766666666668</v>
      </c>
      <c r="J18" s="170">
        <v>-1.29762768752873</v>
      </c>
      <c r="K18" s="661">
        <f t="shared" si="1"/>
        <v>27.987643239969159</v>
      </c>
      <c r="L18" s="173" t="s">
        <v>686</v>
      </c>
      <c r="M18" s="171" t="s">
        <v>465</v>
      </c>
      <c r="N18" s="196"/>
      <c r="O18" s="172" t="s">
        <v>35</v>
      </c>
      <c r="P18" s="171" t="s">
        <v>91</v>
      </c>
      <c r="Q18" s="172" t="s">
        <v>466</v>
      </c>
      <c r="R18" s="249" t="s">
        <v>466</v>
      </c>
      <c r="S18" s="176" t="s">
        <v>810</v>
      </c>
    </row>
    <row r="19" spans="1:19">
      <c r="A19" s="58" t="s">
        <v>450</v>
      </c>
      <c r="B19" s="168"/>
      <c r="C19" s="168"/>
      <c r="D19" s="168"/>
      <c r="E19" s="52" t="s">
        <v>457</v>
      </c>
      <c r="F19" s="54">
        <v>30.08</v>
      </c>
      <c r="G19" s="196"/>
      <c r="H19" s="53">
        <v>49.077984375</v>
      </c>
      <c r="I19" s="56">
        <v>-2.917956666666667</v>
      </c>
      <c r="J19" s="170">
        <v>-1.29762768752873</v>
      </c>
      <c r="K19" s="661">
        <f t="shared" si="1"/>
        <v>23.854618403257103</v>
      </c>
      <c r="L19" s="173" t="s">
        <v>686</v>
      </c>
      <c r="M19" s="171" t="s">
        <v>465</v>
      </c>
      <c r="N19" s="196"/>
      <c r="O19" s="172" t="s">
        <v>35</v>
      </c>
      <c r="P19" s="171" t="s">
        <v>91</v>
      </c>
      <c r="Q19" s="172" t="s">
        <v>466</v>
      </c>
      <c r="R19" s="249" t="s">
        <v>466</v>
      </c>
      <c r="S19" s="176" t="s">
        <v>810</v>
      </c>
    </row>
    <row r="20" spans="1:19">
      <c r="A20" s="58" t="s">
        <v>450</v>
      </c>
      <c r="B20" s="168"/>
      <c r="C20" s="168"/>
      <c r="D20" s="168"/>
      <c r="E20" s="52" t="s">
        <v>458</v>
      </c>
      <c r="F20" s="54">
        <v>26.72</v>
      </c>
      <c r="G20" s="633" t="s">
        <v>21</v>
      </c>
      <c r="H20" s="53">
        <v>49.297333333333334</v>
      </c>
      <c r="I20" s="56">
        <v>-4.1382366666666677</v>
      </c>
      <c r="J20" s="170">
        <v>-1.29762768752873</v>
      </c>
      <c r="K20" s="233">
        <f t="shared" si="1"/>
        <v>30.006641006712343</v>
      </c>
      <c r="L20" s="173" t="s">
        <v>686</v>
      </c>
      <c r="M20" s="171" t="s">
        <v>465</v>
      </c>
      <c r="N20" s="196"/>
      <c r="O20" s="172" t="s">
        <v>35</v>
      </c>
      <c r="P20" s="171" t="s">
        <v>91</v>
      </c>
      <c r="Q20" s="172" t="s">
        <v>466</v>
      </c>
      <c r="R20" s="249" t="s">
        <v>466</v>
      </c>
      <c r="S20" s="176" t="s">
        <v>808</v>
      </c>
    </row>
    <row r="21" spans="1:19">
      <c r="A21" s="58" t="s">
        <v>450</v>
      </c>
      <c r="B21" s="168"/>
      <c r="C21" s="168"/>
      <c r="D21" s="168"/>
      <c r="E21" s="52" t="s">
        <v>459</v>
      </c>
      <c r="F21" s="54">
        <v>23.34</v>
      </c>
      <c r="G21" s="633" t="s">
        <v>21</v>
      </c>
      <c r="H21" s="53">
        <v>49.522666666666673</v>
      </c>
      <c r="I21" s="56">
        <v>-4.1106766666666665</v>
      </c>
      <c r="J21" s="170">
        <v>-1.29762768752873</v>
      </c>
      <c r="K21" s="233">
        <f t="shared" si="1"/>
        <v>29.864739273512637</v>
      </c>
      <c r="L21" s="173" t="s">
        <v>686</v>
      </c>
      <c r="M21" s="171" t="s">
        <v>465</v>
      </c>
      <c r="N21" s="196"/>
      <c r="O21" s="172" t="s">
        <v>35</v>
      </c>
      <c r="P21" s="171" t="s">
        <v>91</v>
      </c>
      <c r="Q21" s="172" t="s">
        <v>466</v>
      </c>
      <c r="R21" s="249" t="s">
        <v>466</v>
      </c>
      <c r="S21" s="176" t="s">
        <v>808</v>
      </c>
    </row>
    <row r="22" spans="1:19">
      <c r="A22" s="58" t="s">
        <v>450</v>
      </c>
      <c r="B22" s="168"/>
      <c r="C22" s="168"/>
      <c r="D22" s="168"/>
      <c r="E22" s="52" t="s">
        <v>460</v>
      </c>
      <c r="F22" s="54">
        <v>19.97</v>
      </c>
      <c r="G22" s="633" t="s">
        <v>21</v>
      </c>
      <c r="H22" s="53">
        <v>49.769528301886794</v>
      </c>
      <c r="I22" s="56">
        <v>-5.0237566666666673</v>
      </c>
      <c r="J22" s="170">
        <v>-1.29762768752873</v>
      </c>
      <c r="K22" s="233">
        <f t="shared" si="1"/>
        <v>34.63880180842547</v>
      </c>
      <c r="L22" s="173" t="s">
        <v>686</v>
      </c>
      <c r="M22" s="171" t="s">
        <v>465</v>
      </c>
      <c r="N22" s="196"/>
      <c r="O22" s="172" t="s">
        <v>35</v>
      </c>
      <c r="P22" s="171" t="s">
        <v>91</v>
      </c>
      <c r="Q22" s="172" t="s">
        <v>466</v>
      </c>
      <c r="R22" s="249" t="s">
        <v>466</v>
      </c>
      <c r="S22" s="176" t="s">
        <v>808</v>
      </c>
    </row>
    <row r="23" spans="1:19">
      <c r="A23" s="58" t="s">
        <v>450</v>
      </c>
      <c r="B23" s="168"/>
      <c r="C23" s="168"/>
      <c r="D23" s="168"/>
      <c r="E23" s="52" t="s">
        <v>461</v>
      </c>
      <c r="F23" s="54">
        <v>16.61</v>
      </c>
      <c r="G23" s="633" t="s">
        <v>21</v>
      </c>
      <c r="H23" s="53">
        <v>50.086509433962263</v>
      </c>
      <c r="I23" s="56">
        <v>-2.8054866666666669</v>
      </c>
      <c r="J23" s="170">
        <v>-1.29762768752873</v>
      </c>
      <c r="K23" s="233">
        <f t="shared" si="1"/>
        <v>23.301093146287048</v>
      </c>
      <c r="L23" s="173" t="s">
        <v>686</v>
      </c>
      <c r="M23" s="171" t="s">
        <v>465</v>
      </c>
      <c r="N23" s="196"/>
      <c r="O23" s="172" t="s">
        <v>35</v>
      </c>
      <c r="P23" s="171" t="s">
        <v>91</v>
      </c>
      <c r="Q23" s="172" t="s">
        <v>466</v>
      </c>
      <c r="R23" s="249" t="s">
        <v>466</v>
      </c>
      <c r="S23" s="176" t="s">
        <v>808</v>
      </c>
    </row>
    <row r="24" spans="1:19">
      <c r="A24" s="58" t="s">
        <v>450</v>
      </c>
      <c r="B24" s="168"/>
      <c r="C24" s="168"/>
      <c r="D24" s="168"/>
      <c r="E24" s="52" t="s">
        <v>462</v>
      </c>
      <c r="F24" s="54">
        <v>13.23</v>
      </c>
      <c r="G24" s="633" t="s">
        <v>21</v>
      </c>
      <c r="H24" s="53">
        <v>50.405377358490568</v>
      </c>
      <c r="I24" s="56">
        <v>-2.9777966666666669</v>
      </c>
      <c r="J24" s="170">
        <v>-1.29762768752873</v>
      </c>
      <c r="K24" s="233">
        <f t="shared" si="1"/>
        <v>24.150051165061196</v>
      </c>
      <c r="L24" s="173" t="s">
        <v>686</v>
      </c>
      <c r="M24" s="171" t="s">
        <v>465</v>
      </c>
      <c r="N24" s="196"/>
      <c r="O24" s="172" t="s">
        <v>35</v>
      </c>
      <c r="P24" s="171" t="s">
        <v>91</v>
      </c>
      <c r="Q24" s="172" t="s">
        <v>466</v>
      </c>
      <c r="R24" s="249" t="s">
        <v>466</v>
      </c>
      <c r="S24" s="176" t="s">
        <v>808</v>
      </c>
    </row>
    <row r="25" spans="1:19">
      <c r="A25" s="58" t="s">
        <v>450</v>
      </c>
      <c r="B25" s="168"/>
      <c r="C25" s="168"/>
      <c r="D25" s="168"/>
      <c r="E25" s="52" t="s">
        <v>463</v>
      </c>
      <c r="F25" s="55">
        <v>10.99</v>
      </c>
      <c r="G25" s="633" t="s">
        <v>21</v>
      </c>
      <c r="H25" s="53">
        <v>50.616698113207548</v>
      </c>
      <c r="I25" s="56">
        <v>-3.7856566666666667</v>
      </c>
      <c r="J25" s="170">
        <v>-1.29762768752873</v>
      </c>
      <c r="K25" s="233">
        <f t="shared" si="1"/>
        <v>28.201580401292741</v>
      </c>
      <c r="L25" s="173" t="s">
        <v>686</v>
      </c>
      <c r="M25" s="171" t="s">
        <v>465</v>
      </c>
      <c r="N25" s="196"/>
      <c r="O25" s="172" t="s">
        <v>35</v>
      </c>
      <c r="P25" s="171" t="s">
        <v>91</v>
      </c>
      <c r="Q25" s="172" t="s">
        <v>466</v>
      </c>
      <c r="R25" s="249" t="s">
        <v>466</v>
      </c>
      <c r="S25" s="176" t="s">
        <v>808</v>
      </c>
    </row>
    <row r="26" spans="1:19">
      <c r="A26" s="58" t="s">
        <v>450</v>
      </c>
      <c r="B26" s="168"/>
      <c r="C26" s="168"/>
      <c r="D26" s="168"/>
      <c r="E26" s="52" t="s">
        <v>464</v>
      </c>
      <c r="F26" s="55">
        <v>9.84</v>
      </c>
      <c r="G26" s="633" t="s">
        <v>21</v>
      </c>
      <c r="H26" s="53">
        <v>50.725188679245285</v>
      </c>
      <c r="I26" s="57">
        <v>-5.51</v>
      </c>
      <c r="J26" s="170">
        <v>-1.29762768752873</v>
      </c>
      <c r="K26" s="683">
        <f t="shared" si="1"/>
        <v>37.242374774765395</v>
      </c>
      <c r="L26" s="173" t="s">
        <v>686</v>
      </c>
      <c r="M26" s="171" t="s">
        <v>465</v>
      </c>
      <c r="N26" s="196"/>
      <c r="O26" s="172" t="s">
        <v>35</v>
      </c>
      <c r="P26" s="171" t="s">
        <v>91</v>
      </c>
      <c r="Q26" s="172" t="s">
        <v>466</v>
      </c>
      <c r="R26" s="249" t="s">
        <v>466</v>
      </c>
      <c r="S26" s="176" t="s">
        <v>809</v>
      </c>
    </row>
    <row r="27" spans="1:19">
      <c r="A27" s="58"/>
      <c r="B27" s="168"/>
      <c r="C27" s="168"/>
      <c r="D27" s="168"/>
      <c r="E27" s="52"/>
      <c r="F27" s="55"/>
      <c r="G27" s="196"/>
      <c r="H27" s="53"/>
      <c r="I27" s="57"/>
      <c r="J27" s="170"/>
      <c r="K27" s="635"/>
      <c r="L27" s="173"/>
      <c r="M27" s="171"/>
      <c r="N27" s="196"/>
      <c r="O27" s="172"/>
      <c r="P27" s="171"/>
      <c r="Q27" s="172"/>
      <c r="R27" s="249"/>
      <c r="S27" s="176"/>
    </row>
    <row r="28" spans="1:19" ht="13.5" thickBot="1">
      <c r="A28" s="506"/>
      <c r="B28" s="507"/>
      <c r="C28" s="255"/>
      <c r="D28" s="255"/>
      <c r="E28" s="255"/>
      <c r="F28" s="255"/>
      <c r="G28" s="255"/>
      <c r="H28" s="255"/>
      <c r="I28" s="257"/>
      <c r="J28" s="255"/>
      <c r="K28" s="609"/>
      <c r="L28" s="254"/>
      <c r="M28" s="255"/>
      <c r="N28" s="255"/>
      <c r="O28" s="256"/>
      <c r="P28" s="255"/>
      <c r="Q28" s="256"/>
      <c r="R28" s="258"/>
      <c r="S28" s="258"/>
    </row>
    <row r="29" spans="1:19">
      <c r="A29" s="145"/>
      <c r="B29" s="145"/>
      <c r="C29" s="145"/>
      <c r="D29" s="145"/>
      <c r="E29" s="145"/>
      <c r="F29" s="144"/>
      <c r="G29" s="144"/>
      <c r="H29" s="144"/>
      <c r="I29" s="144"/>
      <c r="J29" s="145"/>
      <c r="K29" s="145"/>
      <c r="L29" s="144"/>
      <c r="M29" s="145"/>
      <c r="N29" s="145"/>
      <c r="O29" s="145"/>
      <c r="P29" s="144"/>
      <c r="Q29" s="144"/>
      <c r="R29" s="145"/>
      <c r="S29" s="145"/>
    </row>
    <row r="30" spans="1:19" ht="13.5" thickBot="1"/>
    <row r="31" spans="1:19">
      <c r="G31" s="670"/>
      <c r="H31" s="671" t="s">
        <v>607</v>
      </c>
      <c r="I31" s="671" t="s">
        <v>605</v>
      </c>
      <c r="J31" s="684">
        <v>0.05</v>
      </c>
      <c r="K31" s="671" t="s">
        <v>602</v>
      </c>
      <c r="L31" s="684">
        <v>0.95</v>
      </c>
      <c r="M31" s="672" t="s">
        <v>606</v>
      </c>
    </row>
    <row r="32" spans="1:19">
      <c r="G32" s="673" t="s">
        <v>21</v>
      </c>
      <c r="H32" s="674">
        <f>COUNT($K20:$K25)</f>
        <v>6</v>
      </c>
      <c r="I32" s="675">
        <f>MIN($K20:$K25)</f>
        <v>23.301093146287048</v>
      </c>
      <c r="J32" s="675">
        <f>_xlfn.PERCENTILE.INC(($K20:$K25),0.05)</f>
        <v>23.513332650980587</v>
      </c>
      <c r="K32" s="675">
        <f>AVERAGE($K20:$K25)</f>
        <v>28.360484466881903</v>
      </c>
      <c r="L32" s="675">
        <f>_xlfn.PERCENTILE.INC(($K20:$K25),0.95)</f>
        <v>33.480761607997188</v>
      </c>
      <c r="M32" s="676">
        <f>MAX($K20:$K25)</f>
        <v>34.63880180842547</v>
      </c>
    </row>
    <row r="33" spans="7:13">
      <c r="G33" s="673" t="s">
        <v>20</v>
      </c>
      <c r="H33" s="674"/>
      <c r="I33" s="675"/>
      <c r="J33" s="675"/>
      <c r="K33" s="675"/>
      <c r="L33" s="675"/>
      <c r="M33" s="676"/>
    </row>
    <row r="34" spans="7:13" ht="13.5" thickBot="1">
      <c r="G34" s="677" t="s">
        <v>601</v>
      </c>
      <c r="H34" s="678"/>
      <c r="I34" s="679"/>
      <c r="J34" s="679"/>
      <c r="K34" s="679"/>
      <c r="L34" s="679"/>
      <c r="M34" s="68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BB52C-1DCB-43D9-84B7-A5D3B989D001}">
  <dimension ref="A1:Q29"/>
  <sheetViews>
    <sheetView tabSelected="1" workbookViewId="0">
      <selection activeCell="B15" sqref="B15"/>
    </sheetView>
  </sheetViews>
  <sheetFormatPr defaultRowHeight="15.75"/>
  <cols>
    <col min="1" max="1" width="5.375" style="835" customWidth="1"/>
    <col min="2" max="2" width="24.375" customWidth="1"/>
    <col min="3" max="4" width="10.625" style="687" customWidth="1"/>
    <col min="5" max="8" width="12.625" style="687" customWidth="1"/>
    <col min="9" max="14" width="8.625" style="687" customWidth="1"/>
  </cols>
  <sheetData>
    <row r="1" spans="2:17" s="835" customFormat="1">
      <c r="C1" s="836"/>
      <c r="D1" s="836"/>
      <c r="E1" s="836"/>
      <c r="F1" s="836"/>
      <c r="G1" s="836"/>
      <c r="H1" s="836"/>
      <c r="I1" s="836"/>
      <c r="J1" s="836"/>
      <c r="K1" s="836"/>
      <c r="L1" s="836"/>
      <c r="M1" s="836"/>
      <c r="N1" s="836"/>
    </row>
    <row r="2" spans="2:17" s="835" customFormat="1">
      <c r="B2" s="1007" t="s">
        <v>774</v>
      </c>
      <c r="C2" s="1007"/>
      <c r="D2" s="1007"/>
      <c r="E2" s="1007"/>
      <c r="F2" s="1007"/>
      <c r="G2" s="1007"/>
      <c r="H2" s="1007"/>
      <c r="I2" s="1007"/>
      <c r="J2" s="1007"/>
      <c r="K2" s="1007"/>
      <c r="L2" s="1007"/>
      <c r="M2" s="1007"/>
      <c r="N2" s="1007"/>
    </row>
    <row r="3" spans="2:17" s="835" customFormat="1">
      <c r="B3" s="1007"/>
      <c r="C3" s="1007"/>
      <c r="D3" s="1007"/>
      <c r="E3" s="1007"/>
      <c r="F3" s="1007"/>
      <c r="G3" s="1007"/>
      <c r="H3" s="1007"/>
      <c r="I3" s="1007"/>
      <c r="J3" s="1007"/>
      <c r="K3" s="1007"/>
      <c r="L3" s="1007"/>
      <c r="M3" s="1007"/>
      <c r="N3" s="1007"/>
    </row>
    <row r="4" spans="2:17" s="835" customFormat="1">
      <c r="B4" s="1007"/>
      <c r="C4" s="1007"/>
      <c r="D4" s="1007"/>
      <c r="E4" s="1007"/>
      <c r="F4" s="1007"/>
      <c r="G4" s="1007"/>
      <c r="H4" s="1007"/>
      <c r="I4" s="1007"/>
      <c r="J4" s="1007"/>
      <c r="K4" s="1007"/>
      <c r="L4" s="1007"/>
      <c r="M4" s="1007"/>
      <c r="N4" s="1007"/>
    </row>
    <row r="5" spans="2:17" s="835" customFormat="1" ht="16.5" thickBot="1">
      <c r="C5" s="836"/>
      <c r="D5" s="836"/>
      <c r="E5" s="836"/>
      <c r="F5" s="836"/>
      <c r="G5" s="836"/>
      <c r="H5" s="836"/>
      <c r="I5" s="836"/>
      <c r="J5" s="836"/>
      <c r="K5" s="836"/>
      <c r="L5" s="836"/>
      <c r="M5" s="836"/>
      <c r="N5" s="836"/>
    </row>
    <row r="6" spans="2:17">
      <c r="B6" s="860"/>
      <c r="C6" s="1009" t="s">
        <v>769</v>
      </c>
      <c r="D6" s="1009"/>
      <c r="E6" s="1008" t="s">
        <v>768</v>
      </c>
      <c r="F6" s="1008"/>
      <c r="G6" s="1008"/>
      <c r="H6" s="1008"/>
      <c r="I6" s="1008" t="s">
        <v>778</v>
      </c>
      <c r="J6" s="1008"/>
      <c r="K6" s="1008"/>
      <c r="L6" s="1008"/>
      <c r="M6" s="1008"/>
      <c r="N6" s="1011"/>
      <c r="O6" s="836"/>
    </row>
    <row r="7" spans="2:17" s="835" customFormat="1">
      <c r="B7" s="861"/>
      <c r="C7" s="837"/>
      <c r="D7" s="837"/>
      <c r="E7" s="1010" t="s">
        <v>770</v>
      </c>
      <c r="F7" s="1010"/>
      <c r="G7" s="1010" t="s">
        <v>771</v>
      </c>
      <c r="H7" s="1010"/>
      <c r="I7" s="1010" t="s">
        <v>770</v>
      </c>
      <c r="J7" s="1010"/>
      <c r="K7" s="1012"/>
      <c r="L7" s="1010" t="s">
        <v>771</v>
      </c>
      <c r="M7" s="1010"/>
      <c r="N7" s="1013"/>
      <c r="O7" s="836"/>
    </row>
    <row r="8" spans="2:17" s="11" customFormat="1">
      <c r="B8" s="862" t="s">
        <v>18</v>
      </c>
      <c r="C8" s="848" t="s">
        <v>22</v>
      </c>
      <c r="D8" s="849" t="s">
        <v>23</v>
      </c>
      <c r="E8" s="848" t="s">
        <v>772</v>
      </c>
      <c r="F8" s="850" t="s">
        <v>773</v>
      </c>
      <c r="G8" s="848" t="s">
        <v>772</v>
      </c>
      <c r="H8" s="850" t="s">
        <v>773</v>
      </c>
      <c r="I8" s="851">
        <v>2.5</v>
      </c>
      <c r="J8" s="853">
        <v>50</v>
      </c>
      <c r="K8" s="852">
        <v>97.5</v>
      </c>
      <c r="L8" s="851">
        <v>2.5</v>
      </c>
      <c r="M8" s="853">
        <v>50</v>
      </c>
      <c r="N8" s="863">
        <v>97.5</v>
      </c>
    </row>
    <row r="9" spans="2:17">
      <c r="B9" s="864" t="s">
        <v>369</v>
      </c>
      <c r="C9" s="838">
        <v>36.590000000000003</v>
      </c>
      <c r="D9" s="839">
        <v>-120.64</v>
      </c>
      <c r="E9" s="838">
        <v>42.25</v>
      </c>
      <c r="F9" s="843">
        <v>-103.75</v>
      </c>
      <c r="G9" s="842">
        <v>44.05</v>
      </c>
      <c r="H9" s="839">
        <v>-92.55</v>
      </c>
      <c r="I9" s="845">
        <v>-2.1309495800733602</v>
      </c>
      <c r="J9" s="846">
        <v>-1.4711633443832399</v>
      </c>
      <c r="K9" s="846">
        <v>-0.13145738840103099</v>
      </c>
      <c r="L9" s="845">
        <v>-2.1309495800733602</v>
      </c>
      <c r="M9" s="844">
        <v>-1.4711633443832399</v>
      </c>
      <c r="N9" s="865">
        <v>-0.13145738840103099</v>
      </c>
      <c r="O9" s="854"/>
      <c r="Q9" s="854"/>
    </row>
    <row r="10" spans="2:17">
      <c r="B10" s="861" t="s">
        <v>374</v>
      </c>
      <c r="C10" s="838">
        <v>36.32</v>
      </c>
      <c r="D10" s="839">
        <v>-120.38</v>
      </c>
      <c r="E10" s="838">
        <v>41.15</v>
      </c>
      <c r="F10" s="843">
        <v>-102.85</v>
      </c>
      <c r="G10" s="842">
        <v>42.85</v>
      </c>
      <c r="H10" s="839">
        <v>-91.8</v>
      </c>
      <c r="I10" s="845">
        <v>-2.1309495800733602</v>
      </c>
      <c r="J10" s="846">
        <v>-1.4711633443832399</v>
      </c>
      <c r="K10" s="846">
        <v>-0.13145738840103099</v>
      </c>
      <c r="L10" s="845">
        <v>-2.1309495800733602</v>
      </c>
      <c r="M10" s="844">
        <v>-1.4711633443832399</v>
      </c>
      <c r="N10" s="865">
        <v>-0.13145738840103099</v>
      </c>
      <c r="O10" s="854"/>
      <c r="Q10" s="854"/>
    </row>
    <row r="11" spans="2:17">
      <c r="B11" s="861" t="s">
        <v>488</v>
      </c>
      <c r="C11" s="838">
        <v>49.08</v>
      </c>
      <c r="D11" s="839">
        <v>-13.98</v>
      </c>
      <c r="E11" s="838">
        <v>43.75</v>
      </c>
      <c r="F11" s="843">
        <v>-15.65</v>
      </c>
      <c r="G11" s="842">
        <v>37.65</v>
      </c>
      <c r="H11" s="839">
        <v>-8.35</v>
      </c>
      <c r="I11" s="845">
        <v>-2.1309495800733602</v>
      </c>
      <c r="J11" s="846">
        <v>-1.4711633443832399</v>
      </c>
      <c r="K11" s="846">
        <v>-0.13145738840103099</v>
      </c>
      <c r="L11" s="845">
        <v>-1.6520711171627001</v>
      </c>
      <c r="M11" s="844">
        <v>-0.80837133526802096</v>
      </c>
      <c r="N11" s="865">
        <v>0.61031953811645501</v>
      </c>
      <c r="O11" s="854"/>
      <c r="Q11" s="854"/>
    </row>
    <row r="12" spans="2:17">
      <c r="B12" s="861" t="s">
        <v>193</v>
      </c>
      <c r="C12" s="838">
        <v>47.427500000000002</v>
      </c>
      <c r="D12" s="839">
        <v>-8.8102999999999998</v>
      </c>
      <c r="E12" s="838">
        <v>41.95</v>
      </c>
      <c r="F12" s="843">
        <v>-10.95</v>
      </c>
      <c r="G12" s="842">
        <v>35.549999999999997</v>
      </c>
      <c r="H12" s="839">
        <v>-4.25</v>
      </c>
      <c r="I12" s="845">
        <v>-2.1309495800733602</v>
      </c>
      <c r="J12" s="846">
        <v>-1.4711633443832399</v>
      </c>
      <c r="K12" s="846">
        <v>-0.13145738840103099</v>
      </c>
      <c r="L12" s="845">
        <v>-1.6520711171627001</v>
      </c>
      <c r="M12" s="844">
        <v>-0.80837133526802096</v>
      </c>
      <c r="N12" s="865">
        <v>0.61031953811645501</v>
      </c>
      <c r="O12" s="854"/>
      <c r="Q12" s="854"/>
    </row>
    <row r="13" spans="2:17">
      <c r="B13" s="861" t="s">
        <v>26</v>
      </c>
      <c r="C13" s="838">
        <v>39.659999999999997</v>
      </c>
      <c r="D13" s="839">
        <v>-75.040000000000006</v>
      </c>
      <c r="E13" s="838">
        <v>38.65</v>
      </c>
      <c r="F13" s="843">
        <v>-56.45</v>
      </c>
      <c r="G13" s="842">
        <v>35.25</v>
      </c>
      <c r="H13" s="839">
        <v>-46.95</v>
      </c>
      <c r="I13" s="845">
        <v>-1.6520711171627001</v>
      </c>
      <c r="J13" s="846">
        <v>-0.80837133526802096</v>
      </c>
      <c r="K13" s="846">
        <v>0.61031953811645501</v>
      </c>
      <c r="L13" s="845">
        <v>-1.6520711171627001</v>
      </c>
      <c r="M13" s="844">
        <v>-0.80837133526802096</v>
      </c>
      <c r="N13" s="865">
        <v>0.61031953811645501</v>
      </c>
      <c r="O13" s="854"/>
      <c r="Q13" s="854"/>
    </row>
    <row r="14" spans="2:17">
      <c r="B14" s="861" t="s">
        <v>29</v>
      </c>
      <c r="C14" s="840">
        <v>39.61</v>
      </c>
      <c r="D14" s="841">
        <v>-74.44</v>
      </c>
      <c r="E14" s="840">
        <v>38.450000000000003</v>
      </c>
      <c r="F14" s="38">
        <v>-55.55</v>
      </c>
      <c r="G14" s="847">
        <v>34.950000000000003</v>
      </c>
      <c r="H14" s="841">
        <v>-46.05</v>
      </c>
      <c r="I14" s="845">
        <v>-1.6520711171627001</v>
      </c>
      <c r="J14" s="846">
        <v>-0.80837133526802096</v>
      </c>
      <c r="K14" s="846">
        <v>0.61031953811645501</v>
      </c>
      <c r="L14" s="845">
        <v>-1.6520711171627001</v>
      </c>
      <c r="M14" s="844">
        <v>-0.80837133526802096</v>
      </c>
      <c r="N14" s="865">
        <v>0.61031953811645501</v>
      </c>
      <c r="O14" s="854"/>
      <c r="Q14" s="854"/>
    </row>
    <row r="15" spans="2:17">
      <c r="B15" s="861" t="s">
        <v>152</v>
      </c>
      <c r="C15" s="838">
        <v>39.24</v>
      </c>
      <c r="D15" s="839">
        <v>-75.05</v>
      </c>
      <c r="E15" s="838">
        <v>37.65</v>
      </c>
      <c r="F15" s="843">
        <v>-56.75</v>
      </c>
      <c r="G15" s="842">
        <v>34.25</v>
      </c>
      <c r="H15" s="839">
        <v>-47.25</v>
      </c>
      <c r="I15" s="845">
        <v>-1.6520711171627001</v>
      </c>
      <c r="J15" s="846">
        <v>-0.80837133526802096</v>
      </c>
      <c r="K15" s="846">
        <v>0.61031953811645501</v>
      </c>
      <c r="L15" s="845">
        <v>-1.6520711171627001</v>
      </c>
      <c r="M15" s="844">
        <v>-0.80837133526802096</v>
      </c>
      <c r="N15" s="865">
        <v>0.61031953811645501</v>
      </c>
      <c r="O15" s="854"/>
      <c r="Q15" s="854"/>
    </row>
    <row r="16" spans="2:17">
      <c r="B16" s="861" t="s">
        <v>84</v>
      </c>
      <c r="C16" s="838">
        <v>32.677999999999997</v>
      </c>
      <c r="D16" s="839">
        <v>158.59899999999999</v>
      </c>
      <c r="E16" s="838">
        <v>22.2</v>
      </c>
      <c r="F16" s="843">
        <v>-161.44999999999999</v>
      </c>
      <c r="G16" s="842">
        <v>28.35</v>
      </c>
      <c r="H16" s="839">
        <v>-155.44999999999999</v>
      </c>
      <c r="I16" s="845">
        <v>-1.2029594983160501</v>
      </c>
      <c r="J16" s="846">
        <v>-0.62012341618537903</v>
      </c>
      <c r="K16" s="846">
        <v>0.29077344894409202</v>
      </c>
      <c r="L16" s="845">
        <v>-1.2029594983160501</v>
      </c>
      <c r="M16" s="844">
        <v>-0.62012341618537903</v>
      </c>
      <c r="N16" s="865">
        <v>0.29077344894409202</v>
      </c>
      <c r="O16" s="854"/>
      <c r="Q16" s="854"/>
    </row>
    <row r="17" spans="2:17">
      <c r="B17" s="861" t="s">
        <v>494</v>
      </c>
      <c r="C17" s="838">
        <v>32.26</v>
      </c>
      <c r="D17" s="839">
        <v>157.43</v>
      </c>
      <c r="E17" s="838">
        <v>21.55</v>
      </c>
      <c r="F17" s="843">
        <v>-163.44999999999999</v>
      </c>
      <c r="G17" s="842">
        <v>27.65</v>
      </c>
      <c r="H17" s="839">
        <v>-157.55000000000001</v>
      </c>
      <c r="I17" s="845">
        <v>-1.2029594983160501</v>
      </c>
      <c r="J17" s="846">
        <v>-0.62012341618537903</v>
      </c>
      <c r="K17" s="846">
        <v>0.29077344894409202</v>
      </c>
      <c r="L17" s="845">
        <v>-1.2029594983160501</v>
      </c>
      <c r="M17" s="844">
        <v>-0.62012341618537903</v>
      </c>
      <c r="N17" s="865">
        <v>0.29077344894409202</v>
      </c>
      <c r="O17" s="854"/>
      <c r="Q17" s="854"/>
    </row>
    <row r="18" spans="2:17">
      <c r="B18" s="861" t="s">
        <v>438</v>
      </c>
      <c r="C18" s="838">
        <v>37.58</v>
      </c>
      <c r="D18" s="839">
        <v>-3.24</v>
      </c>
      <c r="E18" s="838">
        <v>32.25</v>
      </c>
      <c r="F18" s="843">
        <v>-4.75</v>
      </c>
      <c r="G18" s="842">
        <v>26.05</v>
      </c>
      <c r="H18" s="839">
        <v>1.45</v>
      </c>
      <c r="I18" s="845">
        <v>-1.6520711171627001</v>
      </c>
      <c r="J18" s="846">
        <v>-0.80837133526802096</v>
      </c>
      <c r="K18" s="846">
        <v>0.61031953811645501</v>
      </c>
      <c r="L18" s="845">
        <v>-1.2029594983160501</v>
      </c>
      <c r="M18" s="844">
        <v>-0.62012341618537903</v>
      </c>
      <c r="N18" s="865">
        <v>0.29077344894409202</v>
      </c>
      <c r="O18" s="854"/>
      <c r="Q18" s="854"/>
    </row>
    <row r="19" spans="2:17">
      <c r="B19" s="861" t="s">
        <v>93</v>
      </c>
      <c r="C19" s="838">
        <v>18.548999999999999</v>
      </c>
      <c r="D19" s="839">
        <v>-179.64699999999999</v>
      </c>
      <c r="E19" s="838">
        <v>5.85</v>
      </c>
      <c r="F19" s="843">
        <v>-144.35</v>
      </c>
      <c r="G19" s="842">
        <v>11.35</v>
      </c>
      <c r="H19" s="839">
        <v>-138.5</v>
      </c>
      <c r="I19" s="845">
        <v>-0.95504348865433697</v>
      </c>
      <c r="J19" s="846">
        <v>-0.72152664661407495</v>
      </c>
      <c r="K19" s="846">
        <v>-0.20054293245077101</v>
      </c>
      <c r="L19" s="845">
        <v>-0.95109601473086502</v>
      </c>
      <c r="M19" s="844">
        <v>-0.72866325974464397</v>
      </c>
      <c r="N19" s="865">
        <v>-2.6165406405925701E-2</v>
      </c>
      <c r="O19" s="854"/>
      <c r="Q19" s="854"/>
    </row>
    <row r="20" spans="2:17">
      <c r="B20" s="861" t="s">
        <v>439</v>
      </c>
      <c r="C20" s="838">
        <v>6.8</v>
      </c>
      <c r="D20" s="839">
        <v>3.63</v>
      </c>
      <c r="E20" s="838">
        <v>-0.45</v>
      </c>
      <c r="F20" s="843">
        <v>-1.25</v>
      </c>
      <c r="G20" s="842">
        <v>-7.15</v>
      </c>
      <c r="H20" s="839">
        <v>3.95</v>
      </c>
      <c r="I20" s="845">
        <v>-0.79236877039074904</v>
      </c>
      <c r="J20" s="846">
        <v>-0.57352856397628804</v>
      </c>
      <c r="K20" s="846">
        <v>-0.15821170508861501</v>
      </c>
      <c r="L20" s="845">
        <v>-0.79236877039074904</v>
      </c>
      <c r="M20" s="844">
        <v>-0.57352856397628804</v>
      </c>
      <c r="N20" s="865">
        <v>-0.15821170508861501</v>
      </c>
      <c r="O20" s="854"/>
      <c r="Q20" s="854"/>
    </row>
    <row r="21" spans="2:17">
      <c r="B21" s="861" t="s">
        <v>325</v>
      </c>
      <c r="C21" s="838">
        <v>-8.85</v>
      </c>
      <c r="D21" s="839">
        <v>39.630000000000003</v>
      </c>
      <c r="E21" s="838">
        <v>-18.649999999999999</v>
      </c>
      <c r="F21" s="843">
        <v>34.15</v>
      </c>
      <c r="G21" s="842">
        <v>-24.55</v>
      </c>
      <c r="H21" s="839">
        <v>40.75</v>
      </c>
      <c r="I21" s="845">
        <v>-0.69030269533395805</v>
      </c>
      <c r="J21" s="846">
        <v>-0.52515015304088597</v>
      </c>
      <c r="K21" s="846">
        <v>-9.1187059879303308E-3</v>
      </c>
      <c r="L21" s="845">
        <v>-0.73012025982141504</v>
      </c>
      <c r="M21" s="844">
        <v>-0.41155005693435698</v>
      </c>
      <c r="N21" s="865">
        <v>0.14647439420223199</v>
      </c>
      <c r="O21" s="854"/>
      <c r="Q21" s="854"/>
    </row>
    <row r="22" spans="2:17">
      <c r="B22" s="861" t="s">
        <v>340</v>
      </c>
      <c r="C22" s="838">
        <v>-9.2799999999999994</v>
      </c>
      <c r="D22" s="839">
        <v>39.51</v>
      </c>
      <c r="E22" s="838">
        <v>-18.649999999999999</v>
      </c>
      <c r="F22" s="843">
        <v>34.15</v>
      </c>
      <c r="G22" s="842">
        <v>-24.55</v>
      </c>
      <c r="H22" s="839">
        <v>40.75</v>
      </c>
      <c r="I22" s="845">
        <v>-0.69030269533395805</v>
      </c>
      <c r="J22" s="846">
        <v>-0.52515015304088597</v>
      </c>
      <c r="K22" s="846">
        <v>-9.1187059879303308E-3</v>
      </c>
      <c r="L22" s="845">
        <v>-0.73012025982141504</v>
      </c>
      <c r="M22" s="844">
        <v>-0.41155005693435698</v>
      </c>
      <c r="N22" s="865">
        <v>0.14647439420223199</v>
      </c>
      <c r="O22" s="854"/>
      <c r="Q22" s="854"/>
    </row>
    <row r="23" spans="2:17">
      <c r="B23" s="861" t="s">
        <v>117</v>
      </c>
      <c r="C23" s="838">
        <v>-24.042000000000002</v>
      </c>
      <c r="D23" s="839">
        <v>1.7629999999999999</v>
      </c>
      <c r="E23" s="838">
        <v>-31.05</v>
      </c>
      <c r="F23" s="843">
        <v>-7.15</v>
      </c>
      <c r="G23" s="842">
        <v>-37.549999999999997</v>
      </c>
      <c r="H23" s="839">
        <v>-2.95</v>
      </c>
      <c r="I23" s="845">
        <v>-1.0938174294680401</v>
      </c>
      <c r="J23" s="846">
        <v>-0.52817685008048998</v>
      </c>
      <c r="K23" s="846">
        <v>-0.28419673115014998</v>
      </c>
      <c r="L23" s="845">
        <v>-1.0938174294680401</v>
      </c>
      <c r="M23" s="844">
        <v>-0.52817685008048998</v>
      </c>
      <c r="N23" s="865">
        <v>-0.28419673115014998</v>
      </c>
      <c r="O23" s="854"/>
      <c r="Q23" s="854"/>
    </row>
    <row r="24" spans="2:17">
      <c r="B24" s="861" t="s">
        <v>468</v>
      </c>
      <c r="C24" s="838">
        <v>-43.06</v>
      </c>
      <c r="D24" s="839">
        <v>172.61</v>
      </c>
      <c r="E24" s="838">
        <v>-54.85</v>
      </c>
      <c r="F24" s="843">
        <v>-160.85</v>
      </c>
      <c r="G24" s="842">
        <v>-48.75</v>
      </c>
      <c r="H24" s="839">
        <v>-157.15</v>
      </c>
      <c r="I24" s="845">
        <v>-1.34534497499466</v>
      </c>
      <c r="J24" s="846">
        <v>-1.3089515805244401</v>
      </c>
      <c r="K24" s="846">
        <v>-1.06087392672896</v>
      </c>
      <c r="L24" s="845">
        <v>-1.3439197334647199</v>
      </c>
      <c r="M24" s="844">
        <v>-1.02762768752873</v>
      </c>
      <c r="N24" s="865">
        <v>-0.58937509000301402</v>
      </c>
      <c r="O24" s="854"/>
      <c r="Q24" s="854"/>
    </row>
    <row r="25" spans="2:17">
      <c r="B25" s="861" t="s">
        <v>467</v>
      </c>
      <c r="C25" s="838">
        <v>-45.32</v>
      </c>
      <c r="D25" s="839">
        <v>170.83</v>
      </c>
      <c r="E25" s="838">
        <v>-56.55</v>
      </c>
      <c r="F25" s="843">
        <v>-164.05</v>
      </c>
      <c r="G25" s="842">
        <v>-50.35</v>
      </c>
      <c r="H25" s="839">
        <v>-160.05000000000001</v>
      </c>
      <c r="I25" s="845">
        <v>-1.34534497499466</v>
      </c>
      <c r="J25" s="846">
        <v>-1.3089515805244401</v>
      </c>
      <c r="K25" s="846">
        <v>-1.06087392672896</v>
      </c>
      <c r="L25" s="845">
        <v>-1.34534497499466</v>
      </c>
      <c r="M25" s="844">
        <v>-1.3089515805244401</v>
      </c>
      <c r="N25" s="865">
        <v>-1.06087392672896</v>
      </c>
      <c r="O25" s="854"/>
      <c r="Q25" s="854"/>
    </row>
    <row r="26" spans="2:17">
      <c r="B26" s="861" t="s">
        <v>416</v>
      </c>
      <c r="C26" s="838">
        <v>-52.22</v>
      </c>
      <c r="D26" s="839">
        <v>166.19</v>
      </c>
      <c r="E26" s="838">
        <v>-62.45</v>
      </c>
      <c r="F26" s="843">
        <v>-173.95</v>
      </c>
      <c r="G26" s="842">
        <v>-56.15</v>
      </c>
      <c r="H26" s="839">
        <v>-168.55</v>
      </c>
      <c r="I26" s="845">
        <v>-1.3760948216915101</v>
      </c>
      <c r="J26" s="846">
        <v>-1.31903141438961</v>
      </c>
      <c r="K26" s="846">
        <v>-1.26280187472701</v>
      </c>
      <c r="L26" s="845">
        <v>-1.34534497499466</v>
      </c>
      <c r="M26" s="844">
        <v>-1.3089515805244401</v>
      </c>
      <c r="N26" s="865">
        <v>-1.06087392672896</v>
      </c>
      <c r="O26" s="854"/>
      <c r="Q26" s="854"/>
    </row>
    <row r="27" spans="2:17">
      <c r="B27" s="861" t="s">
        <v>278</v>
      </c>
      <c r="C27" s="838">
        <v>-62.715000000000003</v>
      </c>
      <c r="D27" s="839">
        <v>82.79</v>
      </c>
      <c r="E27" s="838">
        <v>-62.2</v>
      </c>
      <c r="F27" s="843">
        <v>79.400000000000006</v>
      </c>
      <c r="G27" s="842">
        <v>-63.55</v>
      </c>
      <c r="H27" s="839">
        <v>97.05</v>
      </c>
      <c r="I27" s="845">
        <v>-1.3760948216915101</v>
      </c>
      <c r="J27" s="846">
        <v>-1.31903141438961</v>
      </c>
      <c r="K27" s="846">
        <v>-1.26280187472701</v>
      </c>
      <c r="L27" s="845">
        <v>-1.3760948216915101</v>
      </c>
      <c r="M27" s="844">
        <v>-1.31903141438961</v>
      </c>
      <c r="N27" s="865">
        <v>-1.26280187472701</v>
      </c>
      <c r="O27" s="854"/>
      <c r="Q27" s="854"/>
    </row>
    <row r="28" spans="2:17">
      <c r="B28" s="861" t="s">
        <v>45</v>
      </c>
      <c r="C28" s="838">
        <v>-64.31</v>
      </c>
      <c r="D28" s="839">
        <v>3.06</v>
      </c>
      <c r="E28" s="838">
        <v>-64</v>
      </c>
      <c r="F28" s="843">
        <v>0.55000000000000004</v>
      </c>
      <c r="G28" s="842">
        <v>-70.45</v>
      </c>
      <c r="H28" s="839">
        <v>4.1500000000000004</v>
      </c>
      <c r="I28" s="845">
        <v>-1.3760948216915101</v>
      </c>
      <c r="J28" s="846">
        <v>-1.31903141438961</v>
      </c>
      <c r="K28" s="846">
        <v>-1.26280187472701</v>
      </c>
      <c r="L28" s="845">
        <v>-1.38032572746277</v>
      </c>
      <c r="M28" s="844">
        <v>-1.2790806770324701</v>
      </c>
      <c r="N28" s="865">
        <v>-1.2314909771084801</v>
      </c>
      <c r="O28" s="854"/>
      <c r="Q28" s="854"/>
    </row>
    <row r="29" spans="2:17" ht="16.5" thickBot="1">
      <c r="B29" s="866" t="s">
        <v>151</v>
      </c>
      <c r="C29" s="867">
        <v>-65.325000000000003</v>
      </c>
      <c r="D29" s="868">
        <v>1.282</v>
      </c>
      <c r="E29" s="867">
        <v>-65.05</v>
      </c>
      <c r="F29" s="869">
        <v>-1.35</v>
      </c>
      <c r="G29" s="870">
        <v>-71.400000000000006</v>
      </c>
      <c r="H29" s="868">
        <v>1.45</v>
      </c>
      <c r="I29" s="871">
        <v>-1.3760948216915101</v>
      </c>
      <c r="J29" s="872">
        <v>-1.31903141438961</v>
      </c>
      <c r="K29" s="872">
        <v>-1.26280187472701</v>
      </c>
      <c r="L29" s="871">
        <v>-1.38032572746277</v>
      </c>
      <c r="M29" s="873">
        <v>-1.2790806770324701</v>
      </c>
      <c r="N29" s="874">
        <v>-1.2314909771084801</v>
      </c>
      <c r="O29" s="854"/>
      <c r="Q29" s="854"/>
    </row>
  </sheetData>
  <mergeCells count="8">
    <mergeCell ref="B2:N4"/>
    <mergeCell ref="E6:H6"/>
    <mergeCell ref="C6:D6"/>
    <mergeCell ref="E7:F7"/>
    <mergeCell ref="G7:H7"/>
    <mergeCell ref="I6:N6"/>
    <mergeCell ref="I7:K7"/>
    <mergeCell ref="L7:N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8"/>
  <sheetViews>
    <sheetView zoomScale="80" zoomScaleNormal="80" zoomScalePageLayoutView="80" workbookViewId="0">
      <selection activeCell="B1" sqref="B1"/>
    </sheetView>
  </sheetViews>
  <sheetFormatPr defaultColWidth="10.625" defaultRowHeight="12.75"/>
  <cols>
    <col min="1" max="1" width="15.625" style="69" customWidth="1"/>
    <col min="2" max="2" width="18.625" style="69" customWidth="1"/>
    <col min="3" max="5" width="10.625" style="69"/>
    <col min="6" max="6" width="10.625" style="156"/>
    <col min="7" max="7" width="13.5" style="156" bestFit="1" customWidth="1"/>
    <col min="8" max="9" width="10.625" style="156"/>
    <col min="10" max="10" width="10.625" style="69"/>
    <col min="11" max="11" width="15.625" style="69" customWidth="1"/>
    <col min="12" max="12" width="19.125" style="69" bestFit="1" customWidth="1"/>
    <col min="13" max="13" width="13" style="69" bestFit="1" customWidth="1"/>
    <col min="14" max="16" width="10.625" style="69"/>
    <col min="17" max="17" width="21.625" style="69" bestFit="1" customWidth="1"/>
    <col min="18" max="18" width="15.5" style="69" bestFit="1" customWidth="1"/>
    <col min="19" max="19" width="44.5" style="69" bestFit="1" customWidth="1"/>
    <col min="20" max="16384" width="10.625" style="69"/>
  </cols>
  <sheetData>
    <row r="1" spans="1:19" s="11" customFormat="1" ht="15.75">
      <c r="A1" s="205" t="s">
        <v>62</v>
      </c>
      <c r="B1" s="634" t="s">
        <v>440</v>
      </c>
      <c r="D1" s="43"/>
      <c r="E1" s="43"/>
      <c r="F1" s="20"/>
      <c r="G1" s="20"/>
      <c r="H1" s="20"/>
      <c r="I1" s="20"/>
      <c r="J1" s="20"/>
      <c r="K1" s="20"/>
      <c r="L1" s="20"/>
      <c r="M1" s="20"/>
      <c r="N1" s="20"/>
      <c r="O1" s="20"/>
      <c r="P1" s="20"/>
      <c r="Q1" s="20"/>
      <c r="R1" s="19"/>
      <c r="S1" s="19"/>
    </row>
    <row r="2" spans="1:19">
      <c r="A2" s="141" t="s">
        <v>636</v>
      </c>
      <c r="B2" s="50" t="s">
        <v>640</v>
      </c>
      <c r="D2" s="154"/>
      <c r="E2" s="154"/>
      <c r="F2" s="144"/>
      <c r="G2" s="144"/>
      <c r="H2" s="144"/>
      <c r="I2" s="144"/>
      <c r="J2" s="144"/>
      <c r="K2" s="144"/>
      <c r="L2" s="144"/>
      <c r="M2" s="144"/>
      <c r="N2" s="144"/>
      <c r="O2" s="144"/>
      <c r="P2" s="144"/>
      <c r="Q2" s="144"/>
      <c r="R2" s="145"/>
      <c r="S2" s="145"/>
    </row>
    <row r="3" spans="1:19">
      <c r="A3" s="141" t="s">
        <v>61</v>
      </c>
      <c r="B3" s="50" t="s">
        <v>641</v>
      </c>
      <c r="D3" s="154"/>
      <c r="E3" s="154"/>
      <c r="F3" s="144"/>
      <c r="G3" s="144"/>
      <c r="H3" s="144"/>
      <c r="I3" s="144"/>
      <c r="J3" s="144"/>
      <c r="K3" s="144"/>
      <c r="L3" s="144"/>
      <c r="M3" s="144"/>
      <c r="N3" s="144"/>
      <c r="O3" s="144"/>
      <c r="P3" s="144"/>
      <c r="Q3" s="144"/>
      <c r="R3" s="145"/>
      <c r="S3" s="145"/>
    </row>
    <row r="4" spans="1:19">
      <c r="A4" s="147" t="s">
        <v>621</v>
      </c>
      <c r="B4" s="51">
        <v>-45.32</v>
      </c>
      <c r="D4" s="154"/>
      <c r="E4" s="154"/>
      <c r="F4" s="144"/>
      <c r="G4" s="144"/>
      <c r="H4" s="144"/>
      <c r="I4" s="144"/>
      <c r="J4" s="144"/>
      <c r="K4" s="144"/>
      <c r="L4" s="144"/>
      <c r="M4" s="144"/>
      <c r="N4" s="144"/>
      <c r="O4" s="144"/>
      <c r="P4" s="144"/>
      <c r="Q4" s="144"/>
      <c r="R4" s="145"/>
      <c r="S4" s="145"/>
    </row>
    <row r="5" spans="1:19">
      <c r="A5" s="147" t="s">
        <v>622</v>
      </c>
      <c r="B5" s="51">
        <v>107.83</v>
      </c>
      <c r="D5" s="154"/>
      <c r="E5" s="154"/>
      <c r="F5" s="144"/>
      <c r="G5" s="144"/>
      <c r="H5" s="144"/>
      <c r="I5" s="144"/>
      <c r="J5" s="144"/>
      <c r="K5" s="144"/>
      <c r="L5" s="144"/>
      <c r="M5" s="144"/>
      <c r="N5" s="144"/>
      <c r="O5" s="144"/>
      <c r="P5" s="144"/>
      <c r="Q5" s="144"/>
      <c r="R5" s="145"/>
      <c r="S5" s="145"/>
    </row>
    <row r="6" spans="1:19">
      <c r="A6" s="149" t="s">
        <v>50</v>
      </c>
      <c r="B6" s="51">
        <v>-48.22</v>
      </c>
      <c r="D6" s="154"/>
      <c r="E6" s="154"/>
      <c r="F6" s="144"/>
      <c r="G6" s="144"/>
      <c r="H6" s="144"/>
      <c r="I6" s="144"/>
      <c r="J6" s="144"/>
      <c r="K6" s="144"/>
      <c r="L6" s="144"/>
      <c r="M6" s="144"/>
      <c r="N6" s="144"/>
      <c r="O6" s="144"/>
      <c r="P6" s="144"/>
      <c r="Q6" s="144"/>
      <c r="R6" s="145"/>
      <c r="S6" s="145"/>
    </row>
    <row r="7" spans="1:19">
      <c r="A7" s="208" t="s">
        <v>696</v>
      </c>
      <c r="B7" s="50" t="s">
        <v>190</v>
      </c>
      <c r="C7" s="50" t="s">
        <v>641</v>
      </c>
      <c r="D7" s="154"/>
      <c r="E7" s="154"/>
      <c r="F7" s="144"/>
      <c r="G7" s="144"/>
      <c r="H7" s="144"/>
      <c r="I7" s="144"/>
      <c r="J7" s="144"/>
      <c r="K7" s="144"/>
      <c r="L7" s="144"/>
      <c r="M7" s="144"/>
      <c r="N7" s="144"/>
      <c r="O7" s="144"/>
      <c r="P7" s="144"/>
      <c r="Q7" s="144"/>
      <c r="R7" s="145"/>
      <c r="S7" s="145"/>
    </row>
    <row r="8" spans="1:19">
      <c r="A8" s="141" t="s">
        <v>63</v>
      </c>
      <c r="B8" s="50" t="s">
        <v>441</v>
      </c>
      <c r="C8" s="71"/>
      <c r="D8" s="154"/>
      <c r="E8" s="154"/>
      <c r="F8" s="144"/>
      <c r="G8" s="144"/>
      <c r="H8" s="144"/>
      <c r="I8" s="144"/>
      <c r="J8" s="144"/>
      <c r="K8" s="144"/>
      <c r="L8" s="144"/>
      <c r="M8" s="144"/>
      <c r="N8" s="144"/>
      <c r="O8" s="144"/>
      <c r="P8" s="144"/>
      <c r="Q8" s="144"/>
      <c r="R8" s="145"/>
      <c r="S8" s="145"/>
    </row>
    <row r="9" spans="1:19">
      <c r="A9" s="141" t="s">
        <v>64</v>
      </c>
      <c r="B9" s="50" t="s">
        <v>197</v>
      </c>
      <c r="C9" s="72"/>
      <c r="D9" s="72"/>
      <c r="E9" s="154"/>
      <c r="F9" s="144"/>
      <c r="G9" s="144"/>
      <c r="H9" s="144"/>
      <c r="I9" s="144"/>
      <c r="J9" s="144"/>
      <c r="K9" s="144"/>
      <c r="L9" s="144"/>
      <c r="M9" s="144"/>
      <c r="N9" s="144"/>
      <c r="O9" s="144"/>
      <c r="P9" s="144"/>
      <c r="Q9" s="144"/>
      <c r="R9" s="145"/>
      <c r="S9" s="145"/>
    </row>
    <row r="10" spans="1:19">
      <c r="A10" s="141" t="s">
        <v>65</v>
      </c>
      <c r="B10" s="70" t="s">
        <v>76</v>
      </c>
      <c r="C10" s="70" t="s">
        <v>446</v>
      </c>
      <c r="D10" s="70"/>
      <c r="E10" s="154"/>
      <c r="F10" s="154"/>
      <c r="G10" s="144"/>
      <c r="H10" s="144"/>
      <c r="I10" s="144"/>
      <c r="J10" s="144"/>
      <c r="K10" s="144"/>
      <c r="L10" s="144"/>
      <c r="M10" s="144"/>
      <c r="N10" s="144"/>
      <c r="O10" s="144"/>
      <c r="P10" s="144"/>
      <c r="Q10" s="144"/>
      <c r="R10" s="145"/>
      <c r="S10" s="145"/>
    </row>
    <row r="11" spans="1:19" ht="13.5" thickBot="1">
      <c r="A11" s="587" t="s">
        <v>447</v>
      </c>
      <c r="B11" s="68" t="s">
        <v>448</v>
      </c>
      <c r="C11" s="70"/>
      <c r="D11" s="70"/>
      <c r="E11" s="154"/>
      <c r="F11" s="154"/>
      <c r="G11" s="144"/>
      <c r="H11" s="144"/>
      <c r="I11" s="144"/>
      <c r="J11" s="144"/>
      <c r="K11" s="144"/>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13" t="s">
        <v>10</v>
      </c>
      <c r="I12" s="214" t="s">
        <v>725</v>
      </c>
      <c r="J12" s="215" t="s">
        <v>664</v>
      </c>
      <c r="K12" s="216" t="s">
        <v>659</v>
      </c>
      <c r="L12" s="217" t="s">
        <v>70</v>
      </c>
      <c r="M12" s="217" t="s">
        <v>71</v>
      </c>
      <c r="N12" s="217" t="s">
        <v>36</v>
      </c>
      <c r="O12" s="218" t="s">
        <v>34</v>
      </c>
      <c r="P12" s="217" t="s">
        <v>72</v>
      </c>
      <c r="Q12" s="218" t="s">
        <v>73</v>
      </c>
      <c r="R12" s="160" t="s">
        <v>15</v>
      </c>
      <c r="S12" s="166" t="s">
        <v>38</v>
      </c>
    </row>
    <row r="13" spans="1:19">
      <c r="A13" s="236"/>
      <c r="B13" s="237"/>
      <c r="C13" s="237"/>
      <c r="D13" s="237"/>
      <c r="E13" s="237"/>
      <c r="F13" s="237"/>
      <c r="G13" s="237"/>
      <c r="H13" s="499"/>
      <c r="I13" s="239"/>
      <c r="J13" s="170"/>
      <c r="K13" s="539"/>
      <c r="L13" s="240"/>
      <c r="M13" s="241"/>
      <c r="N13" s="241"/>
      <c r="O13" s="242"/>
      <c r="P13" s="241"/>
      <c r="Q13" s="242"/>
      <c r="R13" s="239"/>
      <c r="S13" s="176"/>
    </row>
    <row r="14" spans="1:19">
      <c r="A14" s="167" t="s">
        <v>440</v>
      </c>
      <c r="B14" s="168"/>
      <c r="C14" s="168"/>
      <c r="D14" s="168"/>
      <c r="E14" s="168"/>
      <c r="F14" s="156">
        <v>60.6</v>
      </c>
      <c r="G14" s="156" t="s">
        <v>687</v>
      </c>
      <c r="H14" s="377">
        <v>48.5</v>
      </c>
      <c r="I14" s="56">
        <v>-2.3290000000000002</v>
      </c>
      <c r="J14" s="170">
        <v>-1.5789515805244401</v>
      </c>
      <c r="K14" s="233">
        <f t="shared" ref="K14" si="0">16.1-4.64*($I14-J14)+0.09*($I14-J14)^2</f>
        <v>19.6308562032068</v>
      </c>
      <c r="L14" s="637" t="s">
        <v>442</v>
      </c>
      <c r="M14" s="171"/>
      <c r="N14" s="196" t="s">
        <v>37</v>
      </c>
      <c r="O14" s="172" t="s">
        <v>35</v>
      </c>
      <c r="P14" s="171" t="s">
        <v>58</v>
      </c>
      <c r="Q14" s="172" t="s">
        <v>446</v>
      </c>
      <c r="R14" s="249" t="s">
        <v>446</v>
      </c>
      <c r="S14" s="176" t="s">
        <v>585</v>
      </c>
    </row>
    <row r="15" spans="1:19">
      <c r="A15" s="167" t="s">
        <v>440</v>
      </c>
      <c r="B15" s="168"/>
      <c r="C15" s="168"/>
      <c r="D15" s="168"/>
      <c r="E15" s="168"/>
      <c r="F15" s="156">
        <v>60.6</v>
      </c>
      <c r="G15" s="156" t="s">
        <v>687</v>
      </c>
      <c r="H15" s="377">
        <v>48.5</v>
      </c>
      <c r="I15" s="56">
        <v>-2.0939999999999999</v>
      </c>
      <c r="J15" s="170">
        <v>-1.5789515805244401</v>
      </c>
      <c r="K15" s="233">
        <f t="shared" ref="K15:K21" si="1">16.1-4.64*($I15-J15)+0.09*($I15-J15)^2</f>
        <v>18.513699405062983</v>
      </c>
      <c r="L15" s="637" t="s">
        <v>442</v>
      </c>
      <c r="M15" s="171"/>
      <c r="N15" s="196" t="s">
        <v>445</v>
      </c>
      <c r="O15" s="172" t="s">
        <v>35</v>
      </c>
      <c r="P15" s="171" t="s">
        <v>58</v>
      </c>
      <c r="Q15" s="172" t="s">
        <v>446</v>
      </c>
      <c r="R15" s="249" t="s">
        <v>446</v>
      </c>
      <c r="S15" s="176" t="s">
        <v>585</v>
      </c>
    </row>
    <row r="16" spans="1:19">
      <c r="A16" s="167" t="s">
        <v>440</v>
      </c>
      <c r="B16" s="168"/>
      <c r="C16" s="168"/>
      <c r="D16" s="168"/>
      <c r="E16" s="168"/>
      <c r="F16" s="156">
        <v>60.6</v>
      </c>
      <c r="G16" s="156" t="s">
        <v>687</v>
      </c>
      <c r="H16" s="377">
        <v>48.5</v>
      </c>
      <c r="I16" s="56">
        <v>-1.9770000000000001</v>
      </c>
      <c r="J16" s="170">
        <v>-1.5789515805244401</v>
      </c>
      <c r="K16" s="233">
        <f t="shared" si="1"/>
        <v>17.961204495348831</v>
      </c>
      <c r="L16" s="637" t="s">
        <v>299</v>
      </c>
      <c r="M16" s="171"/>
      <c r="N16" s="196" t="s">
        <v>37</v>
      </c>
      <c r="O16" s="172" t="s">
        <v>35</v>
      </c>
      <c r="P16" s="171" t="s">
        <v>58</v>
      </c>
      <c r="Q16" s="172" t="s">
        <v>446</v>
      </c>
      <c r="R16" s="249" t="s">
        <v>446</v>
      </c>
      <c r="S16" s="176" t="s">
        <v>585</v>
      </c>
    </row>
    <row r="17" spans="1:19">
      <c r="A17" s="167" t="s">
        <v>440</v>
      </c>
      <c r="B17" s="168"/>
      <c r="C17" s="168"/>
      <c r="D17" s="168"/>
      <c r="E17" s="168"/>
      <c r="F17" s="156">
        <v>60.6</v>
      </c>
      <c r="G17" s="156" t="s">
        <v>687</v>
      </c>
      <c r="H17" s="377">
        <v>48.5</v>
      </c>
      <c r="I17" s="56">
        <v>-2.2370000000000001</v>
      </c>
      <c r="J17" s="170">
        <v>-1.5789515805244401</v>
      </c>
      <c r="K17" s="233">
        <f t="shared" si="1"/>
        <v>19.192317161380284</v>
      </c>
      <c r="L17" s="637" t="s">
        <v>299</v>
      </c>
      <c r="M17" s="171"/>
      <c r="N17" s="196" t="s">
        <v>445</v>
      </c>
      <c r="O17" s="172" t="s">
        <v>35</v>
      </c>
      <c r="P17" s="171" t="s">
        <v>58</v>
      </c>
      <c r="Q17" s="172" t="s">
        <v>446</v>
      </c>
      <c r="R17" s="249" t="s">
        <v>446</v>
      </c>
      <c r="S17" s="176" t="s">
        <v>585</v>
      </c>
    </row>
    <row r="18" spans="1:19" ht="16.5" customHeight="1">
      <c r="A18" s="177" t="s">
        <v>440</v>
      </c>
      <c r="B18" s="178"/>
      <c r="C18" s="178"/>
      <c r="D18" s="178"/>
      <c r="E18" s="178"/>
      <c r="F18" s="226">
        <v>60.6</v>
      </c>
      <c r="G18" s="226" t="s">
        <v>687</v>
      </c>
      <c r="H18" s="434">
        <v>48.5</v>
      </c>
      <c r="I18" s="181">
        <v>-2.1070000000000002</v>
      </c>
      <c r="J18" s="182">
        <v>-1.5789515805244401</v>
      </c>
      <c r="K18" s="639">
        <f t="shared" si="1"/>
        <v>18.575239828364555</v>
      </c>
      <c r="L18" s="638" t="s">
        <v>443</v>
      </c>
      <c r="M18" s="184"/>
      <c r="N18" s="226" t="s">
        <v>37</v>
      </c>
      <c r="O18" s="185" t="s">
        <v>35</v>
      </c>
      <c r="P18" s="184" t="s">
        <v>58</v>
      </c>
      <c r="Q18" s="185" t="s">
        <v>446</v>
      </c>
      <c r="R18" s="249" t="s">
        <v>446</v>
      </c>
      <c r="S18" s="176"/>
    </row>
    <row r="19" spans="1:19">
      <c r="A19" s="167" t="s">
        <v>440</v>
      </c>
      <c r="B19" s="168"/>
      <c r="C19" s="168"/>
      <c r="D19" s="168"/>
      <c r="E19" s="168"/>
      <c r="F19" s="156">
        <v>60.6</v>
      </c>
      <c r="G19" s="156" t="s">
        <v>687</v>
      </c>
      <c r="H19" s="377">
        <v>48.5</v>
      </c>
      <c r="I19" s="56">
        <v>-2.0609999999999999</v>
      </c>
      <c r="J19" s="170">
        <v>-1.5789515805244401</v>
      </c>
      <c r="K19" s="661">
        <f t="shared" si="1"/>
        <v>18.357618027451299</v>
      </c>
      <c r="L19" s="768" t="s">
        <v>444</v>
      </c>
      <c r="M19" s="171"/>
      <c r="N19" s="196" t="s">
        <v>37</v>
      </c>
      <c r="O19" s="172" t="s">
        <v>44</v>
      </c>
      <c r="P19" s="171" t="s">
        <v>58</v>
      </c>
      <c r="Q19" s="172" t="s">
        <v>446</v>
      </c>
      <c r="R19" s="249" t="s">
        <v>446</v>
      </c>
      <c r="S19" s="176" t="s">
        <v>585</v>
      </c>
    </row>
    <row r="20" spans="1:19">
      <c r="A20" s="167" t="s">
        <v>440</v>
      </c>
      <c r="B20" s="168"/>
      <c r="C20" s="168"/>
      <c r="D20" s="168"/>
      <c r="E20" s="168"/>
      <c r="F20" s="156">
        <v>60.6</v>
      </c>
      <c r="G20" s="156" t="s">
        <v>687</v>
      </c>
      <c r="H20" s="377">
        <v>48.5</v>
      </c>
      <c r="I20" s="56">
        <v>-2.008</v>
      </c>
      <c r="J20" s="170">
        <v>-1.5789515805244401</v>
      </c>
      <c r="K20" s="661">
        <f t="shared" si="1"/>
        <v>18.107352095529503</v>
      </c>
      <c r="L20" s="768" t="s">
        <v>304</v>
      </c>
      <c r="M20" s="171"/>
      <c r="N20" s="196" t="s">
        <v>37</v>
      </c>
      <c r="O20" s="172" t="s">
        <v>44</v>
      </c>
      <c r="P20" s="171" t="s">
        <v>58</v>
      </c>
      <c r="Q20" s="172" t="s">
        <v>446</v>
      </c>
      <c r="R20" s="249" t="s">
        <v>446</v>
      </c>
      <c r="S20" s="176" t="s">
        <v>585</v>
      </c>
    </row>
    <row r="21" spans="1:19">
      <c r="A21" s="167" t="s">
        <v>440</v>
      </c>
      <c r="B21" s="168"/>
      <c r="C21" s="168"/>
      <c r="D21" s="168"/>
      <c r="E21" s="168"/>
      <c r="F21" s="156">
        <v>60.6</v>
      </c>
      <c r="G21" s="156" t="s">
        <v>687</v>
      </c>
      <c r="H21" s="377">
        <v>48.5</v>
      </c>
      <c r="I21" s="56">
        <v>-2.1869999999999998</v>
      </c>
      <c r="J21" s="170">
        <v>-1.5789515805244401</v>
      </c>
      <c r="K21" s="661">
        <f t="shared" si="1"/>
        <v>18.954619725605006</v>
      </c>
      <c r="L21" s="768" t="s">
        <v>304</v>
      </c>
      <c r="M21" s="171"/>
      <c r="N21" s="196" t="s">
        <v>445</v>
      </c>
      <c r="O21" s="172" t="s">
        <v>44</v>
      </c>
      <c r="P21" s="171" t="s">
        <v>58</v>
      </c>
      <c r="Q21" s="172" t="s">
        <v>446</v>
      </c>
      <c r="R21" s="249" t="s">
        <v>446</v>
      </c>
      <c r="S21" s="176" t="s">
        <v>585</v>
      </c>
    </row>
    <row r="22" spans="1:19" ht="13.5" thickBot="1">
      <c r="A22" s="506"/>
      <c r="B22" s="507"/>
      <c r="C22" s="255"/>
      <c r="D22" s="255"/>
      <c r="E22" s="255"/>
      <c r="F22" s="255"/>
      <c r="G22" s="255"/>
      <c r="H22" s="255"/>
      <c r="I22" s="257"/>
      <c r="J22" s="255"/>
      <c r="K22" s="609"/>
      <c r="L22" s="254"/>
      <c r="M22" s="255"/>
      <c r="N22" s="255"/>
      <c r="O22" s="256"/>
      <c r="P22" s="255"/>
      <c r="Q22" s="256"/>
      <c r="R22" s="258"/>
      <c r="S22" s="258"/>
    </row>
    <row r="23" spans="1:19">
      <c r="A23" s="145"/>
      <c r="B23" s="145"/>
      <c r="C23" s="145"/>
      <c r="D23" s="145"/>
      <c r="E23" s="145"/>
      <c r="F23" s="144"/>
      <c r="G23" s="144"/>
      <c r="H23" s="144"/>
      <c r="I23" s="144"/>
      <c r="J23" s="145"/>
      <c r="K23" s="145"/>
      <c r="L23" s="144"/>
      <c r="M23" s="145"/>
      <c r="N23" s="145"/>
      <c r="O23" s="145"/>
      <c r="P23" s="145"/>
      <c r="Q23" s="145"/>
      <c r="R23" s="145"/>
      <c r="S23" s="145"/>
    </row>
    <row r="24" spans="1:19" ht="13.5" thickBot="1"/>
    <row r="25" spans="1:19">
      <c r="G25" s="670"/>
      <c r="H25" s="671" t="s">
        <v>607</v>
      </c>
      <c r="I25" s="671" t="s">
        <v>605</v>
      </c>
      <c r="J25" s="684">
        <v>0.05</v>
      </c>
      <c r="K25" s="671" t="s">
        <v>602</v>
      </c>
      <c r="L25" s="684">
        <v>0.95</v>
      </c>
      <c r="M25" s="672" t="s">
        <v>606</v>
      </c>
    </row>
    <row r="26" spans="1:19">
      <c r="G26" s="673" t="s">
        <v>21</v>
      </c>
      <c r="H26" s="674">
        <f>COUNT($K14:$K18)</f>
        <v>5</v>
      </c>
      <c r="I26" s="675">
        <f>MIN($K14:$K18)</f>
        <v>17.961204495348831</v>
      </c>
      <c r="J26" s="675">
        <f>_xlfn.PERCENTILE.INC(($K14:$K18),0.05)</f>
        <v>18.07170347729166</v>
      </c>
      <c r="K26" s="675">
        <f>AVERAGE($K14:$K18)</f>
        <v>18.774663418672692</v>
      </c>
      <c r="L26" s="675">
        <f>_xlfn.PERCENTILE.INC(($K14:$K18),0.95)</f>
        <v>19.543148394841499</v>
      </c>
      <c r="M26" s="676">
        <f>MAX($K14:$K18)</f>
        <v>19.6308562032068</v>
      </c>
    </row>
    <row r="27" spans="1:19">
      <c r="G27" s="673" t="s">
        <v>20</v>
      </c>
      <c r="H27" s="674"/>
      <c r="I27" s="675"/>
      <c r="J27" s="675"/>
      <c r="K27" s="675"/>
      <c r="L27" s="675"/>
      <c r="M27" s="676"/>
    </row>
    <row r="28" spans="1:19" ht="13.5" thickBot="1">
      <c r="G28" s="677" t="s">
        <v>601</v>
      </c>
      <c r="H28" s="678"/>
      <c r="I28" s="679"/>
      <c r="J28" s="679"/>
      <c r="K28" s="679"/>
      <c r="L28" s="679"/>
      <c r="M28" s="6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S55"/>
  <sheetViews>
    <sheetView workbookViewId="0">
      <selection activeCell="B3" sqref="B3"/>
    </sheetView>
  </sheetViews>
  <sheetFormatPr defaultColWidth="10.625" defaultRowHeight="12.75"/>
  <cols>
    <col min="1" max="1" width="14.5" style="69" customWidth="1"/>
    <col min="2" max="2" width="21.75" style="156" customWidth="1"/>
    <col min="3" max="3" width="14.125" style="156" bestFit="1" customWidth="1"/>
    <col min="4" max="6" width="10.625" style="156"/>
    <col min="7" max="7" width="21.5" style="156" bestFit="1" customWidth="1"/>
    <col min="8" max="8" width="12" style="156" bestFit="1" customWidth="1"/>
    <col min="9" max="10" width="10.625" style="156"/>
    <col min="11" max="11" width="15.625" style="69" customWidth="1"/>
    <col min="12" max="12" width="15.125" style="69" bestFit="1" customWidth="1"/>
    <col min="13" max="13" width="13" style="69" bestFit="1" customWidth="1"/>
    <col min="14" max="16" width="10.625" style="69"/>
    <col min="17" max="17" width="21.625" style="69" bestFit="1" customWidth="1"/>
    <col min="18" max="18" width="15.5" style="69" bestFit="1" customWidth="1"/>
    <col min="19" max="19" width="48" style="69" bestFit="1" customWidth="1"/>
    <col min="20" max="16384" width="10.625" style="69"/>
  </cols>
  <sheetData>
    <row r="1" spans="1:19" s="11" customFormat="1" ht="15.75">
      <c r="A1" s="205" t="s">
        <v>62</v>
      </c>
      <c r="B1" s="591" t="s">
        <v>416</v>
      </c>
      <c r="C1" s="207"/>
      <c r="D1" s="20"/>
      <c r="E1" s="20"/>
      <c r="F1" s="20"/>
      <c r="G1" s="43"/>
      <c r="H1" s="43"/>
      <c r="I1" s="20"/>
      <c r="J1" s="20"/>
      <c r="K1" s="20"/>
      <c r="L1" s="20"/>
      <c r="M1" s="20"/>
      <c r="N1" s="20"/>
      <c r="O1" s="20"/>
      <c r="P1" s="20"/>
      <c r="Q1" s="20"/>
      <c r="R1" s="19"/>
      <c r="S1" s="19"/>
    </row>
    <row r="2" spans="1:19">
      <c r="A2" s="141" t="s">
        <v>636</v>
      </c>
      <c r="B2" s="586" t="s">
        <v>642</v>
      </c>
      <c r="C2" s="143"/>
      <c r="D2" s="144"/>
      <c r="E2" s="144"/>
      <c r="F2" s="144"/>
      <c r="G2" s="154"/>
      <c r="H2" s="154"/>
      <c r="I2" s="144"/>
      <c r="J2" s="144"/>
      <c r="K2" s="144"/>
      <c r="L2" s="144"/>
      <c r="M2" s="144"/>
      <c r="N2" s="144"/>
      <c r="O2" s="144"/>
      <c r="P2" s="144"/>
      <c r="Q2" s="144"/>
      <c r="R2" s="145"/>
      <c r="S2" s="145"/>
    </row>
    <row r="3" spans="1:19">
      <c r="A3" s="141" t="s">
        <v>61</v>
      </c>
      <c r="B3" s="72" t="s">
        <v>418</v>
      </c>
      <c r="C3" s="143"/>
      <c r="D3" s="144"/>
      <c r="E3" s="144"/>
      <c r="F3" s="144"/>
      <c r="G3" s="154"/>
      <c r="H3" s="154"/>
      <c r="I3" s="144"/>
      <c r="J3" s="144"/>
      <c r="K3" s="144"/>
      <c r="L3" s="144"/>
      <c r="M3" s="144"/>
      <c r="N3" s="144"/>
      <c r="O3" s="144"/>
      <c r="P3" s="144"/>
      <c r="Q3" s="144"/>
      <c r="R3" s="145"/>
      <c r="S3" s="145"/>
    </row>
    <row r="4" spans="1:19">
      <c r="A4" s="147" t="s">
        <v>621</v>
      </c>
      <c r="B4" s="308">
        <v>-52.22</v>
      </c>
      <c r="E4" s="144"/>
      <c r="F4" s="144"/>
      <c r="G4" s="154"/>
      <c r="H4" s="154"/>
      <c r="I4" s="144"/>
      <c r="J4" s="144"/>
      <c r="K4" s="144"/>
      <c r="L4" s="144"/>
      <c r="M4" s="144"/>
      <c r="N4" s="144"/>
      <c r="O4" s="144"/>
      <c r="P4" s="144"/>
      <c r="Q4" s="144"/>
      <c r="R4" s="145"/>
      <c r="S4" s="145"/>
    </row>
    <row r="5" spans="1:19">
      <c r="A5" s="147" t="s">
        <v>622</v>
      </c>
      <c r="B5" s="308">
        <v>166.19</v>
      </c>
      <c r="C5" s="142"/>
      <c r="D5" s="144"/>
      <c r="E5" s="144"/>
      <c r="F5" s="144"/>
      <c r="G5" s="154"/>
      <c r="H5" s="154"/>
      <c r="I5" s="144"/>
      <c r="J5" s="144"/>
      <c r="K5" s="144"/>
      <c r="L5" s="144"/>
      <c r="M5" s="144"/>
      <c r="N5" s="144"/>
      <c r="O5" s="144"/>
      <c r="P5" s="144"/>
      <c r="Q5" s="144"/>
      <c r="R5" s="145"/>
      <c r="S5" s="145"/>
    </row>
    <row r="6" spans="1:19">
      <c r="A6" s="149" t="s">
        <v>50</v>
      </c>
      <c r="B6" s="51">
        <v>-54.261738786400002</v>
      </c>
      <c r="C6" s="219"/>
      <c r="D6" s="144"/>
      <c r="E6" s="144"/>
      <c r="F6" s="144"/>
      <c r="I6" s="144"/>
      <c r="J6" s="144"/>
      <c r="K6" s="144"/>
      <c r="L6" s="144"/>
      <c r="M6" s="144"/>
      <c r="N6" s="144"/>
      <c r="O6" s="144"/>
      <c r="P6" s="144"/>
      <c r="Q6" s="144"/>
      <c r="R6" s="145"/>
      <c r="S6" s="145"/>
    </row>
    <row r="7" spans="1:19">
      <c r="A7" s="208" t="s">
        <v>696</v>
      </c>
      <c r="B7" s="510" t="s">
        <v>719</v>
      </c>
      <c r="C7" s="374" t="s">
        <v>418</v>
      </c>
      <c r="D7" s="144"/>
      <c r="E7" s="144"/>
      <c r="F7" s="144"/>
      <c r="I7" s="144"/>
      <c r="J7" s="144"/>
      <c r="K7" s="144"/>
      <c r="L7" s="144"/>
      <c r="M7" s="144"/>
      <c r="N7" s="144"/>
      <c r="O7" s="144"/>
      <c r="P7" s="144"/>
      <c r="Q7" s="144"/>
      <c r="R7" s="145"/>
      <c r="S7" s="145"/>
    </row>
    <row r="8" spans="1:19">
      <c r="A8" s="141" t="s">
        <v>63</v>
      </c>
      <c r="B8" s="72" t="s">
        <v>329</v>
      </c>
      <c r="C8" s="374" t="s">
        <v>418</v>
      </c>
      <c r="D8" s="154"/>
      <c r="E8" s="154"/>
      <c r="F8" s="144"/>
      <c r="G8" s="144"/>
      <c r="H8" s="144"/>
      <c r="I8" s="144"/>
      <c r="J8" s="144"/>
      <c r="K8" s="144"/>
      <c r="L8" s="144"/>
      <c r="M8" s="144"/>
      <c r="N8" s="144"/>
      <c r="O8" s="144"/>
      <c r="P8" s="144"/>
      <c r="Q8" s="144"/>
      <c r="R8" s="145"/>
      <c r="S8" s="145"/>
    </row>
    <row r="9" spans="1:19">
      <c r="A9" s="141" t="s">
        <v>64</v>
      </c>
      <c r="B9" s="146" t="s">
        <v>197</v>
      </c>
      <c r="C9" s="374" t="s">
        <v>418</v>
      </c>
      <c r="D9" s="154"/>
      <c r="E9" s="154"/>
      <c r="F9" s="144"/>
      <c r="G9" s="144"/>
      <c r="H9" s="144"/>
      <c r="I9" s="144"/>
      <c r="J9" s="144"/>
      <c r="K9" s="144"/>
      <c r="L9" s="144"/>
      <c r="M9" s="144"/>
      <c r="N9" s="144"/>
      <c r="O9" s="144"/>
      <c r="P9" s="144"/>
      <c r="Q9" s="144"/>
      <c r="R9" s="145"/>
      <c r="S9" s="145"/>
    </row>
    <row r="10" spans="1:19">
      <c r="A10" s="141" t="s">
        <v>65</v>
      </c>
      <c r="B10" s="152" t="s">
        <v>42</v>
      </c>
      <c r="C10" s="374" t="s">
        <v>418</v>
      </c>
      <c r="D10" s="144"/>
      <c r="E10" s="144"/>
      <c r="F10" s="144"/>
      <c r="G10" s="144"/>
      <c r="I10" s="144"/>
      <c r="J10" s="144"/>
      <c r="K10" s="144"/>
      <c r="L10" s="144"/>
      <c r="M10" s="144"/>
      <c r="N10" s="144"/>
      <c r="O10" s="144"/>
      <c r="P10" s="144"/>
      <c r="Q10" s="144"/>
      <c r="R10" s="145"/>
      <c r="S10" s="145"/>
    </row>
    <row r="11" spans="1:19" ht="13.5" thickBot="1">
      <c r="A11" s="145"/>
      <c r="B11" s="144"/>
      <c r="C11" s="144"/>
      <c r="D11" s="144"/>
      <c r="E11" s="144"/>
      <c r="F11" s="144"/>
      <c r="G11" s="144"/>
      <c r="H11" s="154"/>
      <c r="I11" s="144"/>
      <c r="J11" s="144"/>
      <c r="K11" s="168"/>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13" t="s">
        <v>10</v>
      </c>
      <c r="I12" s="214" t="s">
        <v>725</v>
      </c>
      <c r="J12" s="215" t="s">
        <v>664</v>
      </c>
      <c r="K12" s="216" t="s">
        <v>659</v>
      </c>
      <c r="L12" s="217" t="s">
        <v>70</v>
      </c>
      <c r="M12" s="217" t="s">
        <v>71</v>
      </c>
      <c r="N12" s="217" t="s">
        <v>36</v>
      </c>
      <c r="O12" s="218" t="s">
        <v>34</v>
      </c>
      <c r="P12" s="217" t="s">
        <v>72</v>
      </c>
      <c r="Q12" s="218" t="s">
        <v>73</v>
      </c>
      <c r="R12" s="160" t="s">
        <v>15</v>
      </c>
      <c r="S12" s="931" t="s">
        <v>38</v>
      </c>
    </row>
    <row r="13" spans="1:19">
      <c r="A13" s="236"/>
      <c r="B13" s="237"/>
      <c r="C13" s="237"/>
      <c r="D13" s="237"/>
      <c r="E13" s="237"/>
      <c r="F13" s="237"/>
      <c r="G13" s="237"/>
      <c r="H13" s="499"/>
      <c r="I13" s="239"/>
      <c r="J13" s="170"/>
      <c r="K13" s="539"/>
      <c r="L13" s="289"/>
      <c r="M13" s="241"/>
      <c r="N13" s="241"/>
      <c r="O13" s="242"/>
      <c r="P13" s="240"/>
      <c r="Q13" s="242"/>
      <c r="R13" s="554"/>
      <c r="S13" s="705"/>
    </row>
    <row r="14" spans="1:19">
      <c r="A14" s="167">
        <v>277</v>
      </c>
      <c r="C14" s="463">
        <v>42</v>
      </c>
      <c r="D14" s="463">
        <v>2</v>
      </c>
      <c r="E14" s="463" t="s">
        <v>419</v>
      </c>
      <c r="F14" s="462">
        <v>427.71</v>
      </c>
      <c r="G14" s="462" t="s">
        <v>21</v>
      </c>
      <c r="H14" s="462">
        <v>53.416756756756754</v>
      </c>
      <c r="I14" s="451">
        <v>-2</v>
      </c>
      <c r="J14" s="148">
        <v>-1.5789515805244401</v>
      </c>
      <c r="K14" s="530">
        <f t="shared" ref="K14:K15" si="0">16.1-4.64*($I14-J14)+0.09*($I14-J14)^2</f>
        <v>18.06962002580546</v>
      </c>
      <c r="L14" s="188" t="s">
        <v>669</v>
      </c>
      <c r="M14" s="69" t="s">
        <v>74</v>
      </c>
      <c r="N14" s="171"/>
      <c r="O14" s="172" t="s">
        <v>35</v>
      </c>
      <c r="P14" s="173" t="s">
        <v>91</v>
      </c>
      <c r="Q14" s="172" t="s">
        <v>417</v>
      </c>
      <c r="R14" s="173" t="s">
        <v>418</v>
      </c>
      <c r="S14" s="176" t="s">
        <v>720</v>
      </c>
    </row>
    <row r="15" spans="1:19">
      <c r="A15" s="167">
        <v>277</v>
      </c>
      <c r="C15" s="463">
        <v>42</v>
      </c>
      <c r="D15" s="463">
        <v>3</v>
      </c>
      <c r="E15" s="463" t="s">
        <v>420</v>
      </c>
      <c r="F15" s="462">
        <v>428.8</v>
      </c>
      <c r="G15" s="462" t="s">
        <v>21</v>
      </c>
      <c r="H15" s="462">
        <v>53.475675675675674</v>
      </c>
      <c r="I15" s="451">
        <v>-1.1599999999999999</v>
      </c>
      <c r="J15" s="148">
        <v>-1.5789515805244401</v>
      </c>
      <c r="K15" s="530">
        <f t="shared" si="0"/>
        <v>14.171861504780754</v>
      </c>
      <c r="L15" s="188" t="s">
        <v>669</v>
      </c>
      <c r="M15" s="69" t="s">
        <v>74</v>
      </c>
      <c r="N15" s="171"/>
      <c r="O15" s="172" t="s">
        <v>35</v>
      </c>
      <c r="P15" s="173" t="s">
        <v>91</v>
      </c>
      <c r="Q15" s="172" t="s">
        <v>417</v>
      </c>
      <c r="R15" s="173" t="s">
        <v>418</v>
      </c>
      <c r="S15" s="176" t="s">
        <v>720</v>
      </c>
    </row>
    <row r="16" spans="1:19">
      <c r="A16" s="167">
        <v>277</v>
      </c>
      <c r="C16" s="463">
        <v>43</v>
      </c>
      <c r="D16" s="463">
        <v>2</v>
      </c>
      <c r="E16" s="463" t="s">
        <v>421</v>
      </c>
      <c r="F16" s="462">
        <v>436.78</v>
      </c>
      <c r="G16" s="462"/>
      <c r="H16" s="462">
        <v>53.907027027027027</v>
      </c>
      <c r="I16" s="451">
        <v>-1.84</v>
      </c>
      <c r="J16" s="148">
        <v>-1.5789515805244401</v>
      </c>
      <c r="K16" s="491">
        <f t="shared" ref="K16:K20" si="1">16.1-4.64*($I16-J16)+0.09*($I16-J16)^2</f>
        <v>17.317397831324563</v>
      </c>
      <c r="L16" s="188" t="s">
        <v>669</v>
      </c>
      <c r="M16" s="270" t="s">
        <v>74</v>
      </c>
      <c r="N16" s="171"/>
      <c r="O16" s="172" t="s">
        <v>35</v>
      </c>
      <c r="P16" s="173" t="s">
        <v>91</v>
      </c>
      <c r="Q16" s="172" t="s">
        <v>417</v>
      </c>
      <c r="R16" s="173" t="s">
        <v>418</v>
      </c>
      <c r="S16" s="176" t="s">
        <v>720</v>
      </c>
    </row>
    <row r="17" spans="1:19">
      <c r="A17" s="167">
        <v>277</v>
      </c>
      <c r="C17" s="463">
        <v>43</v>
      </c>
      <c r="D17" s="463">
        <v>3</v>
      </c>
      <c r="E17" s="463" t="s">
        <v>419</v>
      </c>
      <c r="F17" s="462">
        <v>438.71</v>
      </c>
      <c r="G17" s="462"/>
      <c r="H17" s="462">
        <v>54.011351351351351</v>
      </c>
      <c r="I17" s="451">
        <v>-2.44</v>
      </c>
      <c r="J17" s="148">
        <v>-1.5789515805244401</v>
      </c>
      <c r="K17" s="491">
        <f t="shared" si="1"/>
        <v>20.161991060627923</v>
      </c>
      <c r="L17" s="188" t="s">
        <v>669</v>
      </c>
      <c r="M17" s="270" t="s">
        <v>74</v>
      </c>
      <c r="N17" s="171"/>
      <c r="O17" s="172" t="s">
        <v>35</v>
      </c>
      <c r="P17" s="173" t="s">
        <v>91</v>
      </c>
      <c r="Q17" s="172" t="s">
        <v>417</v>
      </c>
      <c r="R17" s="173" t="s">
        <v>418</v>
      </c>
      <c r="S17" s="176" t="s">
        <v>721</v>
      </c>
    </row>
    <row r="18" spans="1:19">
      <c r="A18" s="167">
        <v>277</v>
      </c>
      <c r="C18" s="463">
        <v>45</v>
      </c>
      <c r="D18" s="463">
        <v>3</v>
      </c>
      <c r="E18" s="463" t="s">
        <v>169</v>
      </c>
      <c r="F18" s="462">
        <v>457.02</v>
      </c>
      <c r="G18" s="462" t="s">
        <v>20</v>
      </c>
      <c r="H18" s="462">
        <v>55.898799076212462</v>
      </c>
      <c r="I18" s="451">
        <v>-2.97</v>
      </c>
      <c r="J18" s="148">
        <v>-1.5789515805244401</v>
      </c>
      <c r="K18" s="492">
        <f t="shared" si="1"/>
        <v>22.728616079845889</v>
      </c>
      <c r="L18" s="188" t="s">
        <v>669</v>
      </c>
      <c r="M18" s="69" t="s">
        <v>74</v>
      </c>
      <c r="N18" s="171"/>
      <c r="O18" s="172" t="s">
        <v>35</v>
      </c>
      <c r="P18" s="173" t="s">
        <v>91</v>
      </c>
      <c r="Q18" s="172" t="s">
        <v>417</v>
      </c>
      <c r="R18" s="173" t="s">
        <v>418</v>
      </c>
      <c r="S18" s="176" t="s">
        <v>722</v>
      </c>
    </row>
    <row r="19" spans="1:19">
      <c r="A19" s="167">
        <v>277</v>
      </c>
      <c r="C19" s="463">
        <v>45</v>
      </c>
      <c r="D19" s="463">
        <v>3</v>
      </c>
      <c r="E19" s="463" t="s">
        <v>422</v>
      </c>
      <c r="F19" s="462">
        <v>457.21</v>
      </c>
      <c r="G19" s="462" t="s">
        <v>20</v>
      </c>
      <c r="H19" s="462">
        <v>55.942678983833709</v>
      </c>
      <c r="I19" s="451">
        <v>-2.35</v>
      </c>
      <c r="J19" s="148">
        <v>-1.5789515805244401</v>
      </c>
      <c r="K19" s="492">
        <f t="shared" si="1"/>
        <v>19.731171076232418</v>
      </c>
      <c r="L19" s="188" t="s">
        <v>669</v>
      </c>
      <c r="M19" s="69" t="s">
        <v>74</v>
      </c>
      <c r="N19" s="171"/>
      <c r="O19" s="172" t="s">
        <v>35</v>
      </c>
      <c r="P19" s="173" t="s">
        <v>91</v>
      </c>
      <c r="Q19" s="172" t="s">
        <v>417</v>
      </c>
      <c r="R19" s="173" t="s">
        <v>418</v>
      </c>
      <c r="S19" s="176"/>
    </row>
    <row r="20" spans="1:19">
      <c r="A20" s="167">
        <v>277</v>
      </c>
      <c r="C20" s="640">
        <v>45</v>
      </c>
      <c r="D20" s="640">
        <v>3</v>
      </c>
      <c r="E20" s="640" t="s">
        <v>423</v>
      </c>
      <c r="F20" s="641">
        <v>457.27</v>
      </c>
      <c r="G20" s="462" t="s">
        <v>20</v>
      </c>
      <c r="H20" s="462">
        <v>55.956535796766737</v>
      </c>
      <c r="I20" s="451">
        <v>-2.9</v>
      </c>
      <c r="J20" s="148">
        <v>-1.5789515805244401</v>
      </c>
      <c r="K20" s="492">
        <f t="shared" si="1"/>
        <v>22.386729869760497</v>
      </c>
      <c r="L20" s="188" t="s">
        <v>669</v>
      </c>
      <c r="M20" s="69" t="s">
        <v>74</v>
      </c>
      <c r="N20" s="171"/>
      <c r="O20" s="172" t="s">
        <v>35</v>
      </c>
      <c r="P20" s="173" t="s">
        <v>91</v>
      </c>
      <c r="Q20" s="172" t="s">
        <v>417</v>
      </c>
      <c r="R20" s="173" t="s">
        <v>418</v>
      </c>
      <c r="S20" s="176"/>
    </row>
    <row r="21" spans="1:19">
      <c r="A21" s="167">
        <v>277</v>
      </c>
      <c r="C21" s="463">
        <v>42</v>
      </c>
      <c r="D21" s="463">
        <v>3</v>
      </c>
      <c r="E21" s="463" t="s">
        <v>420</v>
      </c>
      <c r="F21" s="462">
        <v>428.8</v>
      </c>
      <c r="G21" s="462" t="s">
        <v>21</v>
      </c>
      <c r="H21" s="462">
        <v>53.475675675675674</v>
      </c>
      <c r="I21" s="451">
        <v>-1.9554341997572882</v>
      </c>
      <c r="J21" s="148">
        <v>-1.5789515805244401</v>
      </c>
      <c r="K21" s="530">
        <f t="shared" ref="K21:K29" si="2">16.1-4.64*($I21-J21)+0.09*($I21-J21)^2</f>
        <v>17.859635877873018</v>
      </c>
      <c r="L21" s="188" t="s">
        <v>666</v>
      </c>
      <c r="M21" s="69" t="s">
        <v>74</v>
      </c>
      <c r="N21" s="171"/>
      <c r="O21" s="172" t="s">
        <v>35</v>
      </c>
      <c r="P21" s="173" t="s">
        <v>91</v>
      </c>
      <c r="Q21" s="172" t="s">
        <v>417</v>
      </c>
      <c r="R21" s="173" t="s">
        <v>418</v>
      </c>
      <c r="S21" s="176"/>
    </row>
    <row r="22" spans="1:19">
      <c r="A22" s="167">
        <v>277</v>
      </c>
      <c r="C22" s="463">
        <v>43</v>
      </c>
      <c r="D22" s="463">
        <v>1</v>
      </c>
      <c r="E22" s="463" t="s">
        <v>424</v>
      </c>
      <c r="F22" s="462">
        <v>434.57</v>
      </c>
      <c r="G22" s="462"/>
      <c r="H22" s="462">
        <v>53.787567567567564</v>
      </c>
      <c r="I22" s="451">
        <v>-2.2000000000000002</v>
      </c>
      <c r="J22" s="148">
        <v>-1.5789515805244401</v>
      </c>
      <c r="K22" s="491">
        <f t="shared" si="2"/>
        <v>19.01637776890658</v>
      </c>
      <c r="L22" s="188" t="s">
        <v>666</v>
      </c>
      <c r="M22" s="270" t="s">
        <v>74</v>
      </c>
      <c r="N22" s="171"/>
      <c r="O22" s="172" t="s">
        <v>35</v>
      </c>
      <c r="P22" s="173" t="s">
        <v>91</v>
      </c>
      <c r="Q22" s="172" t="s">
        <v>417</v>
      </c>
      <c r="R22" s="173" t="s">
        <v>418</v>
      </c>
      <c r="S22" s="176" t="s">
        <v>720</v>
      </c>
    </row>
    <row r="23" spans="1:19">
      <c r="A23" s="167">
        <v>277</v>
      </c>
      <c r="C23" s="463">
        <v>43</v>
      </c>
      <c r="D23" s="463">
        <v>3</v>
      </c>
      <c r="E23" s="463" t="s">
        <v>419</v>
      </c>
      <c r="F23" s="462">
        <v>438.71</v>
      </c>
      <c r="G23" s="462"/>
      <c r="H23" s="462">
        <v>54.011351351351351</v>
      </c>
      <c r="I23" s="451">
        <v>-1.3106256879180425</v>
      </c>
      <c r="J23" s="148">
        <v>-1.5789515805244401</v>
      </c>
      <c r="K23" s="491">
        <f t="shared" si="2"/>
        <v>14.861447748924189</v>
      </c>
      <c r="L23" s="188" t="s">
        <v>666</v>
      </c>
      <c r="M23" s="270" t="s">
        <v>74</v>
      </c>
      <c r="N23" s="171"/>
      <c r="O23" s="172" t="s">
        <v>35</v>
      </c>
      <c r="P23" s="173" t="s">
        <v>91</v>
      </c>
      <c r="Q23" s="172" t="s">
        <v>417</v>
      </c>
      <c r="R23" s="173" t="s">
        <v>418</v>
      </c>
      <c r="S23" s="176" t="s">
        <v>721</v>
      </c>
    </row>
    <row r="24" spans="1:19">
      <c r="A24" s="167">
        <v>277</v>
      </c>
      <c r="C24" s="463">
        <v>44</v>
      </c>
      <c r="D24" s="463">
        <v>2</v>
      </c>
      <c r="E24" s="463" t="s">
        <v>425</v>
      </c>
      <c r="F24" s="462">
        <v>446.92</v>
      </c>
      <c r="G24" s="462"/>
      <c r="H24" s="462">
        <v>54.455135135135137</v>
      </c>
      <c r="I24" s="451">
        <v>-1.7590156069201026</v>
      </c>
      <c r="J24" s="148">
        <v>-1.5789515805244401</v>
      </c>
      <c r="K24" s="491">
        <f t="shared" si="2"/>
        <v>16.938415157300039</v>
      </c>
      <c r="L24" s="188" t="s">
        <v>666</v>
      </c>
      <c r="M24" s="270" t="s">
        <v>74</v>
      </c>
      <c r="N24" s="171"/>
      <c r="O24" s="172" t="s">
        <v>35</v>
      </c>
      <c r="P24" s="173" t="s">
        <v>91</v>
      </c>
      <c r="Q24" s="172" t="s">
        <v>417</v>
      </c>
      <c r="R24" s="173" t="s">
        <v>418</v>
      </c>
      <c r="S24" s="176" t="s">
        <v>721</v>
      </c>
    </row>
    <row r="25" spans="1:19">
      <c r="A25" s="167">
        <v>277</v>
      </c>
      <c r="C25" s="463">
        <v>44</v>
      </c>
      <c r="D25" s="463">
        <v>3</v>
      </c>
      <c r="E25" s="463" t="s">
        <v>426</v>
      </c>
      <c r="F25" s="462">
        <v>448.3</v>
      </c>
      <c r="G25" s="462"/>
      <c r="H25" s="462">
        <v>54.529729729729731</v>
      </c>
      <c r="I25" s="451">
        <v>-1.8314325628651256</v>
      </c>
      <c r="J25" s="148">
        <v>-1.5789515805244401</v>
      </c>
      <c r="K25" s="491">
        <f t="shared" si="2"/>
        <v>17.277248956240719</v>
      </c>
      <c r="L25" s="188" t="s">
        <v>666</v>
      </c>
      <c r="M25" s="270" t="s">
        <v>74</v>
      </c>
      <c r="N25" s="171"/>
      <c r="O25" s="172" t="s">
        <v>35</v>
      </c>
      <c r="P25" s="173" t="s">
        <v>91</v>
      </c>
      <c r="Q25" s="172" t="s">
        <v>417</v>
      </c>
      <c r="R25" s="173" t="s">
        <v>418</v>
      </c>
      <c r="S25" s="176"/>
    </row>
    <row r="26" spans="1:19">
      <c r="A26" s="167">
        <v>277</v>
      </c>
      <c r="C26" s="463">
        <v>45</v>
      </c>
      <c r="D26" s="463">
        <v>1</v>
      </c>
      <c r="E26" s="463" t="s">
        <v>223</v>
      </c>
      <c r="F26" s="462">
        <v>454.51</v>
      </c>
      <c r="G26" s="462"/>
      <c r="H26" s="462">
        <v>54.865405405405404</v>
      </c>
      <c r="I26" s="451">
        <v>-0.95647701295402587</v>
      </c>
      <c r="J26" s="148">
        <v>-1.5789515805244401</v>
      </c>
      <c r="K26" s="491">
        <f t="shared" si="2"/>
        <v>13.246590719327758</v>
      </c>
      <c r="L26" s="188" t="s">
        <v>666</v>
      </c>
      <c r="M26" s="270" t="s">
        <v>74</v>
      </c>
      <c r="N26" s="171"/>
      <c r="O26" s="172" t="s">
        <v>35</v>
      </c>
      <c r="P26" s="173" t="s">
        <v>91</v>
      </c>
      <c r="Q26" s="172" t="s">
        <v>417</v>
      </c>
      <c r="R26" s="173" t="s">
        <v>418</v>
      </c>
      <c r="S26" s="176"/>
    </row>
    <row r="27" spans="1:19">
      <c r="A27" s="167">
        <v>277</v>
      </c>
      <c r="C27" s="463">
        <v>45</v>
      </c>
      <c r="D27" s="463">
        <v>2</v>
      </c>
      <c r="E27" s="463" t="s">
        <v>427</v>
      </c>
      <c r="F27" s="462">
        <v>455</v>
      </c>
      <c r="G27" s="462"/>
      <c r="H27" s="462">
        <v>54.891891891891895</v>
      </c>
      <c r="I27" s="451">
        <v>-1.04</v>
      </c>
      <c r="J27" s="148">
        <v>-1.5789515805244401</v>
      </c>
      <c r="K27" s="491">
        <f t="shared" si="2"/>
        <v>13.625406858920082</v>
      </c>
      <c r="L27" s="188" t="s">
        <v>666</v>
      </c>
      <c r="M27" s="270" t="s">
        <v>74</v>
      </c>
      <c r="N27" s="171"/>
      <c r="O27" s="172" t="s">
        <v>35</v>
      </c>
      <c r="P27" s="173" t="s">
        <v>91</v>
      </c>
      <c r="Q27" s="172" t="s">
        <v>417</v>
      </c>
      <c r="R27" s="173" t="s">
        <v>418</v>
      </c>
      <c r="S27" s="176"/>
    </row>
    <row r="28" spans="1:19">
      <c r="A28" s="167">
        <v>277</v>
      </c>
      <c r="C28" s="463">
        <v>45</v>
      </c>
      <c r="D28" s="463">
        <v>2</v>
      </c>
      <c r="E28" s="463" t="s">
        <v>420</v>
      </c>
      <c r="F28" s="462">
        <v>455.8</v>
      </c>
      <c r="G28" s="462"/>
      <c r="H28" s="462">
        <v>54.935135135135134</v>
      </c>
      <c r="I28" s="451">
        <v>-1.2583938018338261</v>
      </c>
      <c r="J28" s="148">
        <v>-1.5789515805244401</v>
      </c>
      <c r="K28" s="491">
        <f t="shared" si="2"/>
        <v>14.621860062928668</v>
      </c>
      <c r="L28" s="188" t="s">
        <v>666</v>
      </c>
      <c r="M28" s="270" t="s">
        <v>74</v>
      </c>
      <c r="N28" s="171"/>
      <c r="O28" s="172" t="s">
        <v>35</v>
      </c>
      <c r="P28" s="173" t="s">
        <v>91</v>
      </c>
      <c r="Q28" s="172" t="s">
        <v>417</v>
      </c>
      <c r="R28" s="173" t="s">
        <v>418</v>
      </c>
      <c r="S28" s="176"/>
    </row>
    <row r="29" spans="1:19">
      <c r="A29" s="167">
        <v>277</v>
      </c>
      <c r="C29" s="463">
        <v>45</v>
      </c>
      <c r="D29" s="463">
        <v>3</v>
      </c>
      <c r="E29" s="463" t="s">
        <v>428</v>
      </c>
      <c r="F29" s="462">
        <v>456.6</v>
      </c>
      <c r="G29" s="462"/>
      <c r="H29" s="462">
        <v>54.97837837837838</v>
      </c>
      <c r="I29" s="451">
        <v>-1.6657663759771963</v>
      </c>
      <c r="J29" s="148">
        <v>-1.5789515805244401</v>
      </c>
      <c r="K29" s="491">
        <f t="shared" si="2"/>
        <v>16.503498963684645</v>
      </c>
      <c r="L29" s="188" t="s">
        <v>666</v>
      </c>
      <c r="M29" s="270" t="s">
        <v>74</v>
      </c>
      <c r="N29" s="171"/>
      <c r="O29" s="172" t="s">
        <v>35</v>
      </c>
      <c r="P29" s="173" t="s">
        <v>91</v>
      </c>
      <c r="Q29" s="172" t="s">
        <v>417</v>
      </c>
      <c r="R29" s="173" t="s">
        <v>418</v>
      </c>
      <c r="S29" s="176"/>
    </row>
    <row r="30" spans="1:19">
      <c r="A30" s="167">
        <v>277</v>
      </c>
      <c r="C30" s="463">
        <v>45</v>
      </c>
      <c r="D30" s="463">
        <v>3</v>
      </c>
      <c r="E30" s="463" t="s">
        <v>169</v>
      </c>
      <c r="F30" s="462">
        <v>457.02</v>
      </c>
      <c r="G30" s="462" t="s">
        <v>20</v>
      </c>
      <c r="H30" s="462">
        <v>55.898799076212462</v>
      </c>
      <c r="I30" s="451">
        <v>-2.1171323342646686</v>
      </c>
      <c r="J30" s="148">
        <v>-1.5789515805244401</v>
      </c>
      <c r="K30" s="492">
        <f t="shared" ref="K30:K36" si="3">16.1-4.64*($I30-J30)+0.09*($I30-J30)^2</f>
        <v>18.623226164487338</v>
      </c>
      <c r="L30" s="188" t="s">
        <v>666</v>
      </c>
      <c r="M30" s="69" t="s">
        <v>74</v>
      </c>
      <c r="N30" s="171"/>
      <c r="O30" s="172" t="s">
        <v>35</v>
      </c>
      <c r="P30" s="173" t="s">
        <v>91</v>
      </c>
      <c r="Q30" s="172" t="s">
        <v>417</v>
      </c>
      <c r="R30" s="173" t="s">
        <v>418</v>
      </c>
      <c r="S30" s="176"/>
    </row>
    <row r="31" spans="1:19">
      <c r="A31" s="167">
        <v>277</v>
      </c>
      <c r="C31" s="463">
        <v>45</v>
      </c>
      <c r="D31" s="463">
        <v>3</v>
      </c>
      <c r="E31" s="463" t="s">
        <v>422</v>
      </c>
      <c r="F31" s="462">
        <v>457.21</v>
      </c>
      <c r="G31" s="462" t="s">
        <v>20</v>
      </c>
      <c r="H31" s="462">
        <v>55.942678983833709</v>
      </c>
      <c r="I31" s="451">
        <v>-2.0883639545056871</v>
      </c>
      <c r="J31" s="148">
        <v>-1.5789515805244401</v>
      </c>
      <c r="K31" s="492">
        <f t="shared" si="3"/>
        <v>18.487028502281856</v>
      </c>
      <c r="L31" s="188" t="s">
        <v>666</v>
      </c>
      <c r="M31" s="69" t="s">
        <v>74</v>
      </c>
      <c r="N31" s="171"/>
      <c r="O31" s="172" t="s">
        <v>35</v>
      </c>
      <c r="P31" s="173" t="s">
        <v>91</v>
      </c>
      <c r="Q31" s="172" t="s">
        <v>417</v>
      </c>
      <c r="R31" s="173" t="s">
        <v>418</v>
      </c>
      <c r="S31" s="176"/>
    </row>
    <row r="32" spans="1:19">
      <c r="A32" s="167">
        <v>277</v>
      </c>
      <c r="C32" s="640">
        <v>45</v>
      </c>
      <c r="D32" s="640">
        <v>3</v>
      </c>
      <c r="E32" s="640" t="s">
        <v>423</v>
      </c>
      <c r="F32" s="641">
        <v>457.27</v>
      </c>
      <c r="G32" s="756" t="s">
        <v>20</v>
      </c>
      <c r="H32" s="462">
        <v>55.956535796766737</v>
      </c>
      <c r="I32" s="642">
        <v>-2.0139629723703889</v>
      </c>
      <c r="J32" s="148">
        <v>-1.5789515805244401</v>
      </c>
      <c r="K32" s="492">
        <f t="shared" si="3"/>
        <v>18.135484000158421</v>
      </c>
      <c r="L32" s="188" t="s">
        <v>666</v>
      </c>
      <c r="M32" s="69" t="s">
        <v>74</v>
      </c>
      <c r="N32" s="171"/>
      <c r="O32" s="172" t="s">
        <v>35</v>
      </c>
      <c r="P32" s="173" t="s">
        <v>91</v>
      </c>
      <c r="Q32" s="172" t="s">
        <v>417</v>
      </c>
      <c r="R32" s="173" t="s">
        <v>418</v>
      </c>
      <c r="S32" s="176"/>
    </row>
    <row r="33" spans="1:19">
      <c r="A33" s="167">
        <v>277</v>
      </c>
      <c r="C33" s="640">
        <v>45</v>
      </c>
      <c r="D33" s="640">
        <v>3</v>
      </c>
      <c r="E33" s="640" t="s">
        <v>429</v>
      </c>
      <c r="F33" s="641">
        <v>457.33</v>
      </c>
      <c r="G33" s="756" t="s">
        <v>196</v>
      </c>
      <c r="H33" s="462">
        <v>55.970392609699758</v>
      </c>
      <c r="I33" s="642">
        <v>-0.88802810938955201</v>
      </c>
      <c r="J33" s="148">
        <v>-1.5789515805244401</v>
      </c>
      <c r="K33" s="494">
        <f t="shared" si="3"/>
        <v>12.937078865800979</v>
      </c>
      <c r="L33" s="188" t="s">
        <v>666</v>
      </c>
      <c r="M33" s="69" t="s">
        <v>74</v>
      </c>
      <c r="N33" s="171"/>
      <c r="O33" s="172" t="s">
        <v>35</v>
      </c>
      <c r="P33" s="173" t="s">
        <v>91</v>
      </c>
      <c r="Q33" s="172" t="s">
        <v>417</v>
      </c>
      <c r="R33" s="173" t="s">
        <v>418</v>
      </c>
      <c r="S33" s="176"/>
    </row>
    <row r="34" spans="1:19">
      <c r="A34" s="167">
        <v>277</v>
      </c>
      <c r="C34" s="640">
        <v>45</v>
      </c>
      <c r="D34" s="640">
        <v>3</v>
      </c>
      <c r="E34" s="640" t="s">
        <v>178</v>
      </c>
      <c r="F34" s="641">
        <v>457.44</v>
      </c>
      <c r="G34" s="462" t="s">
        <v>196</v>
      </c>
      <c r="H34" s="462">
        <v>55.995796766743645</v>
      </c>
      <c r="I34" s="642">
        <v>-1.2610250331611774</v>
      </c>
      <c r="J34" s="148">
        <v>-1.5789515805244401</v>
      </c>
      <c r="K34" s="494">
        <f t="shared" si="3"/>
        <v>14.633917776291112</v>
      </c>
      <c r="L34" s="188" t="s">
        <v>666</v>
      </c>
      <c r="M34" s="69" t="s">
        <v>74</v>
      </c>
      <c r="N34" s="171"/>
      <c r="O34" s="172" t="s">
        <v>35</v>
      </c>
      <c r="P34" s="173" t="s">
        <v>91</v>
      </c>
      <c r="Q34" s="172" t="s">
        <v>417</v>
      </c>
      <c r="R34" s="173" t="s">
        <v>418</v>
      </c>
      <c r="S34" s="176"/>
    </row>
    <row r="35" spans="1:19">
      <c r="A35" s="167">
        <v>277</v>
      </c>
      <c r="C35" s="640">
        <v>45</v>
      </c>
      <c r="D35" s="640">
        <v>3</v>
      </c>
      <c r="E35" s="640" t="s">
        <v>430</v>
      </c>
      <c r="F35" s="641">
        <v>457.5</v>
      </c>
      <c r="G35" s="462" t="s">
        <v>196</v>
      </c>
      <c r="H35" s="462">
        <v>56.009653579676666</v>
      </c>
      <c r="I35" s="642">
        <v>-1.2669771117320012</v>
      </c>
      <c r="J35" s="148">
        <v>-1.5789515805244401</v>
      </c>
      <c r="K35" s="494">
        <f t="shared" si="3"/>
        <v>14.661197991029134</v>
      </c>
      <c r="L35" s="188" t="s">
        <v>666</v>
      </c>
      <c r="M35" s="69" t="s">
        <v>74</v>
      </c>
      <c r="N35" s="171"/>
      <c r="O35" s="172" t="s">
        <v>35</v>
      </c>
      <c r="P35" s="173" t="s">
        <v>91</v>
      </c>
      <c r="Q35" s="172" t="s">
        <v>417</v>
      </c>
      <c r="R35" s="173" t="s">
        <v>418</v>
      </c>
      <c r="S35" s="176" t="s">
        <v>723</v>
      </c>
    </row>
    <row r="36" spans="1:19">
      <c r="A36" s="177">
        <v>277</v>
      </c>
      <c r="B36" s="226"/>
      <c r="C36" s="397">
        <v>45</v>
      </c>
      <c r="D36" s="397">
        <v>3</v>
      </c>
      <c r="E36" s="397" t="s">
        <v>108</v>
      </c>
      <c r="F36" s="939">
        <v>457.6</v>
      </c>
      <c r="G36" s="939" t="s">
        <v>196</v>
      </c>
      <c r="H36" s="939">
        <v>56.032748267898384</v>
      </c>
      <c r="I36" s="973">
        <v>-1.7996881438207319</v>
      </c>
      <c r="J36" s="434">
        <v>-1.5789515805244401</v>
      </c>
      <c r="K36" s="493">
        <f t="shared" si="3"/>
        <v>17.128602870428622</v>
      </c>
      <c r="L36" s="189" t="s">
        <v>666</v>
      </c>
      <c r="M36" s="183" t="s">
        <v>74</v>
      </c>
      <c r="N36" s="184"/>
      <c r="O36" s="185" t="s">
        <v>35</v>
      </c>
      <c r="P36" s="186" t="s">
        <v>91</v>
      </c>
      <c r="Q36" s="185" t="s">
        <v>417</v>
      </c>
      <c r="R36" s="186" t="s">
        <v>418</v>
      </c>
      <c r="S36" s="905" t="s">
        <v>723</v>
      </c>
    </row>
    <row r="37" spans="1:19">
      <c r="A37" s="167">
        <v>277</v>
      </c>
      <c r="C37" s="391">
        <v>45</v>
      </c>
      <c r="D37" s="391">
        <v>3</v>
      </c>
      <c r="E37" s="391" t="s">
        <v>169</v>
      </c>
      <c r="F37" s="450">
        <v>457.02</v>
      </c>
      <c r="G37" s="462" t="s">
        <v>20</v>
      </c>
      <c r="H37" s="382">
        <v>55.9</v>
      </c>
      <c r="I37" s="449">
        <v>-2.0699999999999998</v>
      </c>
      <c r="J37" s="148">
        <v>-1.5789515805244401</v>
      </c>
      <c r="K37" s="491">
        <f t="shared" ref="K37:K48" si="4">16.1-4.64*($I37-J37)+0.09*($I37-J37)^2</f>
        <v>18.400166235890847</v>
      </c>
      <c r="L37" s="188" t="s">
        <v>688</v>
      </c>
      <c r="M37" s="270" t="s">
        <v>74</v>
      </c>
      <c r="N37" s="171"/>
      <c r="O37" s="172" t="s">
        <v>44</v>
      </c>
      <c r="P37" s="173" t="s">
        <v>91</v>
      </c>
      <c r="Q37" s="172" t="s">
        <v>417</v>
      </c>
      <c r="R37" s="173" t="s">
        <v>418</v>
      </c>
      <c r="S37" s="176" t="s">
        <v>723</v>
      </c>
    </row>
    <row r="38" spans="1:19">
      <c r="A38" s="167">
        <v>277</v>
      </c>
      <c r="C38" s="391">
        <v>45</v>
      </c>
      <c r="D38" s="391">
        <v>3</v>
      </c>
      <c r="E38" s="391" t="s">
        <v>422</v>
      </c>
      <c r="F38" s="450">
        <v>457.21</v>
      </c>
      <c r="G38" s="462" t="s">
        <v>20</v>
      </c>
      <c r="H38" s="382">
        <v>55.94</v>
      </c>
      <c r="I38" s="449">
        <v>-2.0299999999999998</v>
      </c>
      <c r="J38" s="148">
        <v>-1.5789515805244401</v>
      </c>
      <c r="K38" s="491">
        <f t="shared" si="4"/>
        <v>18.211174687270624</v>
      </c>
      <c r="L38" s="188" t="s">
        <v>688</v>
      </c>
      <c r="M38" s="270" t="s">
        <v>74</v>
      </c>
      <c r="N38" s="171"/>
      <c r="O38" s="172" t="s">
        <v>44</v>
      </c>
      <c r="P38" s="173" t="s">
        <v>91</v>
      </c>
      <c r="Q38" s="172" t="s">
        <v>417</v>
      </c>
      <c r="R38" s="173" t="s">
        <v>418</v>
      </c>
      <c r="S38" s="176"/>
    </row>
    <row r="39" spans="1:19">
      <c r="A39" s="167">
        <v>277</v>
      </c>
      <c r="C39" s="391">
        <v>45</v>
      </c>
      <c r="D39" s="391">
        <v>3</v>
      </c>
      <c r="E39" s="391" t="s">
        <v>423</v>
      </c>
      <c r="F39" s="450">
        <v>457.27</v>
      </c>
      <c r="G39" s="756" t="s">
        <v>20</v>
      </c>
      <c r="H39" s="382">
        <v>55.96</v>
      </c>
      <c r="I39" s="449">
        <v>-2.16</v>
      </c>
      <c r="J39" s="148">
        <v>-1.5789515805244401</v>
      </c>
      <c r="K39" s="491">
        <f t="shared" si="4"/>
        <v>18.826450220286354</v>
      </c>
      <c r="L39" s="188" t="s">
        <v>688</v>
      </c>
      <c r="M39" s="270" t="s">
        <v>74</v>
      </c>
      <c r="N39" s="171"/>
      <c r="O39" s="172" t="s">
        <v>44</v>
      </c>
      <c r="P39" s="173" t="s">
        <v>91</v>
      </c>
      <c r="Q39" s="172" t="s">
        <v>417</v>
      </c>
      <c r="R39" s="173" t="s">
        <v>418</v>
      </c>
      <c r="S39" s="176"/>
    </row>
    <row r="40" spans="1:19">
      <c r="A40" s="167">
        <v>277</v>
      </c>
      <c r="C40" s="391">
        <v>45</v>
      </c>
      <c r="D40" s="391">
        <v>3</v>
      </c>
      <c r="E40" s="391" t="s">
        <v>178</v>
      </c>
      <c r="F40" s="450">
        <v>457.44</v>
      </c>
      <c r="G40" s="462" t="s">
        <v>196</v>
      </c>
      <c r="H40" s="382">
        <v>56</v>
      </c>
      <c r="I40" s="449">
        <v>-0.75</v>
      </c>
      <c r="J40" s="148">
        <v>-1.5789515805244401</v>
      </c>
      <c r="K40" s="491">
        <f t="shared" si="4"/>
        <v>12.315509131423457</v>
      </c>
      <c r="L40" s="188" t="s">
        <v>688</v>
      </c>
      <c r="M40" s="270" t="s">
        <v>74</v>
      </c>
      <c r="N40" s="171"/>
      <c r="O40" s="172" t="s">
        <v>44</v>
      </c>
      <c r="P40" s="173" t="s">
        <v>91</v>
      </c>
      <c r="Q40" s="172" t="s">
        <v>417</v>
      </c>
      <c r="R40" s="173" t="s">
        <v>418</v>
      </c>
      <c r="S40" s="176"/>
    </row>
    <row r="41" spans="1:19">
      <c r="A41" s="167">
        <v>277</v>
      </c>
      <c r="C41" s="391">
        <v>45</v>
      </c>
      <c r="D41" s="391">
        <v>3</v>
      </c>
      <c r="E41" s="391" t="s">
        <v>430</v>
      </c>
      <c r="F41" s="450">
        <v>457.5</v>
      </c>
      <c r="G41" s="462" t="s">
        <v>196</v>
      </c>
      <c r="H41" s="382">
        <v>56.01</v>
      </c>
      <c r="I41" s="449">
        <v>-1.58</v>
      </c>
      <c r="J41" s="148">
        <v>-1.5789515805244401</v>
      </c>
      <c r="K41" s="491">
        <f t="shared" si="4"/>
        <v>16.104864765293105</v>
      </c>
      <c r="L41" s="188" t="s">
        <v>688</v>
      </c>
      <c r="M41" s="270" t="s">
        <v>74</v>
      </c>
      <c r="N41" s="171"/>
      <c r="O41" s="172" t="s">
        <v>44</v>
      </c>
      <c r="P41" s="173" t="s">
        <v>91</v>
      </c>
      <c r="Q41" s="172" t="s">
        <v>417</v>
      </c>
      <c r="R41" s="173" t="s">
        <v>418</v>
      </c>
      <c r="S41" s="176" t="s">
        <v>723</v>
      </c>
    </row>
    <row r="42" spans="1:19">
      <c r="A42" s="167">
        <v>277</v>
      </c>
      <c r="C42" s="391">
        <v>45</v>
      </c>
      <c r="D42" s="391">
        <v>3</v>
      </c>
      <c r="E42" s="391" t="s">
        <v>108</v>
      </c>
      <c r="F42" s="450">
        <v>457.6</v>
      </c>
      <c r="G42" s="462" t="s">
        <v>196</v>
      </c>
      <c r="H42" s="382">
        <v>56.03</v>
      </c>
      <c r="I42" s="449">
        <v>-1.07</v>
      </c>
      <c r="J42" s="148">
        <v>-1.5789515805244401</v>
      </c>
      <c r="K42" s="491">
        <f t="shared" si="4"/>
        <v>13.761777520385248</v>
      </c>
      <c r="L42" s="188" t="s">
        <v>688</v>
      </c>
      <c r="M42" s="270" t="s">
        <v>74</v>
      </c>
      <c r="N42" s="171"/>
      <c r="O42" s="172" t="s">
        <v>44</v>
      </c>
      <c r="P42" s="173" t="s">
        <v>91</v>
      </c>
      <c r="Q42" s="172" t="s">
        <v>417</v>
      </c>
      <c r="R42" s="173" t="s">
        <v>418</v>
      </c>
      <c r="S42" s="176" t="s">
        <v>723</v>
      </c>
    </row>
    <row r="43" spans="1:19">
      <c r="A43" s="167">
        <v>277</v>
      </c>
      <c r="C43" s="391">
        <v>45</v>
      </c>
      <c r="D43" s="391">
        <v>3</v>
      </c>
      <c r="E43" s="391" t="s">
        <v>116</v>
      </c>
      <c r="F43" s="450">
        <v>457.8</v>
      </c>
      <c r="G43" s="462" t="s">
        <v>196</v>
      </c>
      <c r="H43" s="382">
        <v>56.08</v>
      </c>
      <c r="I43" s="449">
        <v>-0.88</v>
      </c>
      <c r="J43" s="148">
        <v>-1.5789515805244401</v>
      </c>
      <c r="K43" s="491">
        <f t="shared" si="4"/>
        <v>12.900832664439186</v>
      </c>
      <c r="L43" s="188" t="s">
        <v>688</v>
      </c>
      <c r="M43" s="270" t="s">
        <v>74</v>
      </c>
      <c r="N43" s="171"/>
      <c r="O43" s="172" t="s">
        <v>44</v>
      </c>
      <c r="P43" s="173" t="s">
        <v>91</v>
      </c>
      <c r="Q43" s="172" t="s">
        <v>417</v>
      </c>
      <c r="R43" s="173" t="s">
        <v>418</v>
      </c>
      <c r="S43" s="176" t="s">
        <v>723</v>
      </c>
    </row>
    <row r="44" spans="1:19">
      <c r="A44" s="167">
        <v>277</v>
      </c>
      <c r="C44" s="391">
        <v>45</v>
      </c>
      <c r="D44" s="391">
        <v>5</v>
      </c>
      <c r="E44" s="391" t="s">
        <v>353</v>
      </c>
      <c r="F44" s="450">
        <v>459.8</v>
      </c>
      <c r="G44" s="462"/>
      <c r="H44" s="382">
        <v>56.54</v>
      </c>
      <c r="I44" s="449">
        <v>-1.36</v>
      </c>
      <c r="J44" s="148">
        <v>-1.5789515805244401</v>
      </c>
      <c r="K44" s="491">
        <f t="shared" si="4"/>
        <v>15.088379247881875</v>
      </c>
      <c r="L44" s="188" t="s">
        <v>688</v>
      </c>
      <c r="M44" s="270" t="s">
        <v>74</v>
      </c>
      <c r="N44" s="171"/>
      <c r="O44" s="172" t="s">
        <v>44</v>
      </c>
      <c r="P44" s="173" t="s">
        <v>91</v>
      </c>
      <c r="Q44" s="172" t="s">
        <v>417</v>
      </c>
      <c r="R44" s="173" t="s">
        <v>418</v>
      </c>
      <c r="S44" s="176" t="s">
        <v>723</v>
      </c>
    </row>
    <row r="45" spans="1:19">
      <c r="A45" s="167">
        <v>277</v>
      </c>
      <c r="C45" s="391">
        <v>45</v>
      </c>
      <c r="D45" s="391">
        <v>5</v>
      </c>
      <c r="E45" s="391" t="s">
        <v>431</v>
      </c>
      <c r="F45" s="450">
        <v>460.61</v>
      </c>
      <c r="G45" s="462"/>
      <c r="H45" s="382">
        <v>56.73</v>
      </c>
      <c r="I45" s="449">
        <v>-1.38</v>
      </c>
      <c r="J45" s="148">
        <v>-1.5789515805244401</v>
      </c>
      <c r="K45" s="491">
        <f t="shared" si="4"/>
        <v>15.180427022191985</v>
      </c>
      <c r="L45" s="188" t="s">
        <v>688</v>
      </c>
      <c r="M45" s="270" t="s">
        <v>74</v>
      </c>
      <c r="N45" s="171"/>
      <c r="O45" s="172" t="s">
        <v>44</v>
      </c>
      <c r="P45" s="173" t="s">
        <v>91</v>
      </c>
      <c r="Q45" s="172" t="s">
        <v>417</v>
      </c>
      <c r="R45" s="173" t="s">
        <v>418</v>
      </c>
      <c r="S45" s="176" t="s">
        <v>724</v>
      </c>
    </row>
    <row r="46" spans="1:19">
      <c r="A46" s="167">
        <v>277</v>
      </c>
      <c r="C46" s="391">
        <v>46</v>
      </c>
      <c r="D46" s="391">
        <v>1</v>
      </c>
      <c r="E46" s="391" t="s">
        <v>120</v>
      </c>
      <c r="F46" s="450">
        <v>463.49</v>
      </c>
      <c r="G46" s="462"/>
      <c r="H46" s="382">
        <v>59</v>
      </c>
      <c r="I46" s="449">
        <v>-2.12</v>
      </c>
      <c r="J46" s="148">
        <v>-1.5789515805244401</v>
      </c>
      <c r="K46" s="491">
        <f t="shared" si="4"/>
        <v>18.636810671666129</v>
      </c>
      <c r="L46" s="188" t="s">
        <v>688</v>
      </c>
      <c r="M46" s="270" t="s">
        <v>74</v>
      </c>
      <c r="N46" s="171"/>
      <c r="O46" s="172" t="s">
        <v>44</v>
      </c>
      <c r="P46" s="173" t="s">
        <v>91</v>
      </c>
      <c r="Q46" s="172" t="s">
        <v>417</v>
      </c>
      <c r="R46" s="173" t="s">
        <v>418</v>
      </c>
      <c r="S46" s="176"/>
    </row>
    <row r="47" spans="1:19">
      <c r="A47" s="167">
        <v>277</v>
      </c>
      <c r="C47" s="391">
        <v>46</v>
      </c>
      <c r="D47" s="391">
        <v>2</v>
      </c>
      <c r="E47" s="391" t="s">
        <v>432</v>
      </c>
      <c r="F47" s="450">
        <v>465.88</v>
      </c>
      <c r="G47" s="462"/>
      <c r="H47" s="382">
        <v>59.62</v>
      </c>
      <c r="I47" s="449">
        <v>-1.81</v>
      </c>
      <c r="J47" s="148">
        <v>-1.5789515805244401</v>
      </c>
      <c r="K47" s="491">
        <f t="shared" si="4"/>
        <v>17.17686916985939</v>
      </c>
      <c r="L47" s="188" t="s">
        <v>688</v>
      </c>
      <c r="M47" s="270" t="s">
        <v>74</v>
      </c>
      <c r="N47" s="171"/>
      <c r="O47" s="172" t="s">
        <v>44</v>
      </c>
      <c r="P47" s="173" t="s">
        <v>91</v>
      </c>
      <c r="Q47" s="172" t="s">
        <v>417</v>
      </c>
      <c r="R47" s="173" t="s">
        <v>418</v>
      </c>
      <c r="S47" s="176"/>
    </row>
    <row r="48" spans="1:19">
      <c r="A48" s="167">
        <v>277</v>
      </c>
      <c r="C48" s="391">
        <v>46</v>
      </c>
      <c r="D48" s="391">
        <v>4</v>
      </c>
      <c r="E48" s="391" t="s">
        <v>433</v>
      </c>
      <c r="F48" s="450">
        <v>468.9</v>
      </c>
      <c r="G48" s="462"/>
      <c r="H48" s="382">
        <v>60.41</v>
      </c>
      <c r="I48" s="449">
        <v>-1.8</v>
      </c>
      <c r="J48" s="148">
        <v>-1.5789515805244401</v>
      </c>
      <c r="K48" s="491">
        <f t="shared" si="4"/>
        <v>17.130062282704337</v>
      </c>
      <c r="L48" s="188" t="s">
        <v>688</v>
      </c>
      <c r="M48" s="270" t="s">
        <v>74</v>
      </c>
      <c r="N48" s="171"/>
      <c r="O48" s="172" t="s">
        <v>44</v>
      </c>
      <c r="P48" s="173" t="s">
        <v>91</v>
      </c>
      <c r="Q48" s="172" t="s">
        <v>417</v>
      </c>
      <c r="R48" s="173" t="s">
        <v>418</v>
      </c>
      <c r="S48" s="176"/>
    </row>
    <row r="49" spans="1:19" ht="13.5" thickBot="1">
      <c r="A49" s="506"/>
      <c r="B49" s="255"/>
      <c r="C49" s="255"/>
      <c r="D49" s="255"/>
      <c r="E49" s="255"/>
      <c r="F49" s="255"/>
      <c r="G49" s="255"/>
      <c r="H49" s="255"/>
      <c r="I49" s="257"/>
      <c r="J49" s="255"/>
      <c r="K49" s="609"/>
      <c r="L49" s="255"/>
      <c r="M49" s="255"/>
      <c r="N49" s="255"/>
      <c r="O49" s="256"/>
      <c r="P49" s="254"/>
      <c r="Q49" s="256"/>
      <c r="R49" s="506"/>
      <c r="S49" s="258"/>
    </row>
    <row r="50" spans="1:19">
      <c r="L50" s="156"/>
      <c r="S50" s="190"/>
    </row>
    <row r="51" spans="1:19" ht="13.5" thickBot="1"/>
    <row r="52" spans="1:19">
      <c r="G52" s="670"/>
      <c r="H52" s="671" t="s">
        <v>607</v>
      </c>
      <c r="I52" s="671" t="s">
        <v>605</v>
      </c>
      <c r="J52" s="684">
        <v>0.05</v>
      </c>
      <c r="K52" s="671" t="s">
        <v>602</v>
      </c>
      <c r="L52" s="684">
        <v>0.95</v>
      </c>
      <c r="M52" s="672" t="s">
        <v>606</v>
      </c>
    </row>
    <row r="53" spans="1:19">
      <c r="G53" s="673" t="s">
        <v>21</v>
      </c>
      <c r="H53" s="674">
        <f>COUNT(K14:K15,K21)</f>
        <v>3</v>
      </c>
      <c r="I53" s="675">
        <f>MIN(K14:K15,K21)</f>
        <v>14.171861504780754</v>
      </c>
      <c r="J53" s="675">
        <f>_xlfn.PERCENTILE.INC((K14:K15,K21),0.05)</f>
        <v>14.540638942089981</v>
      </c>
      <c r="K53" s="675">
        <f>AVERAGE(K14:K15,K21)</f>
        <v>16.70037246948641</v>
      </c>
      <c r="L53" s="675">
        <f>_xlfn.PERCENTILE.INC((K14:K15,K21),0.95)</f>
        <v>18.048621611012216</v>
      </c>
      <c r="M53" s="676">
        <f>MAX(K14:K15,K21)</f>
        <v>18.06962002580546</v>
      </c>
    </row>
    <row r="54" spans="1:19">
      <c r="G54" s="673" t="s">
        <v>20</v>
      </c>
      <c r="H54" s="674">
        <f>COUNT($K18:$K20,$K30:$K32)</f>
        <v>6</v>
      </c>
      <c r="I54" s="675">
        <f>MIN($K18:$K20,$K30:$K32)</f>
        <v>18.135484000158421</v>
      </c>
      <c r="J54" s="675">
        <f>_xlfn.PERCENTILE.INC(($K18:$K20,$K30:$K32),0.05)</f>
        <v>18.223370125689279</v>
      </c>
      <c r="K54" s="675">
        <f>AVERAGE($K18:$K20,$K30:$K32)</f>
        <v>20.015375948794404</v>
      </c>
      <c r="L54" s="675">
        <f>_xlfn.PERCENTILE.INC(($K18:$K20,$K30:$K32),0.95)</f>
        <v>22.643144527324541</v>
      </c>
      <c r="M54" s="676">
        <f>MAX($K18:$K20,$K30:$K32)</f>
        <v>22.728616079845889</v>
      </c>
    </row>
    <row r="55" spans="1:19" ht="13.5" thickBot="1">
      <c r="G55" s="677" t="s">
        <v>601</v>
      </c>
      <c r="H55" s="678">
        <f>COUNT($K33:$K36)</f>
        <v>4</v>
      </c>
      <c r="I55" s="679">
        <f>MIN($K33:$K36)</f>
        <v>12.937078865800979</v>
      </c>
      <c r="J55" s="679">
        <f>_xlfn.PERCENTILE.INC(($K33:$K36),0.05)</f>
        <v>13.191604702374498</v>
      </c>
      <c r="K55" s="679">
        <f>AVERAGE($K33:$K36)</f>
        <v>14.840199375887462</v>
      </c>
      <c r="L55" s="679">
        <f>_xlfn.PERCENTILE.INC(($K33:$K36),0.95)</f>
        <v>16.758492138518697</v>
      </c>
      <c r="M55" s="680">
        <f>MAX($K33:$K36)</f>
        <v>17.128602870428622</v>
      </c>
    </row>
  </sheetData>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94"/>
  <sheetViews>
    <sheetView zoomScale="80" zoomScaleNormal="80" workbookViewId="0">
      <selection activeCell="B3" sqref="B3"/>
    </sheetView>
  </sheetViews>
  <sheetFormatPr defaultColWidth="10.625" defaultRowHeight="15.75"/>
  <cols>
    <col min="1" max="1" width="15.625" style="69" customWidth="1"/>
    <col min="2" max="2" width="25.375" style="69" customWidth="1"/>
    <col min="3" max="4" width="10.625" style="69"/>
    <col min="5" max="6" width="10.625" style="156"/>
    <col min="7" max="10" width="10.625" style="69"/>
    <col min="11" max="11" width="15.625" style="69" customWidth="1"/>
    <col min="12" max="12" width="35.5" style="69" bestFit="1" customWidth="1"/>
    <col min="13" max="13" width="13" style="69" bestFit="1" customWidth="1"/>
    <col min="14" max="16" width="10.625" style="69"/>
    <col min="17" max="17" width="47.875" style="69" bestFit="1" customWidth="1"/>
    <col min="18" max="18" width="17.375" style="69" bestFit="1" customWidth="1"/>
    <col min="19" max="19" width="48.5" style="69" bestFit="1" customWidth="1"/>
    <col min="20" max="20" width="10.625" style="69"/>
    <col min="22" max="16384" width="10.625" style="69"/>
  </cols>
  <sheetData>
    <row r="1" spans="1:20" s="646" customFormat="1">
      <c r="A1" s="205" t="s">
        <v>62</v>
      </c>
      <c r="B1" s="205" t="s">
        <v>278</v>
      </c>
      <c r="C1" s="206"/>
      <c r="D1" s="547"/>
      <c r="E1" s="547"/>
      <c r="F1" s="547"/>
      <c r="G1" s="547"/>
      <c r="H1" s="547"/>
      <c r="I1" s="547"/>
      <c r="J1" s="547"/>
      <c r="K1" s="547"/>
      <c r="L1" s="547"/>
      <c r="M1" s="547"/>
      <c r="N1" s="547"/>
      <c r="O1" s="547"/>
      <c r="P1" s="547"/>
      <c r="Q1" s="547"/>
      <c r="R1" s="645"/>
      <c r="S1" s="645"/>
      <c r="T1" s="645"/>
    </row>
    <row r="2" spans="1:20">
      <c r="A2" s="141" t="s">
        <v>636</v>
      </c>
      <c r="B2" s="146" t="s">
        <v>643</v>
      </c>
      <c r="C2" s="143"/>
      <c r="D2" s="144"/>
      <c r="E2" s="144"/>
      <c r="F2" s="144"/>
      <c r="G2" s="144"/>
      <c r="H2" s="144"/>
      <c r="I2" s="144"/>
      <c r="J2" s="144"/>
      <c r="K2" s="144"/>
      <c r="L2" s="144"/>
      <c r="M2" s="144"/>
      <c r="N2" s="144"/>
      <c r="O2" s="144"/>
      <c r="P2" s="144"/>
      <c r="Q2" s="144"/>
      <c r="R2" s="145"/>
      <c r="S2" s="145"/>
      <c r="T2" s="145"/>
    </row>
    <row r="3" spans="1:20">
      <c r="A3" s="141" t="s">
        <v>61</v>
      </c>
      <c r="B3" s="152" t="s">
        <v>644</v>
      </c>
      <c r="C3" s="143"/>
      <c r="D3" s="144"/>
      <c r="E3" s="144"/>
      <c r="F3" s="144"/>
      <c r="G3" s="144"/>
      <c r="H3" s="144"/>
      <c r="I3" s="144"/>
      <c r="J3" s="144"/>
      <c r="K3" s="144"/>
      <c r="L3" s="144"/>
      <c r="M3" s="144"/>
      <c r="N3" s="144"/>
      <c r="O3" s="144"/>
      <c r="P3" s="144"/>
      <c r="Q3" s="144"/>
      <c r="R3" s="145"/>
      <c r="S3" s="145"/>
      <c r="T3" s="145"/>
    </row>
    <row r="4" spans="1:20">
      <c r="A4" s="147" t="s">
        <v>621</v>
      </c>
      <c r="B4" s="582">
        <v>-62.715000000000003</v>
      </c>
      <c r="D4" s="144"/>
      <c r="F4" s="144"/>
      <c r="G4" s="144"/>
      <c r="H4" s="144"/>
      <c r="I4" s="144"/>
      <c r="J4" s="144"/>
      <c r="K4" s="144"/>
      <c r="L4" s="144"/>
      <c r="M4" s="144"/>
      <c r="N4" s="144"/>
      <c r="O4" s="144"/>
      <c r="P4" s="144"/>
      <c r="Q4" s="144"/>
      <c r="R4" s="145"/>
      <c r="S4" s="145"/>
      <c r="T4" s="145"/>
    </row>
    <row r="5" spans="1:20">
      <c r="A5" s="147" t="s">
        <v>622</v>
      </c>
      <c r="B5" s="582">
        <v>82.79</v>
      </c>
      <c r="C5" s="142"/>
      <c r="D5" s="144"/>
      <c r="E5" s="144"/>
      <c r="F5" s="144"/>
      <c r="G5" s="144"/>
      <c r="H5" s="144"/>
      <c r="I5" s="144"/>
      <c r="J5" s="144"/>
      <c r="K5" s="144"/>
      <c r="L5" s="144"/>
      <c r="M5" s="144"/>
      <c r="N5" s="144"/>
      <c r="O5" s="144"/>
      <c r="P5" s="144"/>
      <c r="Q5" s="144"/>
      <c r="R5" s="145"/>
      <c r="S5" s="145"/>
      <c r="T5" s="145"/>
    </row>
    <row r="6" spans="1:20">
      <c r="A6" s="149" t="s">
        <v>50</v>
      </c>
      <c r="B6" s="51">
        <v>-62.594423904899998</v>
      </c>
      <c r="C6" s="143"/>
      <c r="D6" s="144"/>
      <c r="E6" s="144"/>
      <c r="F6" s="144"/>
      <c r="G6" s="144"/>
      <c r="H6" s="144"/>
      <c r="I6" s="144"/>
      <c r="J6" s="144"/>
      <c r="K6" s="144"/>
      <c r="L6" s="144"/>
      <c r="M6" s="144"/>
      <c r="N6" s="144"/>
      <c r="O6" s="144"/>
      <c r="P6" s="144"/>
      <c r="Q6" s="144"/>
      <c r="R6" s="145"/>
      <c r="S6" s="145"/>
      <c r="T6" s="145"/>
    </row>
    <row r="7" spans="1:20">
      <c r="A7" s="208" t="s">
        <v>696</v>
      </c>
      <c r="B7" s="584" t="s">
        <v>716</v>
      </c>
      <c r="C7" s="146" t="s">
        <v>717</v>
      </c>
      <c r="D7" s="144"/>
      <c r="E7" s="144"/>
      <c r="F7" s="144"/>
      <c r="G7" s="144"/>
      <c r="H7" s="144"/>
      <c r="I7" s="144"/>
      <c r="J7" s="144"/>
      <c r="K7" s="144"/>
      <c r="L7" s="144"/>
      <c r="M7" s="144"/>
      <c r="N7" s="144"/>
      <c r="O7" s="144"/>
      <c r="P7" s="144"/>
      <c r="Q7" s="144"/>
      <c r="R7" s="145"/>
      <c r="S7" s="145"/>
      <c r="T7" s="145"/>
    </row>
    <row r="8" spans="1:20" ht="39">
      <c r="A8" s="141" t="s">
        <v>63</v>
      </c>
      <c r="B8" s="597" t="s">
        <v>718</v>
      </c>
      <c r="C8" s="146" t="s">
        <v>597</v>
      </c>
      <c r="D8" s="144"/>
      <c r="E8" s="144"/>
      <c r="F8" s="144"/>
      <c r="G8" s="144"/>
      <c r="H8" s="144"/>
      <c r="I8" s="144"/>
      <c r="J8" s="144"/>
      <c r="K8" s="144"/>
      <c r="L8" s="144"/>
      <c r="M8" s="144"/>
      <c r="N8" s="144"/>
      <c r="O8" s="144"/>
      <c r="P8" s="144"/>
      <c r="Q8" s="144"/>
      <c r="R8" s="145"/>
      <c r="S8" s="145"/>
      <c r="T8" s="145"/>
    </row>
    <row r="9" spans="1:20">
      <c r="A9" s="141" t="s">
        <v>64</v>
      </c>
      <c r="B9" s="146" t="s">
        <v>197</v>
      </c>
      <c r="C9" s="143"/>
      <c r="D9" s="144"/>
      <c r="E9" s="144"/>
      <c r="F9" s="144"/>
      <c r="G9" s="144"/>
      <c r="H9" s="144"/>
      <c r="I9" s="144"/>
      <c r="J9" s="144"/>
      <c r="K9" s="144"/>
      <c r="L9" s="144"/>
      <c r="M9" s="144"/>
      <c r="N9" s="144"/>
      <c r="O9" s="144"/>
      <c r="P9" s="144"/>
      <c r="Q9" s="144"/>
      <c r="R9" s="145"/>
      <c r="S9" s="145"/>
      <c r="T9" s="145"/>
    </row>
    <row r="10" spans="1:20">
      <c r="A10" s="141" t="s">
        <v>65</v>
      </c>
      <c r="B10" s="152" t="s">
        <v>42</v>
      </c>
      <c r="C10" s="152" t="s">
        <v>294</v>
      </c>
      <c r="D10" s="144"/>
      <c r="E10" s="144"/>
      <c r="F10" s="144"/>
      <c r="G10" s="144"/>
      <c r="I10" s="144"/>
      <c r="J10" s="144"/>
      <c r="K10" s="144"/>
      <c r="L10" s="144"/>
      <c r="M10" s="144"/>
      <c r="N10" s="144"/>
      <c r="O10" s="144"/>
      <c r="P10" s="144"/>
      <c r="Q10" s="144"/>
      <c r="R10" s="145"/>
      <c r="S10" s="145"/>
      <c r="T10" s="145"/>
    </row>
    <row r="11" spans="1:20" ht="16.5" thickBot="1">
      <c r="A11" s="145"/>
      <c r="B11" s="145"/>
      <c r="C11" s="144"/>
      <c r="D11" s="144"/>
      <c r="E11" s="144"/>
      <c r="F11" s="144"/>
      <c r="G11" s="144"/>
      <c r="H11" s="154"/>
      <c r="I11" s="144"/>
      <c r="J11" s="144"/>
      <c r="K11" s="168"/>
      <c r="L11" s="144"/>
      <c r="M11" s="144"/>
      <c r="N11" s="144"/>
      <c r="O11" s="144"/>
      <c r="P11" s="144"/>
      <c r="Q11" s="144"/>
      <c r="R11" s="145"/>
      <c r="S11" s="145"/>
      <c r="T11" s="145"/>
    </row>
    <row r="12" spans="1:20" ht="64.5" thickBot="1">
      <c r="A12" s="211" t="s">
        <v>18</v>
      </c>
      <c r="B12" s="212" t="s">
        <v>66</v>
      </c>
      <c r="C12" s="212" t="s">
        <v>67</v>
      </c>
      <c r="D12" s="212" t="s">
        <v>68</v>
      </c>
      <c r="E12" s="212" t="s">
        <v>69</v>
      </c>
      <c r="F12" s="212" t="s">
        <v>43</v>
      </c>
      <c r="G12" s="212" t="s">
        <v>31</v>
      </c>
      <c r="H12" s="213" t="s">
        <v>10</v>
      </c>
      <c r="I12" s="214" t="s">
        <v>725</v>
      </c>
      <c r="J12" s="215" t="s">
        <v>664</v>
      </c>
      <c r="K12" s="216" t="s">
        <v>659</v>
      </c>
      <c r="L12" s="217" t="s">
        <v>70</v>
      </c>
      <c r="M12" s="217" t="s">
        <v>71</v>
      </c>
      <c r="N12" s="217" t="s">
        <v>36</v>
      </c>
      <c r="O12" s="218" t="s">
        <v>34</v>
      </c>
      <c r="P12" s="217" t="s">
        <v>72</v>
      </c>
      <c r="Q12" s="218" t="s">
        <v>73</v>
      </c>
      <c r="R12" s="160" t="s">
        <v>15</v>
      </c>
      <c r="S12" s="166" t="s">
        <v>38</v>
      </c>
      <c r="T12" s="165"/>
    </row>
    <row r="13" spans="1:20">
      <c r="A13" s="236"/>
      <c r="B13" s="237"/>
      <c r="C13" s="237"/>
      <c r="D13" s="237"/>
      <c r="E13" s="237"/>
      <c r="F13" s="237"/>
      <c r="G13" s="237"/>
      <c r="H13" s="499"/>
      <c r="I13" s="239"/>
      <c r="J13" s="170"/>
      <c r="K13" s="512"/>
      <c r="L13" s="241"/>
      <c r="M13" s="241"/>
      <c r="N13" s="241"/>
      <c r="O13" s="242"/>
      <c r="P13" s="240"/>
      <c r="Q13" s="242"/>
      <c r="R13" s="500"/>
      <c r="S13" s="176"/>
      <c r="T13" s="145"/>
    </row>
    <row r="14" spans="1:20">
      <c r="A14" s="167">
        <v>738</v>
      </c>
      <c r="B14" s="144" t="s">
        <v>98</v>
      </c>
      <c r="C14" s="156" t="s">
        <v>279</v>
      </c>
      <c r="D14" s="156">
        <v>2</v>
      </c>
      <c r="E14" s="156" t="s">
        <v>280</v>
      </c>
      <c r="F14" s="60">
        <v>227.85</v>
      </c>
      <c r="G14" s="156" t="s">
        <v>21</v>
      </c>
      <c r="H14" s="271">
        <v>49.149387359619141</v>
      </c>
      <c r="I14" s="57">
        <v>-0.43</v>
      </c>
      <c r="J14" s="450">
        <v>-1.59</v>
      </c>
      <c r="K14" s="530">
        <f t="shared" ref="K14" si="0">16.1-4.64*($I14-J14)+0.09*($I14-J14)^2</f>
        <v>10.838704000000002</v>
      </c>
      <c r="L14" s="228" t="s">
        <v>666</v>
      </c>
      <c r="M14" s="317" t="s">
        <v>74</v>
      </c>
      <c r="N14" s="317" t="s">
        <v>127</v>
      </c>
      <c r="O14" s="307" t="s">
        <v>35</v>
      </c>
      <c r="P14" s="314" t="s">
        <v>91</v>
      </c>
      <c r="Q14" s="501" t="s">
        <v>295</v>
      </c>
      <c r="R14" s="315" t="s">
        <v>294</v>
      </c>
      <c r="S14" s="223" t="s">
        <v>803</v>
      </c>
      <c r="T14" s="145"/>
    </row>
    <row r="15" spans="1:20">
      <c r="A15" s="167">
        <v>738</v>
      </c>
      <c r="B15" s="144" t="s">
        <v>98</v>
      </c>
      <c r="C15" s="156" t="s">
        <v>281</v>
      </c>
      <c r="D15" s="156">
        <v>1</v>
      </c>
      <c r="E15" s="156" t="s">
        <v>282</v>
      </c>
      <c r="F15" s="60">
        <v>245.66</v>
      </c>
      <c r="G15" s="156" t="s">
        <v>21</v>
      </c>
      <c r="H15" s="271">
        <v>49.999691009521484</v>
      </c>
      <c r="I15" s="57">
        <v>-0.76</v>
      </c>
      <c r="J15" s="450">
        <v>-1.59</v>
      </c>
      <c r="K15" s="530">
        <f t="shared" ref="K15:K63" si="1">16.1-4.64*($I15-J15)+0.09*($I15-J15)^2</f>
        <v>12.310801000000001</v>
      </c>
      <c r="L15" s="228" t="s">
        <v>666</v>
      </c>
      <c r="M15" s="317" t="s">
        <v>74</v>
      </c>
      <c r="N15" s="317" t="s">
        <v>127</v>
      </c>
      <c r="O15" s="307" t="s">
        <v>35</v>
      </c>
      <c r="P15" s="314" t="s">
        <v>91</v>
      </c>
      <c r="Q15" s="501" t="s">
        <v>295</v>
      </c>
      <c r="R15" s="315" t="s">
        <v>294</v>
      </c>
      <c r="S15" s="223" t="s">
        <v>803</v>
      </c>
      <c r="T15" s="145"/>
    </row>
    <row r="16" spans="1:20">
      <c r="A16" s="167">
        <v>738</v>
      </c>
      <c r="B16" s="144" t="s">
        <v>98</v>
      </c>
      <c r="C16" s="156" t="s">
        <v>281</v>
      </c>
      <c r="D16" s="156">
        <v>3</v>
      </c>
      <c r="E16" s="156" t="s">
        <v>283</v>
      </c>
      <c r="F16" s="60">
        <v>247.83</v>
      </c>
      <c r="G16" s="156" t="s">
        <v>21</v>
      </c>
      <c r="H16" s="271">
        <v>50.103290557861328</v>
      </c>
      <c r="I16" s="57">
        <v>-0.69</v>
      </c>
      <c r="J16" s="450">
        <v>-1.59</v>
      </c>
      <c r="K16" s="530">
        <f t="shared" si="1"/>
        <v>11.996900000000002</v>
      </c>
      <c r="L16" s="228" t="s">
        <v>666</v>
      </c>
      <c r="M16" s="317" t="s">
        <v>74</v>
      </c>
      <c r="N16" s="317" t="s">
        <v>127</v>
      </c>
      <c r="O16" s="307" t="s">
        <v>35</v>
      </c>
      <c r="P16" s="314" t="s">
        <v>91</v>
      </c>
      <c r="Q16" s="501" t="s">
        <v>295</v>
      </c>
      <c r="R16" s="315" t="s">
        <v>294</v>
      </c>
      <c r="S16" s="176" t="s">
        <v>804</v>
      </c>
      <c r="T16" s="145"/>
    </row>
    <row r="17" spans="1:20">
      <c r="A17" s="167">
        <v>738</v>
      </c>
      <c r="B17" s="144" t="s">
        <v>98</v>
      </c>
      <c r="C17" s="156" t="s">
        <v>281</v>
      </c>
      <c r="D17" s="156" t="s">
        <v>284</v>
      </c>
      <c r="F17" s="60">
        <v>254.4</v>
      </c>
      <c r="G17" s="156" t="s">
        <v>21</v>
      </c>
      <c r="H17" s="271">
        <v>50.416961669921875</v>
      </c>
      <c r="I17" s="57">
        <v>-0.86</v>
      </c>
      <c r="J17" s="450">
        <v>-1.59</v>
      </c>
      <c r="K17" s="530">
        <f t="shared" si="1"/>
        <v>12.760761000000002</v>
      </c>
      <c r="L17" s="228" t="s">
        <v>666</v>
      </c>
      <c r="M17" s="317" t="s">
        <v>74</v>
      </c>
      <c r="N17" s="317" t="s">
        <v>127</v>
      </c>
      <c r="O17" s="307" t="s">
        <v>35</v>
      </c>
      <c r="P17" s="314" t="s">
        <v>91</v>
      </c>
      <c r="Q17" s="501" t="s">
        <v>295</v>
      </c>
      <c r="R17" s="315" t="s">
        <v>294</v>
      </c>
      <c r="S17" s="176" t="s">
        <v>804</v>
      </c>
      <c r="T17" s="145"/>
    </row>
    <row r="18" spans="1:20">
      <c r="A18" s="167">
        <v>738</v>
      </c>
      <c r="B18" s="144" t="s">
        <v>98</v>
      </c>
      <c r="C18" s="156" t="s">
        <v>285</v>
      </c>
      <c r="D18" s="156">
        <v>1</v>
      </c>
      <c r="E18" s="156" t="s">
        <v>286</v>
      </c>
      <c r="F18" s="60">
        <v>255.32</v>
      </c>
      <c r="G18" s="156" t="s">
        <v>21</v>
      </c>
      <c r="H18" s="271">
        <v>50.460884094238281</v>
      </c>
      <c r="I18" s="57">
        <v>-1.1100000000000001</v>
      </c>
      <c r="J18" s="450">
        <v>-1.59</v>
      </c>
      <c r="K18" s="530">
        <f t="shared" si="1"/>
        <v>13.893536000000001</v>
      </c>
      <c r="L18" s="228" t="s">
        <v>666</v>
      </c>
      <c r="M18" s="317" t="s">
        <v>74</v>
      </c>
      <c r="N18" s="317" t="s">
        <v>127</v>
      </c>
      <c r="O18" s="307" t="s">
        <v>35</v>
      </c>
      <c r="P18" s="314" t="s">
        <v>91</v>
      </c>
      <c r="Q18" s="501" t="s">
        <v>295</v>
      </c>
      <c r="R18" s="315" t="s">
        <v>294</v>
      </c>
      <c r="S18" s="176" t="s">
        <v>804</v>
      </c>
      <c r="T18" s="145"/>
    </row>
    <row r="19" spans="1:20">
      <c r="A19" s="167">
        <v>738</v>
      </c>
      <c r="B19" s="144" t="s">
        <v>98</v>
      </c>
      <c r="C19" s="156" t="s">
        <v>287</v>
      </c>
      <c r="D19" s="156">
        <v>1</v>
      </c>
      <c r="E19" s="156" t="s">
        <v>288</v>
      </c>
      <c r="F19" s="60">
        <v>264.36</v>
      </c>
      <c r="G19" s="156"/>
      <c r="H19" s="271">
        <v>53.939449310302734</v>
      </c>
      <c r="I19" s="57">
        <v>-1.36</v>
      </c>
      <c r="J19" s="450">
        <v>-1.59</v>
      </c>
      <c r="K19" s="491">
        <f t="shared" si="1"/>
        <v>15.037561000000002</v>
      </c>
      <c r="L19" s="228" t="s">
        <v>666</v>
      </c>
      <c r="M19" s="317" t="s">
        <v>74</v>
      </c>
      <c r="N19" s="317" t="s">
        <v>127</v>
      </c>
      <c r="O19" s="307" t="s">
        <v>35</v>
      </c>
      <c r="P19" s="314" t="s">
        <v>91</v>
      </c>
      <c r="Q19" s="501" t="s">
        <v>295</v>
      </c>
      <c r="R19" s="315" t="s">
        <v>294</v>
      </c>
      <c r="S19" s="223" t="s">
        <v>805</v>
      </c>
      <c r="T19" s="145"/>
    </row>
    <row r="20" spans="1:20">
      <c r="A20" s="167">
        <v>738</v>
      </c>
      <c r="B20" s="144" t="s">
        <v>98</v>
      </c>
      <c r="C20" s="156" t="s">
        <v>289</v>
      </c>
      <c r="D20" s="156">
        <v>1</v>
      </c>
      <c r="E20" s="156" t="s">
        <v>290</v>
      </c>
      <c r="F20" s="60">
        <v>274.77</v>
      </c>
      <c r="G20" s="156"/>
      <c r="H20" s="271">
        <v>54.549648284912109</v>
      </c>
      <c r="I20" s="57">
        <v>-0.6</v>
      </c>
      <c r="J20" s="450">
        <v>-1.59</v>
      </c>
      <c r="K20" s="491">
        <f t="shared" si="1"/>
        <v>11.594609000000002</v>
      </c>
      <c r="L20" s="228" t="s">
        <v>666</v>
      </c>
      <c r="M20" s="317" t="s">
        <v>74</v>
      </c>
      <c r="N20" s="317" t="s">
        <v>127</v>
      </c>
      <c r="O20" s="307" t="s">
        <v>35</v>
      </c>
      <c r="P20" s="314" t="s">
        <v>91</v>
      </c>
      <c r="Q20" s="501" t="s">
        <v>295</v>
      </c>
      <c r="R20" s="315" t="s">
        <v>294</v>
      </c>
      <c r="S20" s="223" t="s">
        <v>805</v>
      </c>
      <c r="T20" s="145"/>
    </row>
    <row r="21" spans="1:20">
      <c r="A21" s="167">
        <v>738</v>
      </c>
      <c r="B21" s="144" t="s">
        <v>98</v>
      </c>
      <c r="C21" s="156" t="s">
        <v>289</v>
      </c>
      <c r="D21" s="156">
        <v>1</v>
      </c>
      <c r="E21" s="156" t="s">
        <v>290</v>
      </c>
      <c r="F21" s="60">
        <v>274.77</v>
      </c>
      <c r="G21" s="156"/>
      <c r="H21" s="271">
        <v>54.549648284912109</v>
      </c>
      <c r="I21" s="57">
        <v>-1.18</v>
      </c>
      <c r="J21" s="450">
        <v>-1.59</v>
      </c>
      <c r="K21" s="491">
        <f t="shared" si="1"/>
        <v>14.212729000000001</v>
      </c>
      <c r="L21" s="228" t="s">
        <v>666</v>
      </c>
      <c r="M21" s="317" t="s">
        <v>74</v>
      </c>
      <c r="N21" s="317" t="s">
        <v>127</v>
      </c>
      <c r="O21" s="307" t="s">
        <v>35</v>
      </c>
      <c r="P21" s="314" t="s">
        <v>91</v>
      </c>
      <c r="Q21" s="501" t="s">
        <v>295</v>
      </c>
      <c r="R21" s="315" t="s">
        <v>294</v>
      </c>
      <c r="S21" s="223" t="s">
        <v>805</v>
      </c>
      <c r="T21" s="145"/>
    </row>
    <row r="22" spans="1:20">
      <c r="A22" s="167">
        <v>738</v>
      </c>
      <c r="B22" s="144" t="s">
        <v>98</v>
      </c>
      <c r="C22" s="156" t="s">
        <v>289</v>
      </c>
      <c r="D22" s="156">
        <v>2</v>
      </c>
      <c r="E22" s="156" t="s">
        <v>290</v>
      </c>
      <c r="F22" s="60">
        <v>276.25</v>
      </c>
      <c r="G22" s="156"/>
      <c r="H22" s="271">
        <v>54.636402130126953</v>
      </c>
      <c r="I22" s="57">
        <v>-1.42</v>
      </c>
      <c r="J22" s="450">
        <v>-1.59</v>
      </c>
      <c r="K22" s="491">
        <f t="shared" si="1"/>
        <v>15.313801000000002</v>
      </c>
      <c r="L22" s="228" t="s">
        <v>666</v>
      </c>
      <c r="M22" s="317" t="s">
        <v>74</v>
      </c>
      <c r="N22" s="317" t="s">
        <v>127</v>
      </c>
      <c r="O22" s="307" t="s">
        <v>35</v>
      </c>
      <c r="P22" s="314" t="s">
        <v>91</v>
      </c>
      <c r="Q22" s="501" t="s">
        <v>295</v>
      </c>
      <c r="R22" s="315" t="s">
        <v>294</v>
      </c>
      <c r="S22" s="223" t="s">
        <v>805</v>
      </c>
      <c r="T22" s="145"/>
    </row>
    <row r="23" spans="1:20">
      <c r="A23" s="167">
        <v>738</v>
      </c>
      <c r="B23" s="144" t="s">
        <v>98</v>
      </c>
      <c r="C23" s="156" t="s">
        <v>289</v>
      </c>
      <c r="D23" s="156" t="s">
        <v>284</v>
      </c>
      <c r="F23" s="60">
        <v>283.39999999999998</v>
      </c>
      <c r="G23" s="156"/>
      <c r="H23" s="271">
        <v>55.06298828125</v>
      </c>
      <c r="I23" s="57">
        <v>-1.05</v>
      </c>
      <c r="J23" s="450">
        <v>-1.59</v>
      </c>
      <c r="K23" s="491">
        <f t="shared" si="1"/>
        <v>13.620644000000002</v>
      </c>
      <c r="L23" s="228" t="s">
        <v>666</v>
      </c>
      <c r="M23" s="317" t="s">
        <v>74</v>
      </c>
      <c r="N23" s="317" t="s">
        <v>127</v>
      </c>
      <c r="O23" s="307" t="s">
        <v>35</v>
      </c>
      <c r="P23" s="314" t="s">
        <v>91</v>
      </c>
      <c r="Q23" s="501" t="s">
        <v>295</v>
      </c>
      <c r="R23" s="315" t="s">
        <v>294</v>
      </c>
      <c r="S23" s="223" t="s">
        <v>805</v>
      </c>
      <c r="T23" s="145"/>
    </row>
    <row r="24" spans="1:20">
      <c r="A24" s="167">
        <v>738</v>
      </c>
      <c r="B24" s="144" t="s">
        <v>98</v>
      </c>
      <c r="C24" s="156" t="s">
        <v>279</v>
      </c>
      <c r="D24" s="156" t="s">
        <v>284</v>
      </c>
      <c r="F24" s="248">
        <v>235.2</v>
      </c>
      <c r="G24" s="156" t="s">
        <v>21</v>
      </c>
      <c r="H24" s="643">
        <v>49.500297546386719</v>
      </c>
      <c r="I24" s="644">
        <v>-0.56999999999999995</v>
      </c>
      <c r="J24" s="450">
        <v>-1.59</v>
      </c>
      <c r="K24" s="530">
        <f t="shared" si="1"/>
        <v>11.460836</v>
      </c>
      <c r="L24" s="228" t="s">
        <v>291</v>
      </c>
      <c r="M24" s="317" t="s">
        <v>74</v>
      </c>
      <c r="N24" s="317" t="s">
        <v>127</v>
      </c>
      <c r="O24" s="307" t="s">
        <v>35</v>
      </c>
      <c r="P24" s="314" t="s">
        <v>91</v>
      </c>
      <c r="Q24" s="501" t="s">
        <v>295</v>
      </c>
      <c r="R24" s="315" t="s">
        <v>294</v>
      </c>
      <c r="S24" s="223" t="s">
        <v>803</v>
      </c>
      <c r="T24" s="145"/>
    </row>
    <row r="25" spans="1:20">
      <c r="A25" s="167">
        <v>738</v>
      </c>
      <c r="B25" s="144" t="s">
        <v>98</v>
      </c>
      <c r="C25" s="156" t="s">
        <v>292</v>
      </c>
      <c r="D25" s="156">
        <v>1</v>
      </c>
      <c r="E25" s="156" t="s">
        <v>293</v>
      </c>
      <c r="F25" s="248">
        <v>236.06</v>
      </c>
      <c r="G25" s="156" t="s">
        <v>21</v>
      </c>
      <c r="H25" s="643">
        <v>49.541355133056641</v>
      </c>
      <c r="I25" s="644">
        <v>-0.86</v>
      </c>
      <c r="J25" s="450">
        <v>-1.59</v>
      </c>
      <c r="K25" s="530">
        <f t="shared" si="1"/>
        <v>12.760761000000002</v>
      </c>
      <c r="L25" s="228" t="s">
        <v>291</v>
      </c>
      <c r="M25" s="317" t="s">
        <v>74</v>
      </c>
      <c r="N25" s="317" t="s">
        <v>127</v>
      </c>
      <c r="O25" s="307" t="s">
        <v>35</v>
      </c>
      <c r="P25" s="314" t="s">
        <v>91</v>
      </c>
      <c r="Q25" s="501" t="s">
        <v>295</v>
      </c>
      <c r="R25" s="315" t="s">
        <v>294</v>
      </c>
      <c r="S25" s="223" t="s">
        <v>803</v>
      </c>
      <c r="T25" s="145"/>
    </row>
    <row r="26" spans="1:20">
      <c r="A26" s="167">
        <v>738</v>
      </c>
      <c r="B26" s="144" t="s">
        <v>98</v>
      </c>
      <c r="C26" s="156" t="s">
        <v>279</v>
      </c>
      <c r="D26" s="156">
        <v>2</v>
      </c>
      <c r="E26" s="156" t="s">
        <v>280</v>
      </c>
      <c r="F26" s="60">
        <v>227.85</v>
      </c>
      <c r="G26" s="156" t="s">
        <v>21</v>
      </c>
      <c r="H26" s="643">
        <v>49.149387359619141</v>
      </c>
      <c r="I26" s="644">
        <v>-0.28000000000000003</v>
      </c>
      <c r="J26" s="450">
        <v>-1.59</v>
      </c>
      <c r="K26" s="491">
        <f t="shared" si="1"/>
        <v>10.176049000000001</v>
      </c>
      <c r="L26" s="228" t="s">
        <v>665</v>
      </c>
      <c r="M26" s="317" t="s">
        <v>74</v>
      </c>
      <c r="N26" s="317" t="s">
        <v>127</v>
      </c>
      <c r="O26" s="307" t="s">
        <v>44</v>
      </c>
      <c r="P26" s="314" t="s">
        <v>91</v>
      </c>
      <c r="Q26" s="501" t="s">
        <v>295</v>
      </c>
      <c r="R26" s="315" t="s">
        <v>294</v>
      </c>
      <c r="S26" s="223" t="s">
        <v>803</v>
      </c>
      <c r="T26" s="145"/>
    </row>
    <row r="27" spans="1:20">
      <c r="A27" s="167">
        <v>738</v>
      </c>
      <c r="B27" s="144" t="s">
        <v>98</v>
      </c>
      <c r="C27" s="156" t="s">
        <v>279</v>
      </c>
      <c r="D27" s="156" t="s">
        <v>284</v>
      </c>
      <c r="F27" s="248">
        <v>235.2</v>
      </c>
      <c r="G27" s="156" t="s">
        <v>21</v>
      </c>
      <c r="H27" s="643">
        <v>49.500297546386719</v>
      </c>
      <c r="I27" s="644">
        <v>-0.37</v>
      </c>
      <c r="J27" s="450">
        <v>-1.59</v>
      </c>
      <c r="K27" s="491">
        <f t="shared" si="1"/>
        <v>10.573155999999999</v>
      </c>
      <c r="L27" s="228" t="s">
        <v>665</v>
      </c>
      <c r="M27" s="317" t="s">
        <v>74</v>
      </c>
      <c r="N27" s="317" t="s">
        <v>127</v>
      </c>
      <c r="O27" s="307" t="s">
        <v>44</v>
      </c>
      <c r="P27" s="314" t="s">
        <v>91</v>
      </c>
      <c r="Q27" s="501" t="s">
        <v>295</v>
      </c>
      <c r="R27" s="315" t="s">
        <v>294</v>
      </c>
      <c r="S27" s="223" t="s">
        <v>803</v>
      </c>
      <c r="T27" s="145"/>
    </row>
    <row r="28" spans="1:20">
      <c r="A28" s="167">
        <v>738</v>
      </c>
      <c r="B28" s="144" t="s">
        <v>98</v>
      </c>
      <c r="C28" s="156" t="s">
        <v>292</v>
      </c>
      <c r="D28" s="156">
        <v>1</v>
      </c>
      <c r="E28" s="156" t="s">
        <v>293</v>
      </c>
      <c r="F28" s="248">
        <v>236.06</v>
      </c>
      <c r="G28" s="156" t="s">
        <v>21</v>
      </c>
      <c r="H28" s="643">
        <v>49.541355133056641</v>
      </c>
      <c r="I28" s="644">
        <v>-0.53</v>
      </c>
      <c r="J28" s="450">
        <v>-1.59</v>
      </c>
      <c r="K28" s="491">
        <f t="shared" si="1"/>
        <v>11.282724000000002</v>
      </c>
      <c r="L28" s="228" t="s">
        <v>665</v>
      </c>
      <c r="M28" s="317" t="s">
        <v>74</v>
      </c>
      <c r="N28" s="317" t="s">
        <v>127</v>
      </c>
      <c r="O28" s="307" t="s">
        <v>44</v>
      </c>
      <c r="P28" s="314" t="s">
        <v>91</v>
      </c>
      <c r="Q28" s="501" t="s">
        <v>295</v>
      </c>
      <c r="R28" s="315" t="s">
        <v>294</v>
      </c>
      <c r="S28" s="223" t="s">
        <v>803</v>
      </c>
      <c r="T28" s="145"/>
    </row>
    <row r="29" spans="1:20">
      <c r="A29" s="167">
        <v>738</v>
      </c>
      <c r="B29" s="144" t="s">
        <v>98</v>
      </c>
      <c r="C29" s="156" t="s">
        <v>292</v>
      </c>
      <c r="D29" s="156" t="s">
        <v>284</v>
      </c>
      <c r="F29" s="248">
        <v>244.8</v>
      </c>
      <c r="G29" s="156" t="s">
        <v>21</v>
      </c>
      <c r="H29" s="643">
        <v>49.958629608154297</v>
      </c>
      <c r="I29" s="644">
        <v>-0.56999999999999995</v>
      </c>
      <c r="J29" s="450">
        <v>-1.59</v>
      </c>
      <c r="K29" s="491">
        <f t="shared" si="1"/>
        <v>11.460836</v>
      </c>
      <c r="L29" s="228" t="s">
        <v>665</v>
      </c>
      <c r="M29" s="317" t="s">
        <v>74</v>
      </c>
      <c r="N29" s="317" t="s">
        <v>127</v>
      </c>
      <c r="O29" s="307" t="s">
        <v>44</v>
      </c>
      <c r="P29" s="314" t="s">
        <v>91</v>
      </c>
      <c r="Q29" s="501" t="s">
        <v>295</v>
      </c>
      <c r="R29" s="315" t="s">
        <v>294</v>
      </c>
      <c r="S29" s="223" t="s">
        <v>803</v>
      </c>
      <c r="T29" s="145"/>
    </row>
    <row r="30" spans="1:20">
      <c r="A30" s="167">
        <v>738</v>
      </c>
      <c r="B30" s="144" t="s">
        <v>98</v>
      </c>
      <c r="C30" s="156" t="s">
        <v>281</v>
      </c>
      <c r="D30" s="156">
        <v>1</v>
      </c>
      <c r="E30" s="156" t="s">
        <v>282</v>
      </c>
      <c r="F30" s="248">
        <v>245.66</v>
      </c>
      <c r="G30" s="156" t="s">
        <v>21</v>
      </c>
      <c r="H30" s="643">
        <v>49.999691009521484</v>
      </c>
      <c r="I30" s="644">
        <v>-0.31</v>
      </c>
      <c r="J30" s="450">
        <v>-1.59</v>
      </c>
      <c r="K30" s="491">
        <f t="shared" si="1"/>
        <v>10.308256000000002</v>
      </c>
      <c r="L30" s="228" t="s">
        <v>665</v>
      </c>
      <c r="M30" s="317" t="s">
        <v>74</v>
      </c>
      <c r="N30" s="317" t="s">
        <v>127</v>
      </c>
      <c r="O30" s="307" t="s">
        <v>44</v>
      </c>
      <c r="P30" s="314" t="s">
        <v>91</v>
      </c>
      <c r="Q30" s="501" t="s">
        <v>295</v>
      </c>
      <c r="R30" s="315" t="s">
        <v>294</v>
      </c>
      <c r="S30" s="223" t="s">
        <v>803</v>
      </c>
      <c r="T30" s="145"/>
    </row>
    <row r="31" spans="1:20">
      <c r="A31" s="167">
        <v>738</v>
      </c>
      <c r="B31" s="144" t="s">
        <v>98</v>
      </c>
      <c r="C31" s="156" t="s">
        <v>281</v>
      </c>
      <c r="D31" s="156">
        <v>3</v>
      </c>
      <c r="E31" s="156" t="s">
        <v>283</v>
      </c>
      <c r="F31" s="60">
        <v>247.83</v>
      </c>
      <c r="G31" s="156" t="s">
        <v>21</v>
      </c>
      <c r="H31" s="643">
        <v>50.103290557861328</v>
      </c>
      <c r="I31" s="644">
        <v>-0.47</v>
      </c>
      <c r="J31" s="450">
        <v>-1.59</v>
      </c>
      <c r="K31" s="491">
        <f t="shared" si="1"/>
        <v>11.016096000000001</v>
      </c>
      <c r="L31" s="228" t="s">
        <v>665</v>
      </c>
      <c r="M31" s="317" t="s">
        <v>74</v>
      </c>
      <c r="N31" s="317" t="s">
        <v>127</v>
      </c>
      <c r="O31" s="307" t="s">
        <v>44</v>
      </c>
      <c r="P31" s="314" t="s">
        <v>91</v>
      </c>
      <c r="Q31" s="501" t="s">
        <v>295</v>
      </c>
      <c r="R31" s="315" t="s">
        <v>294</v>
      </c>
      <c r="S31" s="176" t="s">
        <v>804</v>
      </c>
      <c r="T31" s="145"/>
    </row>
    <row r="32" spans="1:20">
      <c r="A32" s="167">
        <v>738</v>
      </c>
      <c r="B32" s="144" t="s">
        <v>98</v>
      </c>
      <c r="C32" s="156" t="s">
        <v>281</v>
      </c>
      <c r="D32" s="156" t="s">
        <v>284</v>
      </c>
      <c r="F32" s="60">
        <v>254.4</v>
      </c>
      <c r="G32" s="156" t="s">
        <v>21</v>
      </c>
      <c r="H32" s="643">
        <v>50.416961669921875</v>
      </c>
      <c r="I32" s="644">
        <v>-0.46</v>
      </c>
      <c r="J32" s="450">
        <v>-1.59</v>
      </c>
      <c r="K32" s="491">
        <f t="shared" si="1"/>
        <v>10.971721000000002</v>
      </c>
      <c r="L32" s="228" t="s">
        <v>665</v>
      </c>
      <c r="M32" s="317" t="s">
        <v>74</v>
      </c>
      <c r="N32" s="317" t="s">
        <v>127</v>
      </c>
      <c r="O32" s="307" t="s">
        <v>44</v>
      </c>
      <c r="P32" s="314" t="s">
        <v>91</v>
      </c>
      <c r="Q32" s="501" t="s">
        <v>295</v>
      </c>
      <c r="R32" s="315" t="s">
        <v>294</v>
      </c>
      <c r="S32" s="176" t="s">
        <v>804</v>
      </c>
      <c r="T32" s="145"/>
    </row>
    <row r="33" spans="1:20">
      <c r="A33" s="167">
        <v>738</v>
      </c>
      <c r="B33" s="144" t="s">
        <v>98</v>
      </c>
      <c r="C33" s="156" t="s">
        <v>285</v>
      </c>
      <c r="D33" s="156">
        <v>1</v>
      </c>
      <c r="E33" s="156" t="s">
        <v>286</v>
      </c>
      <c r="F33" s="60">
        <v>255.32</v>
      </c>
      <c r="G33" s="156" t="s">
        <v>21</v>
      </c>
      <c r="H33" s="643">
        <v>50.460884094238281</v>
      </c>
      <c r="I33" s="644">
        <v>0.11</v>
      </c>
      <c r="J33" s="450">
        <v>-1.59</v>
      </c>
      <c r="K33" s="491">
        <f t="shared" si="1"/>
        <v>8.4721000000000011</v>
      </c>
      <c r="L33" s="228" t="s">
        <v>665</v>
      </c>
      <c r="M33" s="317" t="s">
        <v>74</v>
      </c>
      <c r="N33" s="317" t="s">
        <v>127</v>
      </c>
      <c r="O33" s="307" t="s">
        <v>44</v>
      </c>
      <c r="P33" s="314" t="s">
        <v>91</v>
      </c>
      <c r="Q33" s="501" t="s">
        <v>295</v>
      </c>
      <c r="R33" s="315" t="s">
        <v>294</v>
      </c>
      <c r="S33" s="176" t="s">
        <v>804</v>
      </c>
      <c r="T33" s="145"/>
    </row>
    <row r="34" spans="1:20">
      <c r="A34" s="167">
        <v>738</v>
      </c>
      <c r="B34" s="144" t="s">
        <v>98</v>
      </c>
      <c r="C34" s="156" t="s">
        <v>285</v>
      </c>
      <c r="D34" s="156" t="s">
        <v>284</v>
      </c>
      <c r="E34" s="511"/>
      <c r="F34" s="443">
        <v>264.10000000000002</v>
      </c>
      <c r="G34" s="156"/>
      <c r="H34" s="643">
        <v>53.924209594726563</v>
      </c>
      <c r="I34" s="644">
        <v>-0.6</v>
      </c>
      <c r="J34" s="450">
        <v>-1.59</v>
      </c>
      <c r="K34" s="491">
        <f t="shared" si="1"/>
        <v>11.594609000000002</v>
      </c>
      <c r="L34" s="228" t="s">
        <v>665</v>
      </c>
      <c r="M34" s="317" t="s">
        <v>74</v>
      </c>
      <c r="N34" s="317" t="s">
        <v>127</v>
      </c>
      <c r="O34" s="307" t="s">
        <v>44</v>
      </c>
      <c r="P34" s="314" t="s">
        <v>91</v>
      </c>
      <c r="Q34" s="501" t="s">
        <v>295</v>
      </c>
      <c r="R34" s="315" t="s">
        <v>294</v>
      </c>
      <c r="S34" s="223" t="s">
        <v>805</v>
      </c>
      <c r="T34" s="145"/>
    </row>
    <row r="35" spans="1:20">
      <c r="A35" s="167">
        <v>738</v>
      </c>
      <c r="B35" s="144" t="s">
        <v>98</v>
      </c>
      <c r="C35" s="156" t="s">
        <v>287</v>
      </c>
      <c r="D35" s="156">
        <v>1</v>
      </c>
      <c r="E35" s="156" t="s">
        <v>288</v>
      </c>
      <c r="F35" s="60">
        <v>264.36</v>
      </c>
      <c r="G35" s="156"/>
      <c r="H35" s="643">
        <v>53.939449310302734</v>
      </c>
      <c r="I35" s="644">
        <v>-0.44</v>
      </c>
      <c r="J35" s="450">
        <v>-1.59</v>
      </c>
      <c r="K35" s="491">
        <f t="shared" si="1"/>
        <v>10.883025000000002</v>
      </c>
      <c r="L35" s="228" t="s">
        <v>665</v>
      </c>
      <c r="M35" s="317" t="s">
        <v>74</v>
      </c>
      <c r="N35" s="317" t="s">
        <v>127</v>
      </c>
      <c r="O35" s="307" t="s">
        <v>44</v>
      </c>
      <c r="P35" s="314" t="s">
        <v>91</v>
      </c>
      <c r="Q35" s="501" t="s">
        <v>295</v>
      </c>
      <c r="R35" s="315" t="s">
        <v>294</v>
      </c>
      <c r="S35" s="223" t="s">
        <v>805</v>
      </c>
      <c r="T35" s="145"/>
    </row>
    <row r="36" spans="1:20">
      <c r="A36" s="167">
        <v>738</v>
      </c>
      <c r="B36" s="144" t="s">
        <v>98</v>
      </c>
      <c r="C36" s="156" t="s">
        <v>287</v>
      </c>
      <c r="D36" s="156" t="s">
        <v>284</v>
      </c>
      <c r="F36" s="396">
        <v>273.8</v>
      </c>
      <c r="G36" s="156"/>
      <c r="H36" s="643">
        <v>54.492790222167969</v>
      </c>
      <c r="I36" s="644">
        <v>-0.65</v>
      </c>
      <c r="J36" s="450">
        <v>-1.59</v>
      </c>
      <c r="K36" s="491">
        <f t="shared" si="1"/>
        <v>11.817924000000001</v>
      </c>
      <c r="L36" s="228" t="s">
        <v>665</v>
      </c>
      <c r="M36" s="317" t="s">
        <v>74</v>
      </c>
      <c r="N36" s="317" t="s">
        <v>127</v>
      </c>
      <c r="O36" s="307" t="s">
        <v>44</v>
      </c>
      <c r="P36" s="314" t="s">
        <v>91</v>
      </c>
      <c r="Q36" s="501" t="s">
        <v>295</v>
      </c>
      <c r="R36" s="315" t="s">
        <v>294</v>
      </c>
      <c r="S36" s="223" t="s">
        <v>805</v>
      </c>
      <c r="T36" s="145"/>
    </row>
    <row r="37" spans="1:20">
      <c r="A37" s="167">
        <v>738</v>
      </c>
      <c r="B37" s="144" t="s">
        <v>98</v>
      </c>
      <c r="C37" s="156" t="s">
        <v>289</v>
      </c>
      <c r="D37" s="156">
        <v>1</v>
      </c>
      <c r="E37" s="156" t="s">
        <v>290</v>
      </c>
      <c r="F37" s="60">
        <v>274.77</v>
      </c>
      <c r="G37" s="156"/>
      <c r="H37" s="643">
        <v>54.549648284912109</v>
      </c>
      <c r="I37" s="644">
        <v>-0.82</v>
      </c>
      <c r="J37" s="450">
        <v>-1.59</v>
      </c>
      <c r="K37" s="491">
        <f t="shared" si="1"/>
        <v>12.580561000000001</v>
      </c>
      <c r="L37" s="228" t="s">
        <v>665</v>
      </c>
      <c r="M37" s="317" t="s">
        <v>74</v>
      </c>
      <c r="N37" s="317" t="s">
        <v>127</v>
      </c>
      <c r="O37" s="307" t="s">
        <v>44</v>
      </c>
      <c r="P37" s="314" t="s">
        <v>91</v>
      </c>
      <c r="Q37" s="501" t="s">
        <v>295</v>
      </c>
      <c r="R37" s="315" t="s">
        <v>294</v>
      </c>
      <c r="S37" s="223" t="s">
        <v>805</v>
      </c>
      <c r="T37" s="145"/>
    </row>
    <row r="38" spans="1:20">
      <c r="A38" s="177">
        <v>738</v>
      </c>
      <c r="B38" s="221" t="s">
        <v>98</v>
      </c>
      <c r="C38" s="226" t="s">
        <v>289</v>
      </c>
      <c r="D38" s="226">
        <v>3</v>
      </c>
      <c r="E38" s="226" t="s">
        <v>296</v>
      </c>
      <c r="F38" s="397">
        <v>277.8</v>
      </c>
      <c r="G38" s="226"/>
      <c r="H38" s="970">
        <v>54.727256774902344</v>
      </c>
      <c r="I38" s="971">
        <v>-0.34</v>
      </c>
      <c r="J38" s="385">
        <v>-1.59</v>
      </c>
      <c r="K38" s="496">
        <f t="shared" si="1"/>
        <v>10.440625000000001</v>
      </c>
      <c r="L38" s="229" t="s">
        <v>665</v>
      </c>
      <c r="M38" s="386" t="s">
        <v>74</v>
      </c>
      <c r="N38" s="386" t="s">
        <v>127</v>
      </c>
      <c r="O38" s="387" t="s">
        <v>44</v>
      </c>
      <c r="P38" s="388" t="s">
        <v>91</v>
      </c>
      <c r="Q38" s="504" t="s">
        <v>295</v>
      </c>
      <c r="R38" s="505" t="s">
        <v>294</v>
      </c>
      <c r="S38" s="949" t="s">
        <v>805</v>
      </c>
      <c r="T38" s="972"/>
    </row>
    <row r="39" spans="1:20">
      <c r="A39" s="167">
        <v>738</v>
      </c>
      <c r="B39" s="144" t="s">
        <v>98</v>
      </c>
      <c r="C39" s="156" t="s">
        <v>285</v>
      </c>
      <c r="D39" s="156">
        <v>1</v>
      </c>
      <c r="E39" s="156">
        <v>132</v>
      </c>
      <c r="F39" s="396">
        <v>255.72</v>
      </c>
      <c r="G39" s="156" t="s">
        <v>21</v>
      </c>
      <c r="H39" s="643">
        <v>50.479984283447266</v>
      </c>
      <c r="I39" s="57">
        <v>-1.1399999999999999</v>
      </c>
      <c r="J39" s="450">
        <v>-1.59</v>
      </c>
      <c r="K39" s="530">
        <f t="shared" si="1"/>
        <v>14.030225</v>
      </c>
      <c r="L39" s="228" t="s">
        <v>298</v>
      </c>
      <c r="M39" s="317" t="s">
        <v>74</v>
      </c>
      <c r="N39" s="317" t="s">
        <v>309</v>
      </c>
      <c r="O39" s="307" t="s">
        <v>35</v>
      </c>
      <c r="P39" s="314" t="s">
        <v>91</v>
      </c>
      <c r="Q39" s="501" t="s">
        <v>295</v>
      </c>
      <c r="R39" s="315" t="s">
        <v>323</v>
      </c>
      <c r="S39" s="223"/>
      <c r="T39" s="145"/>
    </row>
    <row r="40" spans="1:20">
      <c r="A40" s="167">
        <v>738</v>
      </c>
      <c r="B40" s="144" t="s">
        <v>98</v>
      </c>
      <c r="C40" s="156" t="s">
        <v>287</v>
      </c>
      <c r="D40" s="156">
        <v>1</v>
      </c>
      <c r="E40" s="156">
        <v>26</v>
      </c>
      <c r="F40" s="396">
        <v>264.37</v>
      </c>
      <c r="G40" s="156"/>
      <c r="H40" s="643">
        <v>53.940032958984375</v>
      </c>
      <c r="I40" s="57">
        <v>-1.36</v>
      </c>
      <c r="J40" s="450">
        <v>-1.59</v>
      </c>
      <c r="K40" s="491">
        <f t="shared" si="1"/>
        <v>15.037561000000002</v>
      </c>
      <c r="L40" s="228" t="s">
        <v>298</v>
      </c>
      <c r="M40" s="317" t="s">
        <v>74</v>
      </c>
      <c r="N40" s="317" t="s">
        <v>309</v>
      </c>
      <c r="O40" s="307" t="s">
        <v>35</v>
      </c>
      <c r="P40" s="314" t="s">
        <v>91</v>
      </c>
      <c r="Q40" s="501" t="s">
        <v>295</v>
      </c>
      <c r="R40" s="315" t="s">
        <v>323</v>
      </c>
      <c r="S40" s="223"/>
      <c r="T40" s="145"/>
    </row>
    <row r="41" spans="1:20">
      <c r="A41" s="167">
        <v>738</v>
      </c>
      <c r="B41" s="144" t="s">
        <v>98</v>
      </c>
      <c r="C41" s="156" t="s">
        <v>285</v>
      </c>
      <c r="D41" s="156">
        <v>1</v>
      </c>
      <c r="E41" s="156">
        <v>132</v>
      </c>
      <c r="F41" s="396">
        <v>255.72</v>
      </c>
      <c r="G41" s="156" t="s">
        <v>21</v>
      </c>
      <c r="H41" s="643">
        <v>50.479984283447266</v>
      </c>
      <c r="I41" s="57">
        <v>-0.97</v>
      </c>
      <c r="J41" s="450">
        <v>-1.59</v>
      </c>
      <c r="K41" s="530">
        <f t="shared" si="1"/>
        <v>13.257796000000003</v>
      </c>
      <c r="L41" s="228" t="s">
        <v>297</v>
      </c>
      <c r="M41" s="317" t="s">
        <v>74</v>
      </c>
      <c r="N41" s="317" t="s">
        <v>310</v>
      </c>
      <c r="O41" s="307" t="s">
        <v>35</v>
      </c>
      <c r="P41" s="314" t="s">
        <v>91</v>
      </c>
      <c r="Q41" s="501" t="s">
        <v>295</v>
      </c>
      <c r="R41" s="315" t="s">
        <v>323</v>
      </c>
      <c r="S41" s="223"/>
      <c r="T41" s="145"/>
    </row>
    <row r="42" spans="1:20">
      <c r="A42" s="167">
        <v>738</v>
      </c>
      <c r="B42" s="144" t="s">
        <v>98</v>
      </c>
      <c r="C42" s="156" t="s">
        <v>287</v>
      </c>
      <c r="D42" s="156">
        <v>1</v>
      </c>
      <c r="E42" s="156">
        <v>26</v>
      </c>
      <c r="F42" s="396">
        <v>264.37</v>
      </c>
      <c r="G42" s="156"/>
      <c r="H42" s="643">
        <v>53.940032958984375</v>
      </c>
      <c r="I42" s="57">
        <v>-1.2</v>
      </c>
      <c r="J42" s="450">
        <v>-1.59</v>
      </c>
      <c r="K42" s="491">
        <f t="shared" si="1"/>
        <v>14.304089000000001</v>
      </c>
      <c r="L42" s="228" t="s">
        <v>297</v>
      </c>
      <c r="M42" s="317" t="s">
        <v>74</v>
      </c>
      <c r="N42" s="317" t="s">
        <v>310</v>
      </c>
      <c r="O42" s="307" t="s">
        <v>35</v>
      </c>
      <c r="P42" s="314" t="s">
        <v>91</v>
      </c>
      <c r="Q42" s="501" t="s">
        <v>295</v>
      </c>
      <c r="R42" s="315" t="s">
        <v>323</v>
      </c>
      <c r="S42" s="223"/>
      <c r="T42" s="145"/>
    </row>
    <row r="43" spans="1:20">
      <c r="A43" s="167">
        <v>738</v>
      </c>
      <c r="B43" s="144" t="s">
        <v>98</v>
      </c>
      <c r="C43" s="156" t="s">
        <v>281</v>
      </c>
      <c r="D43" s="156">
        <v>1</v>
      </c>
      <c r="E43" s="156">
        <v>145</v>
      </c>
      <c r="F43" s="156">
        <v>246.25</v>
      </c>
      <c r="G43" s="156" t="s">
        <v>21</v>
      </c>
      <c r="H43" s="643">
        <v>50.027858734130859</v>
      </c>
      <c r="I43" s="57">
        <v>-0.9</v>
      </c>
      <c r="J43" s="450">
        <v>-1.59</v>
      </c>
      <c r="K43" s="530">
        <f t="shared" si="1"/>
        <v>12.941249000000003</v>
      </c>
      <c r="L43" s="228" t="s">
        <v>204</v>
      </c>
      <c r="M43" s="317" t="s">
        <v>74</v>
      </c>
      <c r="N43" s="317" t="s">
        <v>311</v>
      </c>
      <c r="O43" s="307" t="s">
        <v>35</v>
      </c>
      <c r="P43" s="314" t="s">
        <v>91</v>
      </c>
      <c r="Q43" s="501" t="s">
        <v>295</v>
      </c>
      <c r="R43" s="315" t="s">
        <v>323</v>
      </c>
      <c r="S43" s="223"/>
      <c r="T43" s="145"/>
    </row>
    <row r="44" spans="1:20">
      <c r="A44" s="167">
        <v>738</v>
      </c>
      <c r="B44" s="144" t="s">
        <v>98</v>
      </c>
      <c r="C44" s="156" t="s">
        <v>281</v>
      </c>
      <c r="D44" s="156">
        <v>2</v>
      </c>
      <c r="E44" s="156">
        <v>104</v>
      </c>
      <c r="F44" s="156">
        <v>247.37</v>
      </c>
      <c r="G44" s="156" t="s">
        <v>21</v>
      </c>
      <c r="H44" s="643">
        <v>50.081329345703125</v>
      </c>
      <c r="I44" s="57">
        <v>-0.79</v>
      </c>
      <c r="J44" s="450">
        <v>-1.59</v>
      </c>
      <c r="K44" s="530">
        <f t="shared" si="1"/>
        <v>12.445600000000002</v>
      </c>
      <c r="L44" s="228" t="s">
        <v>204</v>
      </c>
      <c r="M44" s="317" t="s">
        <v>74</v>
      </c>
      <c r="N44" s="317" t="s">
        <v>311</v>
      </c>
      <c r="O44" s="307" t="s">
        <v>35</v>
      </c>
      <c r="P44" s="314" t="s">
        <v>91</v>
      </c>
      <c r="Q44" s="501" t="s">
        <v>295</v>
      </c>
      <c r="R44" s="315" t="s">
        <v>323</v>
      </c>
      <c r="S44" s="223"/>
      <c r="T44" s="145"/>
    </row>
    <row r="45" spans="1:20">
      <c r="A45" s="167">
        <v>738</v>
      </c>
      <c r="B45" s="144" t="s">
        <v>98</v>
      </c>
      <c r="C45" s="156" t="s">
        <v>285</v>
      </c>
      <c r="D45" s="156">
        <v>1</v>
      </c>
      <c r="E45" s="156">
        <v>132</v>
      </c>
      <c r="F45" s="156">
        <v>255.72</v>
      </c>
      <c r="G45" s="156" t="s">
        <v>21</v>
      </c>
      <c r="H45" s="643">
        <v>50.479984283447266</v>
      </c>
      <c r="I45" s="57">
        <v>-1.04</v>
      </c>
      <c r="J45" s="450">
        <v>-1.59</v>
      </c>
      <c r="K45" s="530">
        <f t="shared" si="1"/>
        <v>13.575225000000001</v>
      </c>
      <c r="L45" s="228" t="s">
        <v>204</v>
      </c>
      <c r="M45" s="317" t="s">
        <v>74</v>
      </c>
      <c r="N45" s="317" t="s">
        <v>311</v>
      </c>
      <c r="O45" s="307" t="s">
        <v>35</v>
      </c>
      <c r="P45" s="314" t="s">
        <v>91</v>
      </c>
      <c r="Q45" s="501" t="s">
        <v>295</v>
      </c>
      <c r="R45" s="315" t="s">
        <v>323</v>
      </c>
      <c r="S45" s="223"/>
      <c r="T45" s="145"/>
    </row>
    <row r="46" spans="1:20">
      <c r="A46" s="167">
        <v>738</v>
      </c>
      <c r="B46" s="144" t="s">
        <v>98</v>
      </c>
      <c r="C46" s="156" t="s">
        <v>281</v>
      </c>
      <c r="D46" s="156">
        <v>1</v>
      </c>
      <c r="E46" s="156">
        <v>145</v>
      </c>
      <c r="F46" s="156">
        <v>246.25</v>
      </c>
      <c r="G46" s="156" t="s">
        <v>21</v>
      </c>
      <c r="H46" s="643">
        <v>50.027858734130859</v>
      </c>
      <c r="I46" s="57">
        <v>-0.77</v>
      </c>
      <c r="J46" s="450">
        <v>-1.59</v>
      </c>
      <c r="K46" s="530">
        <f t="shared" si="1"/>
        <v>12.355716000000001</v>
      </c>
      <c r="L46" s="228" t="s">
        <v>306</v>
      </c>
      <c r="M46" s="317" t="s">
        <v>74</v>
      </c>
      <c r="N46" s="317" t="s">
        <v>312</v>
      </c>
      <c r="O46" s="307" t="s">
        <v>35</v>
      </c>
      <c r="P46" s="314" t="s">
        <v>91</v>
      </c>
      <c r="Q46" s="501" t="s">
        <v>295</v>
      </c>
      <c r="R46" s="315" t="s">
        <v>323</v>
      </c>
      <c r="S46" s="223"/>
      <c r="T46" s="145"/>
    </row>
    <row r="47" spans="1:20">
      <c r="A47" s="167">
        <v>738</v>
      </c>
      <c r="B47" s="144" t="s">
        <v>98</v>
      </c>
      <c r="C47" s="156" t="s">
        <v>281</v>
      </c>
      <c r="D47" s="156">
        <v>2</v>
      </c>
      <c r="E47" s="156">
        <v>104</v>
      </c>
      <c r="F47" s="156">
        <v>247.37</v>
      </c>
      <c r="G47" s="156" t="s">
        <v>21</v>
      </c>
      <c r="H47" s="643">
        <v>50.081329345703125</v>
      </c>
      <c r="I47" s="57">
        <v>-0.34</v>
      </c>
      <c r="J47" s="450">
        <v>-1.59</v>
      </c>
      <c r="K47" s="530">
        <f t="shared" si="1"/>
        <v>10.440625000000001</v>
      </c>
      <c r="L47" s="228" t="s">
        <v>306</v>
      </c>
      <c r="M47" s="317" t="s">
        <v>74</v>
      </c>
      <c r="N47" s="317" t="s">
        <v>312</v>
      </c>
      <c r="O47" s="307" t="s">
        <v>35</v>
      </c>
      <c r="P47" s="314" t="s">
        <v>91</v>
      </c>
      <c r="Q47" s="501" t="s">
        <v>295</v>
      </c>
      <c r="R47" s="315" t="s">
        <v>323</v>
      </c>
      <c r="S47" s="223"/>
      <c r="T47" s="145"/>
    </row>
    <row r="48" spans="1:20">
      <c r="A48" s="167">
        <v>738</v>
      </c>
      <c r="B48" s="144" t="s">
        <v>98</v>
      </c>
      <c r="C48" s="156" t="s">
        <v>281</v>
      </c>
      <c r="D48" s="156">
        <v>1</v>
      </c>
      <c r="E48" s="156">
        <v>145</v>
      </c>
      <c r="F48" s="156">
        <v>246.25</v>
      </c>
      <c r="G48" s="156" t="s">
        <v>21</v>
      </c>
      <c r="H48" s="643">
        <v>50.027858734130859</v>
      </c>
      <c r="I48" s="57">
        <v>-0.5</v>
      </c>
      <c r="J48" s="450">
        <v>-1.59</v>
      </c>
      <c r="K48" s="530">
        <f t="shared" si="1"/>
        <v>11.149329</v>
      </c>
      <c r="L48" s="228" t="s">
        <v>299</v>
      </c>
      <c r="M48" s="317" t="s">
        <v>74</v>
      </c>
      <c r="N48" s="317" t="s">
        <v>313</v>
      </c>
      <c r="O48" s="307" t="s">
        <v>35</v>
      </c>
      <c r="P48" s="314" t="s">
        <v>91</v>
      </c>
      <c r="Q48" s="501" t="s">
        <v>295</v>
      </c>
      <c r="R48" s="315" t="s">
        <v>323</v>
      </c>
      <c r="S48" s="223"/>
      <c r="T48" s="145"/>
    </row>
    <row r="49" spans="1:20">
      <c r="A49" s="167">
        <v>738</v>
      </c>
      <c r="B49" s="144" t="s">
        <v>98</v>
      </c>
      <c r="C49" s="156" t="s">
        <v>281</v>
      </c>
      <c r="D49" s="156">
        <v>2</v>
      </c>
      <c r="E49" s="156">
        <v>104</v>
      </c>
      <c r="F49" s="156">
        <v>247.37</v>
      </c>
      <c r="G49" s="156" t="s">
        <v>21</v>
      </c>
      <c r="H49" s="643">
        <v>50.081329345703125</v>
      </c>
      <c r="I49" s="57">
        <v>-0.72</v>
      </c>
      <c r="J49" s="450">
        <v>-1.59</v>
      </c>
      <c r="K49" s="530">
        <f t="shared" si="1"/>
        <v>12.131321000000002</v>
      </c>
      <c r="L49" s="228" t="s">
        <v>299</v>
      </c>
      <c r="M49" s="317" t="s">
        <v>74</v>
      </c>
      <c r="N49" s="317" t="s">
        <v>313</v>
      </c>
      <c r="O49" s="307" t="s">
        <v>35</v>
      </c>
      <c r="P49" s="314" t="s">
        <v>91</v>
      </c>
      <c r="Q49" s="501" t="s">
        <v>295</v>
      </c>
      <c r="R49" s="315" t="s">
        <v>323</v>
      </c>
      <c r="S49" s="223"/>
      <c r="T49" s="145"/>
    </row>
    <row r="50" spans="1:20">
      <c r="A50" s="167">
        <v>738</v>
      </c>
      <c r="B50" s="144" t="s">
        <v>98</v>
      </c>
      <c r="C50" s="156" t="s">
        <v>281</v>
      </c>
      <c r="D50" s="156">
        <v>1</v>
      </c>
      <c r="E50" s="156">
        <v>145</v>
      </c>
      <c r="F50" s="156">
        <v>246.25</v>
      </c>
      <c r="G50" s="156" t="s">
        <v>21</v>
      </c>
      <c r="H50" s="643">
        <v>50.027858734130859</v>
      </c>
      <c r="I50" s="57">
        <v>0.65</v>
      </c>
      <c r="J50" s="450">
        <v>-1.59</v>
      </c>
      <c r="K50" s="530">
        <f t="shared" si="1"/>
        <v>6.1579840000000008</v>
      </c>
      <c r="L50" s="228" t="s">
        <v>300</v>
      </c>
      <c r="M50" s="317" t="s">
        <v>74</v>
      </c>
      <c r="N50" s="317" t="s">
        <v>314</v>
      </c>
      <c r="O50" s="307" t="s">
        <v>35</v>
      </c>
      <c r="P50" s="314" t="s">
        <v>91</v>
      </c>
      <c r="Q50" s="501" t="s">
        <v>295</v>
      </c>
      <c r="R50" s="315" t="s">
        <v>323</v>
      </c>
      <c r="S50" s="223"/>
      <c r="T50" s="145"/>
    </row>
    <row r="51" spans="1:20">
      <c r="A51" s="167">
        <v>738</v>
      </c>
      <c r="B51" s="144" t="s">
        <v>98</v>
      </c>
      <c r="C51" s="156" t="s">
        <v>281</v>
      </c>
      <c r="D51" s="156">
        <v>2</v>
      </c>
      <c r="E51" s="156">
        <v>104</v>
      </c>
      <c r="F51" s="156">
        <v>247.37</v>
      </c>
      <c r="G51" s="156" t="s">
        <v>21</v>
      </c>
      <c r="H51" s="643">
        <v>50.081329345703125</v>
      </c>
      <c r="I51" s="57">
        <v>-0.72</v>
      </c>
      <c r="J51" s="450">
        <v>-1.59</v>
      </c>
      <c r="K51" s="530">
        <f t="shared" si="1"/>
        <v>12.131321000000002</v>
      </c>
      <c r="L51" s="228" t="s">
        <v>300</v>
      </c>
      <c r="M51" s="317" t="s">
        <v>74</v>
      </c>
      <c r="N51" s="317" t="s">
        <v>314</v>
      </c>
      <c r="O51" s="307" t="s">
        <v>35</v>
      </c>
      <c r="P51" s="314" t="s">
        <v>91</v>
      </c>
      <c r="Q51" s="501" t="s">
        <v>295</v>
      </c>
      <c r="R51" s="315" t="s">
        <v>323</v>
      </c>
      <c r="S51" s="223"/>
      <c r="T51" s="145"/>
    </row>
    <row r="52" spans="1:20">
      <c r="A52" s="167">
        <v>738</v>
      </c>
      <c r="B52" s="144" t="s">
        <v>98</v>
      </c>
      <c r="C52" s="156" t="s">
        <v>281</v>
      </c>
      <c r="D52" s="156">
        <v>2</v>
      </c>
      <c r="E52" s="156">
        <v>104</v>
      </c>
      <c r="F52" s="156">
        <v>247.37</v>
      </c>
      <c r="G52" s="156" t="s">
        <v>21</v>
      </c>
      <c r="H52" s="643">
        <v>50.081329345703125</v>
      </c>
      <c r="I52" s="57">
        <v>-1.26</v>
      </c>
      <c r="J52" s="450">
        <v>-1.59</v>
      </c>
      <c r="K52" s="530">
        <f t="shared" si="1"/>
        <v>14.578601000000001</v>
      </c>
      <c r="L52" s="228" t="s">
        <v>291</v>
      </c>
      <c r="M52" s="317" t="s">
        <v>74</v>
      </c>
      <c r="N52" s="317" t="s">
        <v>315</v>
      </c>
      <c r="O52" s="307" t="s">
        <v>35</v>
      </c>
      <c r="P52" s="314" t="s">
        <v>91</v>
      </c>
      <c r="Q52" s="501" t="s">
        <v>295</v>
      </c>
      <c r="R52" s="315" t="s">
        <v>323</v>
      </c>
      <c r="S52" s="223"/>
      <c r="T52" s="145"/>
    </row>
    <row r="53" spans="1:20">
      <c r="A53" s="167">
        <v>738</v>
      </c>
      <c r="B53" s="144" t="s">
        <v>98</v>
      </c>
      <c r="C53" s="156" t="s">
        <v>281</v>
      </c>
      <c r="D53" s="156">
        <v>1</v>
      </c>
      <c r="E53" s="156">
        <v>145</v>
      </c>
      <c r="F53" s="156">
        <v>246.25</v>
      </c>
      <c r="G53" s="156" t="s">
        <v>21</v>
      </c>
      <c r="H53" s="643">
        <v>50.027858734130859</v>
      </c>
      <c r="I53" s="57">
        <v>-0.81</v>
      </c>
      <c r="J53" s="450">
        <v>-1.59</v>
      </c>
      <c r="K53" s="530">
        <f t="shared" si="1"/>
        <v>12.535556000000001</v>
      </c>
      <c r="L53" s="228" t="s">
        <v>301</v>
      </c>
      <c r="M53" s="317" t="s">
        <v>74</v>
      </c>
      <c r="N53" s="317" t="s">
        <v>316</v>
      </c>
      <c r="O53" s="307" t="s">
        <v>35</v>
      </c>
      <c r="P53" s="314" t="s">
        <v>91</v>
      </c>
      <c r="Q53" s="501" t="s">
        <v>295</v>
      </c>
      <c r="R53" s="315" t="s">
        <v>323</v>
      </c>
      <c r="S53" s="223"/>
      <c r="T53" s="145"/>
    </row>
    <row r="54" spans="1:20">
      <c r="A54" s="167">
        <v>738</v>
      </c>
      <c r="B54" s="144" t="s">
        <v>98</v>
      </c>
      <c r="C54" s="156" t="s">
        <v>281</v>
      </c>
      <c r="D54" s="156">
        <v>2</v>
      </c>
      <c r="E54" s="156">
        <v>104</v>
      </c>
      <c r="F54" s="156">
        <v>247.37</v>
      </c>
      <c r="G54" s="156" t="s">
        <v>21</v>
      </c>
      <c r="H54" s="643">
        <v>50.081329345703125</v>
      </c>
      <c r="I54" s="57">
        <v>-0.7</v>
      </c>
      <c r="J54" s="450">
        <v>-1.59</v>
      </c>
      <c r="K54" s="530">
        <f t="shared" si="1"/>
        <v>12.041689000000002</v>
      </c>
      <c r="L54" s="228" t="s">
        <v>301</v>
      </c>
      <c r="M54" s="317" t="s">
        <v>74</v>
      </c>
      <c r="N54" s="317" t="s">
        <v>316</v>
      </c>
      <c r="O54" s="307" t="s">
        <v>35</v>
      </c>
      <c r="P54" s="314" t="s">
        <v>91</v>
      </c>
      <c r="Q54" s="501" t="s">
        <v>295</v>
      </c>
      <c r="R54" s="315" t="s">
        <v>323</v>
      </c>
      <c r="S54" s="223"/>
      <c r="T54" s="145"/>
    </row>
    <row r="55" spans="1:20">
      <c r="A55" s="167">
        <v>738</v>
      </c>
      <c r="B55" s="144" t="s">
        <v>98</v>
      </c>
      <c r="C55" s="156" t="s">
        <v>285</v>
      </c>
      <c r="D55" s="156">
        <v>1</v>
      </c>
      <c r="E55" s="156">
        <v>132</v>
      </c>
      <c r="F55" s="156">
        <v>255.72</v>
      </c>
      <c r="G55" s="156" t="s">
        <v>21</v>
      </c>
      <c r="H55" s="643">
        <v>50.479984283447266</v>
      </c>
      <c r="I55" s="57">
        <v>-1.01</v>
      </c>
      <c r="J55" s="450">
        <v>-1.59</v>
      </c>
      <c r="K55" s="530">
        <f t="shared" si="1"/>
        <v>13.439076000000002</v>
      </c>
      <c r="L55" s="228" t="s">
        <v>301</v>
      </c>
      <c r="M55" s="317" t="s">
        <v>74</v>
      </c>
      <c r="N55" s="317" t="s">
        <v>316</v>
      </c>
      <c r="O55" s="307" t="s">
        <v>35</v>
      </c>
      <c r="P55" s="314" t="s">
        <v>91</v>
      </c>
      <c r="Q55" s="501" t="s">
        <v>295</v>
      </c>
      <c r="R55" s="315" t="s">
        <v>323</v>
      </c>
      <c r="S55" s="223"/>
      <c r="T55" s="145"/>
    </row>
    <row r="56" spans="1:20">
      <c r="A56" s="167">
        <v>738</v>
      </c>
      <c r="B56" s="144" t="s">
        <v>98</v>
      </c>
      <c r="C56" s="156" t="s">
        <v>287</v>
      </c>
      <c r="D56" s="156">
        <v>1</v>
      </c>
      <c r="E56" s="156">
        <v>26</v>
      </c>
      <c r="F56" s="156">
        <v>264.37</v>
      </c>
      <c r="G56" s="156"/>
      <c r="H56" s="643">
        <v>53.940032958984375</v>
      </c>
      <c r="I56" s="57">
        <v>-1.29</v>
      </c>
      <c r="J56" s="450">
        <v>-1.59</v>
      </c>
      <c r="K56" s="491">
        <f t="shared" si="1"/>
        <v>14.716100000000003</v>
      </c>
      <c r="L56" s="228" t="s">
        <v>301</v>
      </c>
      <c r="M56" s="317" t="s">
        <v>74</v>
      </c>
      <c r="N56" s="317" t="s">
        <v>316</v>
      </c>
      <c r="O56" s="307" t="s">
        <v>35</v>
      </c>
      <c r="P56" s="314" t="s">
        <v>91</v>
      </c>
      <c r="Q56" s="501" t="s">
        <v>295</v>
      </c>
      <c r="R56" s="315" t="s">
        <v>323</v>
      </c>
      <c r="S56" s="223"/>
      <c r="T56" s="145"/>
    </row>
    <row r="57" spans="1:20">
      <c r="A57" s="167">
        <v>738</v>
      </c>
      <c r="B57" s="144" t="s">
        <v>98</v>
      </c>
      <c r="C57" s="156" t="s">
        <v>285</v>
      </c>
      <c r="D57" s="156">
        <v>1</v>
      </c>
      <c r="E57" s="156">
        <v>132</v>
      </c>
      <c r="F57" s="156">
        <v>255.72</v>
      </c>
      <c r="G57" s="156" t="s">
        <v>21</v>
      </c>
      <c r="H57" s="643">
        <v>50.479984283447266</v>
      </c>
      <c r="I57" s="57">
        <v>-1</v>
      </c>
      <c r="J57" s="450">
        <v>-1.59</v>
      </c>
      <c r="K57" s="530">
        <f t="shared" si="1"/>
        <v>13.393729</v>
      </c>
      <c r="L57" s="228" t="s">
        <v>305</v>
      </c>
      <c r="M57" s="317" t="s">
        <v>74</v>
      </c>
      <c r="N57" s="317" t="s">
        <v>317</v>
      </c>
      <c r="O57" s="307" t="s">
        <v>35</v>
      </c>
      <c r="P57" s="314" t="s">
        <v>91</v>
      </c>
      <c r="Q57" s="501" t="s">
        <v>295</v>
      </c>
      <c r="R57" s="315" t="s">
        <v>323</v>
      </c>
      <c r="S57" s="223"/>
      <c r="T57" s="145"/>
    </row>
    <row r="58" spans="1:20">
      <c r="A58" s="167">
        <v>738</v>
      </c>
      <c r="B58" s="144" t="s">
        <v>98</v>
      </c>
      <c r="C58" s="156" t="s">
        <v>287</v>
      </c>
      <c r="D58" s="156">
        <v>1</v>
      </c>
      <c r="E58" s="156">
        <v>26</v>
      </c>
      <c r="F58" s="156">
        <v>264.37</v>
      </c>
      <c r="G58" s="156"/>
      <c r="H58" s="643">
        <v>53.940032958984375</v>
      </c>
      <c r="I58" s="57">
        <v>-0.91</v>
      </c>
      <c r="J58" s="450">
        <v>-1.59</v>
      </c>
      <c r="K58" s="491">
        <f t="shared" si="1"/>
        <v>12.986416</v>
      </c>
      <c r="L58" s="228" t="s">
        <v>305</v>
      </c>
      <c r="M58" s="317" t="s">
        <v>74</v>
      </c>
      <c r="N58" s="317" t="s">
        <v>317</v>
      </c>
      <c r="O58" s="307" t="s">
        <v>35</v>
      </c>
      <c r="P58" s="314" t="s">
        <v>91</v>
      </c>
      <c r="Q58" s="501" t="s">
        <v>295</v>
      </c>
      <c r="R58" s="315" t="s">
        <v>323</v>
      </c>
      <c r="S58" s="223"/>
      <c r="T58" s="145"/>
    </row>
    <row r="59" spans="1:20">
      <c r="A59" s="167">
        <v>738</v>
      </c>
      <c r="B59" s="144" t="s">
        <v>98</v>
      </c>
      <c r="C59" s="156" t="s">
        <v>281</v>
      </c>
      <c r="D59" s="156">
        <v>1</v>
      </c>
      <c r="E59" s="156">
        <v>145</v>
      </c>
      <c r="F59" s="156">
        <v>246.25</v>
      </c>
      <c r="G59" s="156" t="s">
        <v>21</v>
      </c>
      <c r="H59" s="643">
        <v>50.027858734130859</v>
      </c>
      <c r="I59" s="57">
        <v>-0.56999999999999995</v>
      </c>
      <c r="J59" s="450">
        <v>-1.59</v>
      </c>
      <c r="K59" s="491">
        <f t="shared" si="1"/>
        <v>11.460836</v>
      </c>
      <c r="L59" s="228" t="s">
        <v>307</v>
      </c>
      <c r="M59" s="317" t="s">
        <v>74</v>
      </c>
      <c r="N59" s="317" t="s">
        <v>318</v>
      </c>
      <c r="O59" s="307" t="s">
        <v>44</v>
      </c>
      <c r="P59" s="314" t="s">
        <v>91</v>
      </c>
      <c r="Q59" s="501" t="s">
        <v>295</v>
      </c>
      <c r="R59" s="315" t="s">
        <v>323</v>
      </c>
      <c r="S59" s="223"/>
      <c r="T59" s="145"/>
    </row>
    <row r="60" spans="1:20">
      <c r="A60" s="167">
        <v>738</v>
      </c>
      <c r="B60" s="144" t="s">
        <v>98</v>
      </c>
      <c r="C60" s="156" t="s">
        <v>281</v>
      </c>
      <c r="D60" s="156">
        <v>2</v>
      </c>
      <c r="E60" s="156">
        <v>104</v>
      </c>
      <c r="F60" s="156">
        <v>247.37</v>
      </c>
      <c r="G60" s="156" t="s">
        <v>21</v>
      </c>
      <c r="H60" s="643">
        <v>50.081329345703125</v>
      </c>
      <c r="I60" s="57">
        <v>-0.68</v>
      </c>
      <c r="J60" s="450">
        <v>-1.59</v>
      </c>
      <c r="K60" s="491">
        <f t="shared" si="1"/>
        <v>11.952129000000001</v>
      </c>
      <c r="L60" s="228" t="s">
        <v>307</v>
      </c>
      <c r="M60" s="317" t="s">
        <v>74</v>
      </c>
      <c r="N60" s="317" t="s">
        <v>318</v>
      </c>
      <c r="O60" s="307" t="s">
        <v>44</v>
      </c>
      <c r="P60" s="314" t="s">
        <v>91</v>
      </c>
      <c r="Q60" s="501" t="s">
        <v>295</v>
      </c>
      <c r="R60" s="315" t="s">
        <v>323</v>
      </c>
      <c r="S60" s="223"/>
      <c r="T60" s="145"/>
    </row>
    <row r="61" spans="1:20">
      <c r="A61" s="167">
        <v>738</v>
      </c>
      <c r="B61" s="144" t="s">
        <v>98</v>
      </c>
      <c r="C61" s="156" t="s">
        <v>281</v>
      </c>
      <c r="D61" s="156">
        <v>1</v>
      </c>
      <c r="E61" s="156">
        <v>145</v>
      </c>
      <c r="F61" s="156">
        <v>246.25</v>
      </c>
      <c r="G61" s="156" t="s">
        <v>21</v>
      </c>
      <c r="H61" s="643">
        <v>50.027858734130859</v>
      </c>
      <c r="I61" s="57">
        <v>-0.54</v>
      </c>
      <c r="J61" s="450">
        <v>-1.59</v>
      </c>
      <c r="K61" s="491">
        <f t="shared" si="1"/>
        <v>11.327225000000002</v>
      </c>
      <c r="L61" s="228" t="s">
        <v>308</v>
      </c>
      <c r="M61" s="317" t="s">
        <v>74</v>
      </c>
      <c r="N61" s="317" t="s">
        <v>322</v>
      </c>
      <c r="O61" s="307" t="s">
        <v>44</v>
      </c>
      <c r="P61" s="314" t="s">
        <v>91</v>
      </c>
      <c r="Q61" s="501" t="s">
        <v>295</v>
      </c>
      <c r="R61" s="315" t="s">
        <v>323</v>
      </c>
      <c r="S61" s="223"/>
      <c r="T61" s="145"/>
    </row>
    <row r="62" spans="1:20">
      <c r="A62" s="167">
        <v>738</v>
      </c>
      <c r="B62" s="144" t="s">
        <v>98</v>
      </c>
      <c r="C62" s="156" t="s">
        <v>281</v>
      </c>
      <c r="D62" s="156">
        <v>1</v>
      </c>
      <c r="E62" s="156">
        <v>145</v>
      </c>
      <c r="F62" s="156">
        <v>246.25</v>
      </c>
      <c r="G62" s="156" t="s">
        <v>21</v>
      </c>
      <c r="H62" s="643">
        <v>50.027858734130859</v>
      </c>
      <c r="I62" s="57">
        <v>-0.01</v>
      </c>
      <c r="J62" s="450">
        <v>-1.59</v>
      </c>
      <c r="K62" s="491">
        <f t="shared" si="1"/>
        <v>8.9934760000000029</v>
      </c>
      <c r="L62" s="228" t="s">
        <v>302</v>
      </c>
      <c r="M62" s="317" t="s">
        <v>74</v>
      </c>
      <c r="N62" s="317" t="s">
        <v>321</v>
      </c>
      <c r="O62" s="307" t="s">
        <v>44</v>
      </c>
      <c r="P62" s="314" t="s">
        <v>91</v>
      </c>
      <c r="Q62" s="501" t="s">
        <v>295</v>
      </c>
      <c r="R62" s="315" t="s">
        <v>323</v>
      </c>
      <c r="S62" s="223"/>
      <c r="T62" s="145"/>
    </row>
    <row r="63" spans="1:20">
      <c r="A63" s="167">
        <v>738</v>
      </c>
      <c r="B63" s="144" t="s">
        <v>98</v>
      </c>
      <c r="C63" s="156" t="s">
        <v>281</v>
      </c>
      <c r="D63" s="156">
        <v>2</v>
      </c>
      <c r="E63" s="156">
        <v>104</v>
      </c>
      <c r="F63" s="156">
        <v>247.37</v>
      </c>
      <c r="G63" s="156" t="s">
        <v>21</v>
      </c>
      <c r="H63" s="643">
        <v>50.081329345703125</v>
      </c>
      <c r="I63" s="57">
        <v>-0.31</v>
      </c>
      <c r="J63" s="450">
        <v>-1.59</v>
      </c>
      <c r="K63" s="491">
        <f t="shared" si="1"/>
        <v>10.308256000000002</v>
      </c>
      <c r="L63" s="228" t="s">
        <v>302</v>
      </c>
      <c r="M63" s="317" t="s">
        <v>74</v>
      </c>
      <c r="N63" s="317" t="s">
        <v>321</v>
      </c>
      <c r="O63" s="307" t="s">
        <v>44</v>
      </c>
      <c r="P63" s="314" t="s">
        <v>91</v>
      </c>
      <c r="Q63" s="501" t="s">
        <v>295</v>
      </c>
      <c r="R63" s="315" t="s">
        <v>323</v>
      </c>
      <c r="S63" s="223"/>
      <c r="T63" s="145"/>
    </row>
    <row r="64" spans="1:20">
      <c r="A64" s="167">
        <v>738</v>
      </c>
      <c r="B64" s="144" t="s">
        <v>98</v>
      </c>
      <c r="C64" s="156" t="s">
        <v>281</v>
      </c>
      <c r="D64" s="156">
        <v>1</v>
      </c>
      <c r="E64" s="156">
        <v>145</v>
      </c>
      <c r="F64" s="156">
        <v>246.25</v>
      </c>
      <c r="G64" s="156" t="s">
        <v>21</v>
      </c>
      <c r="H64" s="643">
        <v>50.027858734130859</v>
      </c>
      <c r="I64" s="57">
        <v>-0.11</v>
      </c>
      <c r="J64" s="450">
        <v>-1.59</v>
      </c>
      <c r="K64" s="491">
        <f t="shared" ref="K64:K68" si="2">16.1-4.64*($I64-J64)+0.09*($I64-J64)^2</f>
        <v>9.4299360000000014</v>
      </c>
      <c r="L64" s="228" t="s">
        <v>304</v>
      </c>
      <c r="M64" s="317" t="s">
        <v>74</v>
      </c>
      <c r="N64" s="317" t="s">
        <v>320</v>
      </c>
      <c r="O64" s="307" t="s">
        <v>44</v>
      </c>
      <c r="P64" s="314" t="s">
        <v>91</v>
      </c>
      <c r="Q64" s="501" t="s">
        <v>295</v>
      </c>
      <c r="R64" s="315" t="s">
        <v>323</v>
      </c>
      <c r="S64" s="223"/>
      <c r="T64" s="145"/>
    </row>
    <row r="65" spans="1:20">
      <c r="A65" s="167">
        <v>738</v>
      </c>
      <c r="B65" s="144" t="s">
        <v>98</v>
      </c>
      <c r="C65" s="156" t="s">
        <v>281</v>
      </c>
      <c r="D65" s="156">
        <v>2</v>
      </c>
      <c r="E65" s="156">
        <v>104</v>
      </c>
      <c r="F65" s="156">
        <v>247.37</v>
      </c>
      <c r="G65" s="156" t="s">
        <v>21</v>
      </c>
      <c r="H65" s="643">
        <v>50.081329345703125</v>
      </c>
      <c r="I65" s="57">
        <v>-0.24</v>
      </c>
      <c r="J65" s="450">
        <v>-1.59</v>
      </c>
      <c r="K65" s="491">
        <f t="shared" si="2"/>
        <v>10.000025000000003</v>
      </c>
      <c r="L65" s="228" t="s">
        <v>304</v>
      </c>
      <c r="M65" s="317" t="s">
        <v>74</v>
      </c>
      <c r="N65" s="317" t="s">
        <v>320</v>
      </c>
      <c r="O65" s="307" t="s">
        <v>44</v>
      </c>
      <c r="P65" s="314" t="s">
        <v>91</v>
      </c>
      <c r="Q65" s="501" t="s">
        <v>295</v>
      </c>
      <c r="R65" s="315" t="s">
        <v>323</v>
      </c>
      <c r="S65" s="223"/>
      <c r="T65" s="145"/>
    </row>
    <row r="66" spans="1:20">
      <c r="A66" s="167">
        <v>738</v>
      </c>
      <c r="B66" s="144" t="s">
        <v>98</v>
      </c>
      <c r="C66" s="156" t="s">
        <v>285</v>
      </c>
      <c r="D66" s="156">
        <v>1</v>
      </c>
      <c r="E66" s="156">
        <v>132</v>
      </c>
      <c r="F66" s="156">
        <v>255.72</v>
      </c>
      <c r="G66" s="156" t="s">
        <v>21</v>
      </c>
      <c r="H66" s="643">
        <v>50.479984283447266</v>
      </c>
      <c r="I66" s="57">
        <v>-0.38</v>
      </c>
      <c r="J66" s="450">
        <v>-1.59</v>
      </c>
      <c r="K66" s="491">
        <f t="shared" si="2"/>
        <v>10.617369000000002</v>
      </c>
      <c r="L66" s="228" t="s">
        <v>304</v>
      </c>
      <c r="M66" s="317" t="s">
        <v>74</v>
      </c>
      <c r="N66" s="317" t="s">
        <v>320</v>
      </c>
      <c r="O66" s="307" t="s">
        <v>44</v>
      </c>
      <c r="P66" s="314" t="s">
        <v>91</v>
      </c>
      <c r="Q66" s="501" t="s">
        <v>295</v>
      </c>
      <c r="R66" s="315" t="s">
        <v>323</v>
      </c>
      <c r="S66" s="223"/>
      <c r="T66" s="145"/>
    </row>
    <row r="67" spans="1:20">
      <c r="A67" s="167">
        <v>738</v>
      </c>
      <c r="B67" s="144" t="s">
        <v>98</v>
      </c>
      <c r="C67" s="156" t="s">
        <v>281</v>
      </c>
      <c r="D67" s="156">
        <v>1</v>
      </c>
      <c r="E67" s="156">
        <v>145</v>
      </c>
      <c r="F67" s="156">
        <v>246.25</v>
      </c>
      <c r="G67" s="156" t="s">
        <v>21</v>
      </c>
      <c r="H67" s="643">
        <v>50.027858734130859</v>
      </c>
      <c r="I67" s="260">
        <v>-0.32</v>
      </c>
      <c r="J67" s="450">
        <v>-1.59</v>
      </c>
      <c r="K67" s="491">
        <f t="shared" si="2"/>
        <v>10.352361000000002</v>
      </c>
      <c r="L67" s="228" t="s">
        <v>303</v>
      </c>
      <c r="M67" s="317" t="s">
        <v>74</v>
      </c>
      <c r="N67" s="317" t="s">
        <v>319</v>
      </c>
      <c r="O67" s="307" t="s">
        <v>44</v>
      </c>
      <c r="P67" s="314" t="s">
        <v>91</v>
      </c>
      <c r="Q67" s="501" t="s">
        <v>295</v>
      </c>
      <c r="R67" s="315" t="s">
        <v>323</v>
      </c>
      <c r="S67" s="223"/>
      <c r="T67" s="145"/>
    </row>
    <row r="68" spans="1:20">
      <c r="A68" s="167">
        <v>738</v>
      </c>
      <c r="B68" s="144" t="s">
        <v>98</v>
      </c>
      <c r="C68" s="156" t="s">
        <v>281</v>
      </c>
      <c r="D68" s="156">
        <v>2</v>
      </c>
      <c r="E68" s="156">
        <v>104</v>
      </c>
      <c r="F68" s="156">
        <v>247.37</v>
      </c>
      <c r="G68" s="156" t="s">
        <v>21</v>
      </c>
      <c r="H68" s="643">
        <v>50.081329345703125</v>
      </c>
      <c r="I68" s="260">
        <v>-0.35</v>
      </c>
      <c r="J68" s="450">
        <v>-1.59</v>
      </c>
      <c r="K68" s="491">
        <f t="shared" si="2"/>
        <v>10.484784000000001</v>
      </c>
      <c r="L68" s="228" t="s">
        <v>303</v>
      </c>
      <c r="M68" s="317" t="s">
        <v>74</v>
      </c>
      <c r="N68" s="317" t="s">
        <v>319</v>
      </c>
      <c r="O68" s="307" t="s">
        <v>44</v>
      </c>
      <c r="P68" s="314" t="s">
        <v>91</v>
      </c>
      <c r="Q68" s="501" t="s">
        <v>295</v>
      </c>
      <c r="R68" s="315" t="s">
        <v>323</v>
      </c>
      <c r="S68" s="223"/>
      <c r="T68" s="145"/>
    </row>
    <row r="69" spans="1:20" ht="16.5" thickBot="1">
      <c r="A69" s="506"/>
      <c r="B69" s="507"/>
      <c r="C69" s="255"/>
      <c r="D69" s="255"/>
      <c r="E69" s="255"/>
      <c r="F69" s="255"/>
      <c r="G69" s="255"/>
      <c r="H69" s="255"/>
      <c r="I69" s="257"/>
      <c r="J69" s="255"/>
      <c r="K69" s="609"/>
      <c r="L69" s="255"/>
      <c r="M69" s="255"/>
      <c r="N69" s="255"/>
      <c r="O69" s="256"/>
      <c r="P69" s="254"/>
      <c r="Q69" s="256"/>
      <c r="R69" s="258"/>
      <c r="S69" s="258"/>
      <c r="T69" s="145"/>
    </row>
    <row r="70" spans="1:20">
      <c r="C70" s="156"/>
      <c r="D70" s="156"/>
      <c r="G70" s="156"/>
      <c r="H70" s="156"/>
      <c r="I70" s="156"/>
      <c r="J70" s="156"/>
      <c r="K70" s="156"/>
      <c r="L70" s="156"/>
      <c r="M70" s="156"/>
      <c r="N70" s="156"/>
      <c r="O70" s="156"/>
      <c r="P70" s="156"/>
      <c r="Q70" s="156"/>
    </row>
    <row r="71" spans="1:20" ht="16.5" thickBot="1">
      <c r="C71" s="156"/>
      <c r="D71" s="156"/>
      <c r="G71" s="156"/>
      <c r="H71" s="156"/>
      <c r="I71" s="156"/>
      <c r="J71" s="156"/>
      <c r="K71" s="156"/>
      <c r="L71" s="156"/>
      <c r="M71" s="156"/>
      <c r="N71" s="156"/>
      <c r="O71" s="156"/>
      <c r="P71" s="156"/>
      <c r="Q71" s="156"/>
    </row>
    <row r="72" spans="1:20" ht="16.5" thickBot="1">
      <c r="C72" s="156"/>
      <c r="D72" s="156"/>
      <c r="G72" s="729"/>
      <c r="H72" s="730" t="s">
        <v>607</v>
      </c>
      <c r="I72" s="730" t="s">
        <v>605</v>
      </c>
      <c r="J72" s="731">
        <v>0.05</v>
      </c>
      <c r="K72" s="730" t="s">
        <v>602</v>
      </c>
      <c r="L72" s="731">
        <v>0.95</v>
      </c>
      <c r="M72" s="732" t="s">
        <v>606</v>
      </c>
      <c r="N72" s="156"/>
      <c r="O72" s="156"/>
      <c r="P72" s="156"/>
      <c r="Q72" s="156"/>
    </row>
    <row r="73" spans="1:20">
      <c r="C73" s="156"/>
      <c r="D73" s="156"/>
      <c r="G73" s="673" t="s">
        <v>21</v>
      </c>
      <c r="H73" s="674">
        <f>COUNT($K14:$K18,$K24:$K25,$K39,$K41,$K43:$K45,$K46:$K47,$K48:$K49,$K50:$K51,$K52,$K53:$K55,$K57)</f>
        <v>23</v>
      </c>
      <c r="I73" s="675">
        <f>MIN($K14:$K18,$K24:$K25,$K39,$K41,$K43:$K45,$K46:$K47,$K48:$K49,$K50:$K51,$K52,$K53:$K55,$K57)</f>
        <v>6.1579840000000008</v>
      </c>
      <c r="J73" s="675">
        <f>_xlfn.PERCENTILE.INC(($K14:$K18,$K24:$K25,$K39,$K41,$K43:$K45,$K46:$K47,$K48:$K49,$K50:$K51,$K52,$K53:$K55,$K57),0.05)</f>
        <v>10.4804329</v>
      </c>
      <c r="K73" s="675">
        <f>AVERAGE($K14:$K18,$K24:$K25,$K39,$K41,$K43:$K45,$K46:$K47,$K48:$K49,$K50:$K51,$K52,$K53:$K55,$K57)</f>
        <v>12.288145260869568</v>
      </c>
      <c r="L73" s="675">
        <f>_xlfn.PERCENTILE.INC(($K14:$K18,$K24:$K25,$K39,$K41,$K43:$K45,$K46:$K47,$K48:$K49,$K50:$K51,$K52,$K53:$K55,$K57),0.95)</f>
        <v>14.016556099999999</v>
      </c>
      <c r="M73" s="676">
        <f>MAX($K14:$K18,$K24:$K25,$K39,$K41,$K43:$K45,$K46:$K47,$K48:$K49,$K50:$K51,$K52,$K53:$K55,$K57)</f>
        <v>14.578601000000001</v>
      </c>
      <c r="N73" s="156"/>
      <c r="O73" s="156"/>
      <c r="P73" s="156"/>
      <c r="Q73" s="156"/>
    </row>
    <row r="74" spans="1:20">
      <c r="C74" s="156"/>
      <c r="D74" s="156"/>
      <c r="G74" s="673" t="s">
        <v>20</v>
      </c>
      <c r="H74" s="674"/>
      <c r="I74" s="675"/>
      <c r="J74" s="675"/>
      <c r="K74" s="675"/>
      <c r="L74" s="675"/>
      <c r="M74" s="676"/>
      <c r="N74" s="156"/>
      <c r="O74" s="156"/>
      <c r="P74" s="156"/>
      <c r="Q74" s="156"/>
    </row>
    <row r="75" spans="1:20" ht="16.5" thickBot="1">
      <c r="C75" s="156"/>
      <c r="D75" s="156"/>
      <c r="G75" s="677" t="s">
        <v>601</v>
      </c>
      <c r="H75" s="678"/>
      <c r="I75" s="679"/>
      <c r="J75" s="679"/>
      <c r="K75" s="679"/>
      <c r="L75" s="679"/>
      <c r="M75" s="680"/>
      <c r="N75" s="156"/>
      <c r="O75" s="156"/>
      <c r="P75" s="156"/>
      <c r="Q75" s="156"/>
    </row>
    <row r="76" spans="1:20">
      <c r="C76" s="156"/>
      <c r="D76" s="156"/>
      <c r="G76" s="156"/>
      <c r="H76" s="156"/>
      <c r="I76" s="156"/>
      <c r="J76" s="156"/>
      <c r="K76" s="156"/>
      <c r="L76" s="156"/>
      <c r="M76" s="156"/>
      <c r="N76" s="156"/>
      <c r="O76" s="156"/>
      <c r="P76" s="156"/>
      <c r="Q76" s="156"/>
    </row>
    <row r="77" spans="1:20">
      <c r="C77" s="156"/>
      <c r="D77" s="156"/>
      <c r="G77" s="156"/>
      <c r="H77" s="156"/>
      <c r="I77" s="156"/>
      <c r="J77" s="156"/>
      <c r="K77" s="156"/>
      <c r="L77" s="156"/>
      <c r="M77" s="156"/>
      <c r="N77" s="156"/>
      <c r="O77" s="156"/>
      <c r="P77" s="156"/>
      <c r="Q77" s="156"/>
    </row>
    <row r="78" spans="1:20">
      <c r="C78" s="156"/>
      <c r="D78" s="156"/>
      <c r="G78" s="156"/>
      <c r="H78" s="156"/>
      <c r="I78" s="156"/>
      <c r="J78" s="156"/>
      <c r="K78" s="156"/>
      <c r="L78" s="156"/>
      <c r="M78" s="156"/>
      <c r="N78" s="156"/>
      <c r="O78" s="156"/>
      <c r="P78" s="156"/>
      <c r="Q78" s="156"/>
    </row>
    <row r="79" spans="1:20">
      <c r="C79" s="156"/>
      <c r="D79" s="156"/>
      <c r="G79" s="156"/>
      <c r="H79" s="156"/>
      <c r="I79" s="156"/>
      <c r="J79" s="156"/>
      <c r="K79" s="156"/>
      <c r="L79" s="156"/>
      <c r="M79" s="156"/>
      <c r="N79" s="156"/>
      <c r="O79" s="156"/>
      <c r="P79" s="156"/>
      <c r="Q79" s="156"/>
    </row>
    <row r="80" spans="1:20">
      <c r="C80" s="156"/>
      <c r="D80" s="156"/>
      <c r="G80" s="156"/>
      <c r="H80" s="156"/>
      <c r="I80" s="156"/>
      <c r="J80" s="156"/>
      <c r="K80" s="156"/>
      <c r="L80" s="156"/>
      <c r="M80" s="156"/>
      <c r="N80" s="156"/>
      <c r="O80" s="156"/>
      <c r="P80" s="156"/>
      <c r="Q80" s="156"/>
    </row>
    <row r="81" spans="3:17">
      <c r="C81" s="156"/>
      <c r="D81" s="156"/>
      <c r="G81" s="156"/>
      <c r="H81" s="156"/>
      <c r="I81" s="156"/>
      <c r="J81" s="156"/>
      <c r="K81" s="156"/>
      <c r="L81" s="156"/>
      <c r="M81" s="156"/>
      <c r="N81" s="156"/>
      <c r="O81" s="156"/>
      <c r="P81" s="156"/>
      <c r="Q81" s="156"/>
    </row>
    <row r="82" spans="3:17">
      <c r="C82" s="156"/>
      <c r="D82" s="156"/>
      <c r="G82" s="156"/>
      <c r="H82" s="156"/>
      <c r="I82" s="156"/>
      <c r="J82" s="156"/>
      <c r="K82" s="156"/>
      <c r="L82" s="156"/>
      <c r="M82" s="156"/>
      <c r="N82" s="156"/>
      <c r="O82" s="156"/>
      <c r="P82" s="156"/>
      <c r="Q82" s="156"/>
    </row>
    <row r="83" spans="3:17">
      <c r="C83" s="156"/>
      <c r="D83" s="156"/>
      <c r="G83" s="156"/>
      <c r="H83" s="156"/>
      <c r="I83" s="156"/>
      <c r="J83" s="156"/>
      <c r="K83" s="156"/>
      <c r="L83" s="156"/>
      <c r="M83" s="156"/>
      <c r="N83" s="156"/>
      <c r="O83" s="156"/>
      <c r="P83" s="156"/>
      <c r="Q83" s="156"/>
    </row>
    <row r="84" spans="3:17">
      <c r="C84" s="156"/>
      <c r="D84" s="156"/>
      <c r="G84" s="156"/>
      <c r="H84" s="156"/>
      <c r="I84" s="156"/>
      <c r="J84" s="156"/>
      <c r="K84" s="156"/>
      <c r="L84" s="156"/>
      <c r="M84" s="156"/>
      <c r="N84" s="156"/>
      <c r="O84" s="156"/>
      <c r="P84" s="156"/>
      <c r="Q84" s="156"/>
    </row>
    <row r="85" spans="3:17">
      <c r="C85" s="156"/>
      <c r="D85" s="156"/>
      <c r="G85" s="156"/>
      <c r="H85" s="156"/>
      <c r="I85" s="156"/>
      <c r="J85" s="156"/>
      <c r="K85" s="156"/>
      <c r="L85" s="156"/>
      <c r="M85" s="156"/>
      <c r="N85" s="156"/>
      <c r="O85" s="156"/>
      <c r="P85" s="156"/>
      <c r="Q85" s="156"/>
    </row>
    <row r="86" spans="3:17">
      <c r="C86" s="156"/>
      <c r="D86" s="156"/>
      <c r="G86" s="156"/>
      <c r="H86" s="156"/>
      <c r="I86" s="156"/>
      <c r="J86" s="156"/>
      <c r="K86" s="156"/>
      <c r="L86" s="156"/>
      <c r="M86" s="156"/>
      <c r="N86" s="156"/>
      <c r="O86" s="156"/>
      <c r="P86" s="156"/>
      <c r="Q86" s="156"/>
    </row>
    <row r="87" spans="3:17">
      <c r="C87" s="156"/>
      <c r="D87" s="156"/>
      <c r="G87" s="156"/>
      <c r="H87" s="156"/>
      <c r="I87" s="156"/>
      <c r="J87" s="156"/>
      <c r="K87" s="156"/>
      <c r="L87" s="156"/>
      <c r="M87" s="156"/>
      <c r="N87" s="156"/>
      <c r="O87" s="156"/>
      <c r="P87" s="156"/>
      <c r="Q87" s="156"/>
    </row>
    <row r="88" spans="3:17">
      <c r="C88" s="156"/>
      <c r="D88" s="156"/>
      <c r="G88" s="156"/>
      <c r="H88" s="156"/>
      <c r="I88" s="156"/>
      <c r="J88" s="156"/>
      <c r="K88" s="156"/>
      <c r="L88" s="156"/>
      <c r="M88" s="156"/>
      <c r="N88" s="156"/>
      <c r="O88" s="156"/>
      <c r="P88" s="156"/>
      <c r="Q88" s="156"/>
    </row>
    <row r="89" spans="3:17">
      <c r="C89" s="156"/>
      <c r="D89" s="156"/>
      <c r="G89" s="156"/>
      <c r="H89" s="156"/>
      <c r="I89" s="156"/>
      <c r="J89" s="156"/>
      <c r="K89" s="156"/>
      <c r="L89" s="156"/>
      <c r="M89" s="156"/>
      <c r="N89" s="156"/>
      <c r="O89" s="156"/>
      <c r="P89" s="156"/>
      <c r="Q89" s="156"/>
    </row>
    <row r="90" spans="3:17">
      <c r="C90" s="156"/>
      <c r="D90" s="156"/>
      <c r="G90" s="156"/>
      <c r="H90" s="156"/>
      <c r="I90" s="156"/>
      <c r="J90" s="156"/>
      <c r="K90" s="156"/>
      <c r="L90" s="156"/>
      <c r="M90" s="156"/>
      <c r="N90" s="156"/>
      <c r="O90" s="156"/>
      <c r="P90" s="156"/>
      <c r="Q90" s="156"/>
    </row>
    <row r="91" spans="3:17">
      <c r="C91" s="156"/>
      <c r="D91" s="156"/>
      <c r="G91" s="156"/>
      <c r="H91" s="156"/>
      <c r="I91" s="156"/>
      <c r="J91" s="156"/>
      <c r="K91" s="156"/>
      <c r="L91" s="156"/>
      <c r="M91" s="156"/>
      <c r="N91" s="156"/>
      <c r="O91" s="156"/>
      <c r="P91" s="156"/>
      <c r="Q91" s="156"/>
    </row>
    <row r="92" spans="3:17">
      <c r="C92" s="156"/>
      <c r="D92" s="156"/>
      <c r="G92" s="156"/>
      <c r="H92" s="156"/>
      <c r="I92" s="156"/>
      <c r="J92" s="156"/>
      <c r="K92" s="156"/>
      <c r="L92" s="156"/>
      <c r="M92" s="156"/>
      <c r="N92" s="156"/>
      <c r="O92" s="156"/>
      <c r="P92" s="156"/>
      <c r="Q92" s="156"/>
    </row>
    <row r="93" spans="3:17">
      <c r="C93" s="156"/>
      <c r="D93" s="156"/>
      <c r="G93" s="156"/>
      <c r="H93" s="156"/>
      <c r="I93" s="156"/>
      <c r="J93" s="156"/>
      <c r="K93" s="156"/>
      <c r="L93" s="156"/>
      <c r="M93" s="156"/>
      <c r="N93" s="156"/>
      <c r="O93" s="156"/>
      <c r="P93" s="156"/>
      <c r="Q93" s="156"/>
    </row>
    <row r="94" spans="3:17">
      <c r="C94" s="156"/>
      <c r="D94" s="156"/>
      <c r="G94" s="156"/>
      <c r="H94" s="156"/>
      <c r="I94" s="156"/>
      <c r="J94" s="156"/>
      <c r="K94" s="156"/>
      <c r="L94" s="156"/>
      <c r="M94" s="156"/>
      <c r="N94" s="156"/>
      <c r="O94" s="156"/>
      <c r="P94" s="156"/>
      <c r="Q94" s="15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S44"/>
  <sheetViews>
    <sheetView zoomScale="70" zoomScaleNormal="70" workbookViewId="0">
      <selection activeCell="B3" sqref="B3"/>
    </sheetView>
  </sheetViews>
  <sheetFormatPr defaultColWidth="10.625" defaultRowHeight="15.75"/>
  <cols>
    <col min="1" max="1" width="15.625" style="11" customWidth="1"/>
    <col min="2" max="2" width="16.125" style="11" bestFit="1" customWidth="1"/>
    <col min="3" max="3" width="30.375" style="11" customWidth="1"/>
    <col min="4" max="6" width="10.625" style="11"/>
    <col min="7" max="7" width="13.375" style="11" bestFit="1" customWidth="1"/>
    <col min="8" max="8" width="10.625" style="11"/>
    <col min="9" max="9" width="13.5" style="11" bestFit="1" customWidth="1"/>
    <col min="10" max="10" width="19.875" style="11" bestFit="1" customWidth="1"/>
    <col min="11" max="11" width="15.625" style="11" customWidth="1"/>
    <col min="12" max="12" width="24.875" style="11" bestFit="1" customWidth="1"/>
    <col min="13" max="13" width="13" style="11" bestFit="1" customWidth="1"/>
    <col min="14" max="14" width="14.625" style="41" bestFit="1" customWidth="1"/>
    <col min="15" max="15" width="11.875" style="41" bestFit="1" customWidth="1"/>
    <col min="16" max="16" width="10.625" style="11"/>
    <col min="17" max="17" width="14.5" style="11" bestFit="1" customWidth="1"/>
    <col min="18" max="18" width="13.625" style="11" bestFit="1" customWidth="1"/>
    <col min="19" max="19" width="111.875" style="11" bestFit="1" customWidth="1"/>
    <col min="20" max="16384" width="10.625" style="11"/>
  </cols>
  <sheetData>
    <row r="1" spans="1:19">
      <c r="A1" s="592" t="s">
        <v>1</v>
      </c>
      <c r="B1" s="22" t="s">
        <v>45</v>
      </c>
      <c r="C1" s="23"/>
    </row>
    <row r="2" spans="1:19">
      <c r="A2" s="592" t="s">
        <v>636</v>
      </c>
      <c r="B2" s="24" t="s">
        <v>646</v>
      </c>
      <c r="C2" s="23"/>
    </row>
    <row r="3" spans="1:19">
      <c r="A3" s="592" t="s">
        <v>0</v>
      </c>
      <c r="B3" s="24" t="s">
        <v>645</v>
      </c>
      <c r="C3" s="23"/>
    </row>
    <row r="4" spans="1:19">
      <c r="A4" s="592" t="s">
        <v>621</v>
      </c>
      <c r="B4" s="44" t="s">
        <v>56</v>
      </c>
      <c r="C4" s="23"/>
    </row>
    <row r="5" spans="1:19">
      <c r="A5" s="592" t="s">
        <v>622</v>
      </c>
      <c r="B5" s="44" t="s">
        <v>57</v>
      </c>
      <c r="C5" s="23"/>
    </row>
    <row r="6" spans="1:19">
      <c r="A6" s="593" t="s">
        <v>50</v>
      </c>
      <c r="B6" s="650">
        <v>-71.3</v>
      </c>
      <c r="C6" s="616"/>
    </row>
    <row r="7" spans="1:19" ht="51.75">
      <c r="A7" s="208" t="s">
        <v>696</v>
      </c>
      <c r="B7" s="797" t="s">
        <v>712</v>
      </c>
      <c r="C7" s="597" t="s">
        <v>714</v>
      </c>
      <c r="D7" s="270"/>
      <c r="E7" s="617"/>
      <c r="F7" s="617"/>
      <c r="G7" s="617"/>
    </row>
    <row r="8" spans="1:19" ht="51">
      <c r="A8" s="592" t="s">
        <v>2</v>
      </c>
      <c r="B8" s="408" t="s">
        <v>41</v>
      </c>
      <c r="C8" s="626" t="s">
        <v>713</v>
      </c>
      <c r="D8" s="69"/>
    </row>
    <row r="9" spans="1:19">
      <c r="A9" s="592" t="s">
        <v>3</v>
      </c>
      <c r="B9" s="659" t="s">
        <v>603</v>
      </c>
      <c r="C9" s="409"/>
      <c r="D9" s="69"/>
    </row>
    <row r="10" spans="1:19">
      <c r="A10" s="592" t="s">
        <v>4</v>
      </c>
      <c r="B10" s="798" t="s">
        <v>42</v>
      </c>
      <c r="C10" s="406" t="s">
        <v>397</v>
      </c>
      <c r="D10" s="69"/>
    </row>
    <row r="11" spans="1:19" ht="16.5" thickBot="1">
      <c r="G11" s="617"/>
      <c r="K11" s="654"/>
    </row>
    <row r="12" spans="1:19" s="618" customFormat="1" ht="45.75" thickBot="1">
      <c r="A12" s="25" t="s">
        <v>5</v>
      </c>
      <c r="B12" s="26" t="s">
        <v>6</v>
      </c>
      <c r="C12" s="26" t="s">
        <v>7</v>
      </c>
      <c r="D12" s="26" t="s">
        <v>8</v>
      </c>
      <c r="E12" s="26" t="s">
        <v>9</v>
      </c>
      <c r="F12" s="26" t="s">
        <v>43</v>
      </c>
      <c r="G12" s="26" t="s">
        <v>31</v>
      </c>
      <c r="H12" s="62" t="s">
        <v>10</v>
      </c>
      <c r="I12" s="651" t="s">
        <v>725</v>
      </c>
      <c r="J12" s="21" t="s">
        <v>664</v>
      </c>
      <c r="K12" s="73" t="s">
        <v>659</v>
      </c>
      <c r="L12" s="27" t="s">
        <v>11</v>
      </c>
      <c r="M12" s="28" t="s">
        <v>12</v>
      </c>
      <c r="N12" s="28" t="s">
        <v>36</v>
      </c>
      <c r="O12" s="29" t="s">
        <v>34</v>
      </c>
      <c r="P12" s="27" t="s">
        <v>13</v>
      </c>
      <c r="Q12" s="29" t="s">
        <v>14</v>
      </c>
      <c r="R12" s="30" t="s">
        <v>15</v>
      </c>
      <c r="S12" s="31" t="s">
        <v>38</v>
      </c>
    </row>
    <row r="13" spans="1:19">
      <c r="A13" s="32"/>
      <c r="B13" s="33"/>
      <c r="C13" s="33"/>
      <c r="D13" s="33"/>
      <c r="E13" s="33"/>
      <c r="F13" s="33"/>
      <c r="G13" s="33"/>
      <c r="H13" s="63"/>
      <c r="I13" s="34"/>
      <c r="J13" s="619"/>
      <c r="K13" s="655"/>
      <c r="L13" s="4"/>
      <c r="M13" s="1"/>
      <c r="N13" s="1"/>
      <c r="O13" s="3"/>
      <c r="P13" s="4"/>
      <c r="Q13" s="3"/>
      <c r="R13" s="34"/>
      <c r="S13" s="13"/>
    </row>
    <row r="14" spans="1:19">
      <c r="A14" s="35">
        <v>689</v>
      </c>
      <c r="B14" s="48" t="s">
        <v>89</v>
      </c>
      <c r="C14" s="48"/>
      <c r="D14" s="48"/>
      <c r="E14" s="620"/>
      <c r="F14" s="647">
        <v>207.29</v>
      </c>
      <c r="G14" s="40" t="s">
        <v>20</v>
      </c>
      <c r="H14" s="652"/>
      <c r="I14" s="648">
        <v>-1.58335</v>
      </c>
      <c r="J14" s="15">
        <v>-1.5490806770324701</v>
      </c>
      <c r="K14" s="492">
        <f t="shared" ref="K14:K37" si="0">16.1-4.64*($I14-J14)+0.09*($I14-J14)^2</f>
        <v>16.259115353354041</v>
      </c>
      <c r="L14" s="6" t="s">
        <v>33</v>
      </c>
      <c r="M14" s="7" t="s">
        <v>16</v>
      </c>
      <c r="N14" s="17" t="s">
        <v>37</v>
      </c>
      <c r="O14" s="18" t="s">
        <v>35</v>
      </c>
      <c r="P14" s="8" t="s">
        <v>91</v>
      </c>
      <c r="Q14" s="9" t="s">
        <v>40</v>
      </c>
      <c r="R14" s="10" t="s">
        <v>40</v>
      </c>
      <c r="S14" s="12" t="s">
        <v>715</v>
      </c>
    </row>
    <row r="15" spans="1:19">
      <c r="A15" s="35">
        <v>689</v>
      </c>
      <c r="B15" s="48" t="s">
        <v>89</v>
      </c>
      <c r="C15" s="74"/>
      <c r="D15" s="74"/>
      <c r="E15" s="74"/>
      <c r="F15" s="647">
        <v>207.35</v>
      </c>
      <c r="G15" s="40" t="s">
        <v>20</v>
      </c>
      <c r="H15" s="74"/>
      <c r="I15" s="648">
        <v>-1.46336</v>
      </c>
      <c r="J15" s="15">
        <v>-1.5490806770324701</v>
      </c>
      <c r="K15" s="492">
        <f t="shared" si="0"/>
        <v>15.702917381671721</v>
      </c>
      <c r="L15" s="6" t="s">
        <v>33</v>
      </c>
      <c r="M15" s="7" t="s">
        <v>16</v>
      </c>
      <c r="N15" s="17" t="s">
        <v>37</v>
      </c>
      <c r="O15" s="18" t="s">
        <v>35</v>
      </c>
      <c r="P15" s="8" t="s">
        <v>91</v>
      </c>
      <c r="Q15" s="9" t="s">
        <v>40</v>
      </c>
      <c r="R15" s="10" t="s">
        <v>40</v>
      </c>
      <c r="S15" s="12" t="s">
        <v>39</v>
      </c>
    </row>
    <row r="16" spans="1:19">
      <c r="A16" s="35">
        <v>689</v>
      </c>
      <c r="B16" s="48" t="s">
        <v>89</v>
      </c>
      <c r="C16" s="74"/>
      <c r="D16" s="74"/>
      <c r="E16" s="74"/>
      <c r="F16" s="647">
        <v>207.89</v>
      </c>
      <c r="G16" s="40" t="s">
        <v>267</v>
      </c>
      <c r="H16" s="74"/>
      <c r="I16" s="648">
        <v>-1.47235</v>
      </c>
      <c r="J16" s="15">
        <v>-1.5490806770324701</v>
      </c>
      <c r="K16" s="491">
        <f t="shared" si="0"/>
        <v>15.744499542281149</v>
      </c>
      <c r="L16" s="6" t="s">
        <v>33</v>
      </c>
      <c r="M16" s="7" t="s">
        <v>16</v>
      </c>
      <c r="N16" s="17" t="s">
        <v>37</v>
      </c>
      <c r="O16" s="18" t="s">
        <v>35</v>
      </c>
      <c r="P16" s="8" t="s">
        <v>91</v>
      </c>
      <c r="Q16" s="9" t="s">
        <v>40</v>
      </c>
      <c r="R16" s="10" t="s">
        <v>40</v>
      </c>
      <c r="S16" s="12" t="s">
        <v>39</v>
      </c>
    </row>
    <row r="17" spans="1:19">
      <c r="A17" s="35">
        <v>689</v>
      </c>
      <c r="B17" s="48" t="s">
        <v>89</v>
      </c>
      <c r="C17" s="74"/>
      <c r="D17" s="74"/>
      <c r="E17" s="74"/>
      <c r="F17" s="647">
        <v>207.99</v>
      </c>
      <c r="G17" s="40" t="s">
        <v>267</v>
      </c>
      <c r="H17" s="74"/>
      <c r="I17" s="648">
        <v>-1.37324</v>
      </c>
      <c r="J17" s="15">
        <v>-1.5490806770324701</v>
      </c>
      <c r="K17" s="491">
        <f t="shared" si="0"/>
        <v>15.286882053502271</v>
      </c>
      <c r="L17" s="6" t="s">
        <v>48</v>
      </c>
      <c r="M17" s="7" t="s">
        <v>16</v>
      </c>
      <c r="N17" s="17" t="s">
        <v>37</v>
      </c>
      <c r="O17" s="18" t="s">
        <v>35</v>
      </c>
      <c r="P17" s="8" t="s">
        <v>91</v>
      </c>
      <c r="Q17" s="9" t="s">
        <v>40</v>
      </c>
      <c r="R17" s="10" t="s">
        <v>40</v>
      </c>
      <c r="S17" s="12" t="s">
        <v>39</v>
      </c>
    </row>
    <row r="18" spans="1:19">
      <c r="A18" s="35">
        <v>689</v>
      </c>
      <c r="B18" s="48" t="s">
        <v>89</v>
      </c>
      <c r="C18" s="74"/>
      <c r="D18" s="74"/>
      <c r="E18" s="74"/>
      <c r="F18" s="647">
        <v>208.35</v>
      </c>
      <c r="G18" s="40" t="s">
        <v>32</v>
      </c>
      <c r="H18" s="74"/>
      <c r="I18" s="648">
        <v>-1.5110600000000001</v>
      </c>
      <c r="J18" s="15">
        <v>-1.5490806770324701</v>
      </c>
      <c r="K18" s="653">
        <f t="shared" si="0"/>
        <v>15.923714160038722</v>
      </c>
      <c r="L18" s="6" t="s">
        <v>48</v>
      </c>
      <c r="M18" s="7" t="s">
        <v>16</v>
      </c>
      <c r="N18" s="17" t="s">
        <v>37</v>
      </c>
      <c r="O18" s="18" t="s">
        <v>35</v>
      </c>
      <c r="P18" s="8" t="s">
        <v>91</v>
      </c>
      <c r="Q18" s="9" t="s">
        <v>40</v>
      </c>
      <c r="R18" s="10" t="s">
        <v>40</v>
      </c>
      <c r="S18" s="12" t="s">
        <v>39</v>
      </c>
    </row>
    <row r="19" spans="1:19">
      <c r="A19" s="35">
        <v>689</v>
      </c>
      <c r="B19" s="48" t="s">
        <v>89</v>
      </c>
      <c r="C19" s="74"/>
      <c r="D19" s="74"/>
      <c r="E19" s="74"/>
      <c r="F19" s="647">
        <v>208.44</v>
      </c>
      <c r="G19" s="40" t="s">
        <v>32</v>
      </c>
      <c r="H19" s="74"/>
      <c r="I19" s="648">
        <v>-0.37052000000000002</v>
      </c>
      <c r="J19" s="15">
        <v>-1.5490806770324701</v>
      </c>
      <c r="K19" s="653">
        <f t="shared" si="0"/>
        <v>10.756488932819591</v>
      </c>
      <c r="L19" s="6" t="s">
        <v>48</v>
      </c>
      <c r="M19" s="7" t="s">
        <v>16</v>
      </c>
      <c r="N19" s="17" t="s">
        <v>37</v>
      </c>
      <c r="O19" s="18" t="s">
        <v>35</v>
      </c>
      <c r="P19" s="8" t="s">
        <v>91</v>
      </c>
      <c r="Q19" s="9" t="s">
        <v>40</v>
      </c>
      <c r="R19" s="10" t="s">
        <v>40</v>
      </c>
      <c r="S19" s="12" t="s">
        <v>39</v>
      </c>
    </row>
    <row r="20" spans="1:19">
      <c r="A20" s="35">
        <v>689</v>
      </c>
      <c r="B20" s="48" t="s">
        <v>89</v>
      </c>
      <c r="C20" s="74"/>
      <c r="D20" s="74"/>
      <c r="E20" s="74"/>
      <c r="F20" s="647">
        <v>207.89</v>
      </c>
      <c r="G20" s="40" t="s">
        <v>267</v>
      </c>
      <c r="H20" s="74"/>
      <c r="I20" s="648">
        <v>-1.62439</v>
      </c>
      <c r="J20" s="15">
        <v>-1.5490806770324701</v>
      </c>
      <c r="K20" s="491">
        <f t="shared" si="0"/>
        <v>16.449945693040664</v>
      </c>
      <c r="L20" s="5" t="s">
        <v>46</v>
      </c>
      <c r="M20" s="7" t="s">
        <v>16</v>
      </c>
      <c r="N20" s="17" t="s">
        <v>37</v>
      </c>
      <c r="O20" s="18" t="s">
        <v>35</v>
      </c>
      <c r="P20" s="8" t="s">
        <v>91</v>
      </c>
      <c r="Q20" s="9" t="s">
        <v>40</v>
      </c>
      <c r="R20" s="10" t="s">
        <v>40</v>
      </c>
      <c r="S20" s="12" t="s">
        <v>39</v>
      </c>
    </row>
    <row r="21" spans="1:19">
      <c r="A21" s="35">
        <v>689</v>
      </c>
      <c r="B21" s="48" t="s">
        <v>89</v>
      </c>
      <c r="C21" s="74"/>
      <c r="D21" s="74"/>
      <c r="E21" s="74" t="s">
        <v>51</v>
      </c>
      <c r="F21" s="647">
        <v>207.99</v>
      </c>
      <c r="G21" s="40" t="s">
        <v>267</v>
      </c>
      <c r="H21" s="74"/>
      <c r="I21" s="648">
        <v>-1.8657999999999999</v>
      </c>
      <c r="J21" s="15">
        <v>-1.5490806770324701</v>
      </c>
      <c r="K21" s="491">
        <f t="shared" si="0"/>
        <v>17.578605660228032</v>
      </c>
      <c r="L21" s="5" t="s">
        <v>46</v>
      </c>
      <c r="M21" s="7" t="s">
        <v>16</v>
      </c>
      <c r="N21" s="17" t="s">
        <v>37</v>
      </c>
      <c r="O21" s="18" t="s">
        <v>35</v>
      </c>
      <c r="P21" s="8" t="s">
        <v>91</v>
      </c>
      <c r="Q21" s="9" t="s">
        <v>40</v>
      </c>
      <c r="R21" s="10" t="s">
        <v>40</v>
      </c>
      <c r="S21" s="12" t="s">
        <v>39</v>
      </c>
    </row>
    <row r="22" spans="1:19">
      <c r="A22" s="950">
        <v>689</v>
      </c>
      <c r="B22" s="951" t="s">
        <v>89</v>
      </c>
      <c r="C22" s="952"/>
      <c r="D22" s="952"/>
      <c r="E22" s="952"/>
      <c r="F22" s="953">
        <v>208.29</v>
      </c>
      <c r="G22" s="954" t="s">
        <v>32</v>
      </c>
      <c r="H22" s="952"/>
      <c r="I22" s="955">
        <v>-1.28135</v>
      </c>
      <c r="J22" s="956">
        <v>-1.5490806770324701</v>
      </c>
      <c r="K22" s="957">
        <f t="shared" si="0"/>
        <v>14.864180832957524</v>
      </c>
      <c r="L22" s="958" t="s">
        <v>46</v>
      </c>
      <c r="M22" s="959" t="s">
        <v>16</v>
      </c>
      <c r="N22" s="960" t="s">
        <v>37</v>
      </c>
      <c r="O22" s="961" t="s">
        <v>35</v>
      </c>
      <c r="P22" s="962" t="s">
        <v>91</v>
      </c>
      <c r="Q22" s="963" t="s">
        <v>40</v>
      </c>
      <c r="R22" s="964" t="s">
        <v>40</v>
      </c>
      <c r="S22" s="965" t="s">
        <v>39</v>
      </c>
    </row>
    <row r="23" spans="1:19">
      <c r="A23" s="35">
        <v>689</v>
      </c>
      <c r="B23" s="48" t="s">
        <v>89</v>
      </c>
      <c r="C23" s="74"/>
      <c r="D23" s="74"/>
      <c r="E23" s="74"/>
      <c r="F23" s="647">
        <v>207.29</v>
      </c>
      <c r="G23" s="40" t="s">
        <v>20</v>
      </c>
      <c r="H23" s="74"/>
      <c r="I23" s="648">
        <v>-0.58436999999999995</v>
      </c>
      <c r="J23" s="15">
        <v>-1.5490806770324701</v>
      </c>
      <c r="K23" s="491">
        <f t="shared" si="0"/>
        <v>11.70750246070358</v>
      </c>
      <c r="L23" s="5" t="s">
        <v>47</v>
      </c>
      <c r="M23" s="7" t="s">
        <v>16</v>
      </c>
      <c r="N23" s="17" t="s">
        <v>37</v>
      </c>
      <c r="O23" s="611" t="s">
        <v>44</v>
      </c>
      <c r="P23" s="8" t="s">
        <v>91</v>
      </c>
      <c r="Q23" s="9" t="s">
        <v>40</v>
      </c>
      <c r="R23" s="10" t="s">
        <v>40</v>
      </c>
      <c r="S23" s="12" t="s">
        <v>39</v>
      </c>
    </row>
    <row r="24" spans="1:19">
      <c r="A24" s="35">
        <v>689</v>
      </c>
      <c r="B24" s="48" t="s">
        <v>89</v>
      </c>
      <c r="C24" s="74"/>
      <c r="D24" s="74"/>
      <c r="E24" s="74"/>
      <c r="F24" s="647">
        <v>207.35</v>
      </c>
      <c r="G24" s="40" t="s">
        <v>20</v>
      </c>
      <c r="H24" s="74"/>
      <c r="I24" s="648">
        <v>-0.76417999999999997</v>
      </c>
      <c r="J24" s="15">
        <v>-1.5490806770324701</v>
      </c>
      <c r="K24" s="491">
        <f t="shared" si="0"/>
        <v>12.513507075121883</v>
      </c>
      <c r="L24" s="5" t="s">
        <v>47</v>
      </c>
      <c r="M24" s="7" t="s">
        <v>16</v>
      </c>
      <c r="N24" s="17" t="s">
        <v>37</v>
      </c>
      <c r="O24" s="611" t="s">
        <v>44</v>
      </c>
      <c r="P24" s="8" t="s">
        <v>91</v>
      </c>
      <c r="Q24" s="9" t="s">
        <v>40</v>
      </c>
      <c r="R24" s="10" t="s">
        <v>40</v>
      </c>
      <c r="S24" s="12" t="s">
        <v>39</v>
      </c>
    </row>
    <row r="25" spans="1:19">
      <c r="A25" s="35">
        <v>689</v>
      </c>
      <c r="B25" s="48" t="s">
        <v>89</v>
      </c>
      <c r="C25" s="74"/>
      <c r="D25" s="74"/>
      <c r="E25" s="74"/>
      <c r="F25" s="647">
        <v>207.89</v>
      </c>
      <c r="G25" s="40" t="s">
        <v>267</v>
      </c>
      <c r="H25" s="74"/>
      <c r="I25" s="648">
        <v>-0.75641000000000003</v>
      </c>
      <c r="J25" s="15">
        <v>-1.5490806770324701</v>
      </c>
      <c r="K25" s="491">
        <f t="shared" si="0"/>
        <v>12.478557470769779</v>
      </c>
      <c r="L25" s="5" t="s">
        <v>47</v>
      </c>
      <c r="M25" s="7" t="s">
        <v>16</v>
      </c>
      <c r="N25" s="17" t="s">
        <v>37</v>
      </c>
      <c r="O25" s="611" t="s">
        <v>44</v>
      </c>
      <c r="P25" s="8" t="s">
        <v>91</v>
      </c>
      <c r="Q25" s="9" t="s">
        <v>40</v>
      </c>
      <c r="R25" s="10" t="s">
        <v>40</v>
      </c>
      <c r="S25" s="12" t="s">
        <v>39</v>
      </c>
    </row>
    <row r="26" spans="1:19">
      <c r="A26" s="35">
        <v>689</v>
      </c>
      <c r="B26" s="48" t="s">
        <v>89</v>
      </c>
      <c r="C26" s="74"/>
      <c r="D26" s="74"/>
      <c r="E26" s="74"/>
      <c r="F26" s="647">
        <v>207.99</v>
      </c>
      <c r="G26" s="40" t="s">
        <v>267</v>
      </c>
      <c r="H26" s="74"/>
      <c r="I26" s="648">
        <v>-0.71399000000000001</v>
      </c>
      <c r="J26" s="15">
        <v>-1.5490806770324701</v>
      </c>
      <c r="K26" s="491">
        <f t="shared" si="0"/>
        <v>12.28794313806733</v>
      </c>
      <c r="L26" s="5" t="s">
        <v>47</v>
      </c>
      <c r="M26" s="7" t="s">
        <v>16</v>
      </c>
      <c r="N26" s="17" t="s">
        <v>37</v>
      </c>
      <c r="O26" s="611" t="s">
        <v>44</v>
      </c>
      <c r="P26" s="8" t="s">
        <v>91</v>
      </c>
      <c r="Q26" s="9" t="s">
        <v>40</v>
      </c>
      <c r="R26" s="10" t="s">
        <v>40</v>
      </c>
      <c r="S26" s="12" t="s">
        <v>39</v>
      </c>
    </row>
    <row r="27" spans="1:19">
      <c r="A27" s="35">
        <v>689</v>
      </c>
      <c r="B27" s="48" t="s">
        <v>89</v>
      </c>
      <c r="C27" s="74"/>
      <c r="D27" s="74"/>
      <c r="E27" s="74"/>
      <c r="F27" s="647">
        <v>208.29</v>
      </c>
      <c r="G27" s="40" t="s">
        <v>32</v>
      </c>
      <c r="H27" s="74"/>
      <c r="I27" s="648">
        <v>0.34660999999999997</v>
      </c>
      <c r="J27" s="15">
        <v>-1.5490806770324701</v>
      </c>
      <c r="K27" s="491">
        <f t="shared" si="0"/>
        <v>7.6274231414382445</v>
      </c>
      <c r="L27" s="5" t="s">
        <v>47</v>
      </c>
      <c r="M27" s="7" t="s">
        <v>16</v>
      </c>
      <c r="N27" s="17" t="s">
        <v>37</v>
      </c>
      <c r="O27" s="611" t="s">
        <v>44</v>
      </c>
      <c r="P27" s="8" t="s">
        <v>91</v>
      </c>
      <c r="Q27" s="9" t="s">
        <v>40</v>
      </c>
      <c r="R27" s="10" t="s">
        <v>40</v>
      </c>
      <c r="S27" s="12" t="s">
        <v>39</v>
      </c>
    </row>
    <row r="28" spans="1:19">
      <c r="A28" s="35">
        <v>689</v>
      </c>
      <c r="B28" s="48" t="s">
        <v>89</v>
      </c>
      <c r="C28" s="74"/>
      <c r="D28" s="74"/>
      <c r="E28" s="74"/>
      <c r="F28" s="647">
        <v>208.44</v>
      </c>
      <c r="G28" s="40" t="s">
        <v>32</v>
      </c>
      <c r="H28" s="74"/>
      <c r="I28" s="648">
        <v>6.6699999999999995E-2</v>
      </c>
      <c r="J28" s="15">
        <v>-1.5490806770324701</v>
      </c>
      <c r="K28" s="491">
        <f t="shared" si="0"/>
        <v>8.8377449062337767</v>
      </c>
      <c r="L28" s="5" t="s">
        <v>47</v>
      </c>
      <c r="M28" s="7" t="s">
        <v>16</v>
      </c>
      <c r="N28" s="17" t="s">
        <v>37</v>
      </c>
      <c r="O28" s="611" t="s">
        <v>44</v>
      </c>
      <c r="P28" s="8" t="s">
        <v>91</v>
      </c>
      <c r="Q28" s="9" t="s">
        <v>40</v>
      </c>
      <c r="R28" s="10" t="s">
        <v>40</v>
      </c>
      <c r="S28" s="12" t="s">
        <v>39</v>
      </c>
    </row>
    <row r="29" spans="1:19">
      <c r="A29" s="35">
        <v>689</v>
      </c>
      <c r="B29" s="48" t="s">
        <v>89</v>
      </c>
      <c r="C29" s="74"/>
      <c r="D29" s="74"/>
      <c r="E29" s="74"/>
      <c r="F29" s="136">
        <v>207.55</v>
      </c>
      <c r="G29" s="612" t="s">
        <v>20</v>
      </c>
      <c r="H29" s="612"/>
      <c r="I29" s="137">
        <v>-0.93</v>
      </c>
      <c r="J29" s="15">
        <v>-1.5490806770324701</v>
      </c>
      <c r="K29" s="491">
        <f t="shared" si="0"/>
        <v>13.261959138190088</v>
      </c>
      <c r="L29" s="5" t="s">
        <v>234</v>
      </c>
      <c r="M29" s="7" t="s">
        <v>16</v>
      </c>
      <c r="N29" s="17" t="s">
        <v>82</v>
      </c>
      <c r="O29" s="611" t="s">
        <v>44</v>
      </c>
      <c r="P29" s="8" t="s">
        <v>91</v>
      </c>
      <c r="Q29" s="9" t="s">
        <v>40</v>
      </c>
      <c r="R29" s="10" t="s">
        <v>268</v>
      </c>
      <c r="S29" s="12" t="s">
        <v>395</v>
      </c>
    </row>
    <row r="30" spans="1:19">
      <c r="A30" s="35">
        <v>689</v>
      </c>
      <c r="B30" s="48" t="s">
        <v>89</v>
      </c>
      <c r="C30" s="74"/>
      <c r="D30" s="74"/>
      <c r="E30" s="74"/>
      <c r="F30" s="136">
        <v>208.28</v>
      </c>
      <c r="G30" s="612" t="s">
        <v>32</v>
      </c>
      <c r="H30" s="612"/>
      <c r="I30" s="137">
        <v>0.37</v>
      </c>
      <c r="J30" s="15">
        <v>-1.5490806770324701</v>
      </c>
      <c r="K30" s="491">
        <f t="shared" si="0"/>
        <v>7.5269240166156859</v>
      </c>
      <c r="L30" s="5" t="s">
        <v>234</v>
      </c>
      <c r="M30" s="7" t="s">
        <v>16</v>
      </c>
      <c r="N30" s="17" t="s">
        <v>82</v>
      </c>
      <c r="O30" s="611" t="s">
        <v>44</v>
      </c>
      <c r="P30" s="8" t="s">
        <v>91</v>
      </c>
      <c r="Q30" s="9" t="s">
        <v>40</v>
      </c>
      <c r="R30" s="10" t="s">
        <v>268</v>
      </c>
      <c r="S30" s="12"/>
    </row>
    <row r="31" spans="1:19">
      <c r="A31" s="35">
        <v>689</v>
      </c>
      <c r="B31" s="48" t="s">
        <v>89</v>
      </c>
      <c r="C31" s="74"/>
      <c r="D31" s="74"/>
      <c r="E31" s="74"/>
      <c r="F31" s="136">
        <v>209.05</v>
      </c>
      <c r="G31" s="612" t="s">
        <v>32</v>
      </c>
      <c r="H31" s="612"/>
      <c r="I31" s="137">
        <v>0.14000000000000001</v>
      </c>
      <c r="J31" s="15">
        <v>-1.5490806770324701</v>
      </c>
      <c r="K31" s="491">
        <f t="shared" si="0"/>
        <v>8.5194350765865412</v>
      </c>
      <c r="L31" s="5" t="s">
        <v>234</v>
      </c>
      <c r="M31" s="7" t="s">
        <v>16</v>
      </c>
      <c r="N31" s="17" t="s">
        <v>82</v>
      </c>
      <c r="O31" s="611" t="s">
        <v>44</v>
      </c>
      <c r="P31" s="8" t="s">
        <v>91</v>
      </c>
      <c r="Q31" s="9" t="s">
        <v>40</v>
      </c>
      <c r="R31" s="10" t="s">
        <v>268</v>
      </c>
      <c r="S31" s="12"/>
    </row>
    <row r="32" spans="1:19">
      <c r="A32" s="35">
        <v>689</v>
      </c>
      <c r="B32" s="48" t="s">
        <v>89</v>
      </c>
      <c r="C32" s="74"/>
      <c r="D32" s="74"/>
      <c r="E32" s="74"/>
      <c r="F32" s="136">
        <v>209.78</v>
      </c>
      <c r="G32" s="612" t="s">
        <v>196</v>
      </c>
      <c r="H32" s="612"/>
      <c r="I32" s="137">
        <v>0.08</v>
      </c>
      <c r="J32" s="15">
        <v>-1.5490806770324701</v>
      </c>
      <c r="K32" s="491">
        <f t="shared" si="0"/>
        <v>8.7799170052745925</v>
      </c>
      <c r="L32" s="5" t="s">
        <v>234</v>
      </c>
      <c r="M32" s="7" t="s">
        <v>16</v>
      </c>
      <c r="N32" s="17" t="s">
        <v>82</v>
      </c>
      <c r="O32" s="611" t="s">
        <v>44</v>
      </c>
      <c r="P32" s="8" t="s">
        <v>91</v>
      </c>
      <c r="Q32" s="9" t="s">
        <v>40</v>
      </c>
      <c r="R32" s="10" t="s">
        <v>268</v>
      </c>
      <c r="S32" s="12"/>
    </row>
    <row r="33" spans="1:19">
      <c r="A33" s="35">
        <v>689</v>
      </c>
      <c r="B33" s="48" t="s">
        <v>89</v>
      </c>
      <c r="C33" s="74"/>
      <c r="D33" s="74"/>
      <c r="E33" s="74"/>
      <c r="F33" s="136">
        <v>210.55</v>
      </c>
      <c r="G33" s="612" t="s">
        <v>196</v>
      </c>
      <c r="H33" s="612"/>
      <c r="I33" s="137">
        <v>0.23</v>
      </c>
      <c r="J33" s="15">
        <v>-1.5490806770324701</v>
      </c>
      <c r="K33" s="491">
        <f t="shared" si="0"/>
        <v>8.1299271835544697</v>
      </c>
      <c r="L33" s="5" t="s">
        <v>234</v>
      </c>
      <c r="M33" s="7" t="s">
        <v>16</v>
      </c>
      <c r="N33" s="17" t="s">
        <v>82</v>
      </c>
      <c r="O33" s="611" t="s">
        <v>44</v>
      </c>
      <c r="P33" s="8" t="s">
        <v>91</v>
      </c>
      <c r="Q33" s="9" t="s">
        <v>40</v>
      </c>
      <c r="R33" s="10" t="s">
        <v>268</v>
      </c>
      <c r="S33" s="12"/>
    </row>
    <row r="34" spans="1:19">
      <c r="A34" s="35">
        <v>689</v>
      </c>
      <c r="B34" s="48" t="s">
        <v>89</v>
      </c>
      <c r="C34" s="74"/>
      <c r="D34" s="74"/>
      <c r="E34" s="74"/>
      <c r="F34" s="136">
        <v>211.28</v>
      </c>
      <c r="G34" s="612" t="s">
        <v>196</v>
      </c>
      <c r="H34" s="612"/>
      <c r="I34" s="137">
        <v>0</v>
      </c>
      <c r="J34" s="15">
        <v>-1.5490806770324701</v>
      </c>
      <c r="K34" s="491">
        <f t="shared" si="0"/>
        <v>9.1282342435253252</v>
      </c>
      <c r="L34" s="5" t="s">
        <v>234</v>
      </c>
      <c r="M34" s="7" t="s">
        <v>16</v>
      </c>
      <c r="N34" s="17" t="s">
        <v>82</v>
      </c>
      <c r="O34" s="611" t="s">
        <v>44</v>
      </c>
      <c r="P34" s="8" t="s">
        <v>91</v>
      </c>
      <c r="Q34" s="9" t="s">
        <v>40</v>
      </c>
      <c r="R34" s="10" t="s">
        <v>268</v>
      </c>
      <c r="S34" s="12"/>
    </row>
    <row r="35" spans="1:19">
      <c r="A35" s="950">
        <v>689</v>
      </c>
      <c r="B35" s="951" t="s">
        <v>89</v>
      </c>
      <c r="C35" s="952"/>
      <c r="D35" s="952"/>
      <c r="E35" s="952"/>
      <c r="F35" s="966">
        <v>212.05</v>
      </c>
      <c r="G35" s="967" t="s">
        <v>196</v>
      </c>
      <c r="H35" s="967"/>
      <c r="I35" s="968">
        <v>0.03</v>
      </c>
      <c r="J35" s="956">
        <v>-1.5490806770324701</v>
      </c>
      <c r="K35" s="496">
        <f t="shared" si="0"/>
        <v>8.9974802791812998</v>
      </c>
      <c r="L35" s="958" t="s">
        <v>234</v>
      </c>
      <c r="M35" s="959" t="s">
        <v>16</v>
      </c>
      <c r="N35" s="960" t="s">
        <v>82</v>
      </c>
      <c r="O35" s="969" t="s">
        <v>44</v>
      </c>
      <c r="P35" s="962" t="s">
        <v>91</v>
      </c>
      <c r="Q35" s="963" t="s">
        <v>40</v>
      </c>
      <c r="R35" s="964" t="s">
        <v>268</v>
      </c>
      <c r="S35" s="965"/>
    </row>
    <row r="36" spans="1:19">
      <c r="A36" s="35">
        <v>689</v>
      </c>
      <c r="B36" s="48" t="s">
        <v>89</v>
      </c>
      <c r="C36" s="74"/>
      <c r="D36" s="74"/>
      <c r="E36" s="74"/>
      <c r="F36" s="136">
        <v>209.52</v>
      </c>
      <c r="G36" s="612" t="s">
        <v>196</v>
      </c>
      <c r="H36" s="649"/>
      <c r="I36" s="137">
        <v>-0.41</v>
      </c>
      <c r="J36" s="15">
        <v>-1.5490806770324701</v>
      </c>
      <c r="K36" s="653">
        <f t="shared" si="0"/>
        <v>10.931441089560327</v>
      </c>
      <c r="L36" s="5" t="s">
        <v>394</v>
      </c>
      <c r="M36" s="7" t="s">
        <v>16</v>
      </c>
      <c r="N36" s="17" t="s">
        <v>274</v>
      </c>
      <c r="O36" s="18" t="s">
        <v>35</v>
      </c>
      <c r="P36" s="8" t="s">
        <v>91</v>
      </c>
      <c r="Q36" s="9" t="s">
        <v>40</v>
      </c>
      <c r="R36" s="10" t="s">
        <v>268</v>
      </c>
      <c r="S36" s="12"/>
    </row>
    <row r="37" spans="1:19">
      <c r="A37" s="35">
        <v>689</v>
      </c>
      <c r="B37" s="48" t="s">
        <v>89</v>
      </c>
      <c r="C37" s="74"/>
      <c r="D37" s="74"/>
      <c r="E37" s="74"/>
      <c r="F37" s="136">
        <v>211.02</v>
      </c>
      <c r="G37" s="612" t="s">
        <v>196</v>
      </c>
      <c r="H37" s="649"/>
      <c r="I37" s="137">
        <v>-0.44</v>
      </c>
      <c r="J37" s="15">
        <v>-1.5490806770324701</v>
      </c>
      <c r="K37" s="653">
        <f t="shared" si="0"/>
        <v>11.064571053904352</v>
      </c>
      <c r="L37" s="5" t="s">
        <v>394</v>
      </c>
      <c r="M37" s="7" t="s">
        <v>16</v>
      </c>
      <c r="N37" s="17" t="s">
        <v>274</v>
      </c>
      <c r="O37" s="18" t="s">
        <v>35</v>
      </c>
      <c r="P37" s="8" t="s">
        <v>91</v>
      </c>
      <c r="Q37" s="9" t="s">
        <v>40</v>
      </c>
      <c r="R37" s="10" t="s">
        <v>268</v>
      </c>
      <c r="S37" s="12"/>
    </row>
    <row r="38" spans="1:19" ht="16.5" thickBot="1">
      <c r="A38" s="75"/>
      <c r="B38" s="76"/>
      <c r="C38" s="76"/>
      <c r="D38" s="76"/>
      <c r="E38" s="76"/>
      <c r="F38" s="76"/>
      <c r="G38" s="42"/>
      <c r="H38" s="76"/>
      <c r="I38" s="14"/>
      <c r="J38" s="76"/>
      <c r="K38" s="656"/>
      <c r="L38" s="75"/>
      <c r="M38" s="76"/>
      <c r="N38" s="622"/>
      <c r="O38" s="623"/>
      <c r="P38" s="75"/>
      <c r="Q38" s="140"/>
      <c r="R38" s="624"/>
      <c r="S38" s="624"/>
    </row>
    <row r="39" spans="1:19">
      <c r="G39" s="41"/>
      <c r="N39" s="470"/>
      <c r="O39" s="470"/>
    </row>
    <row r="40" spans="1:19" ht="16.5" thickBot="1"/>
    <row r="41" spans="1:19">
      <c r="G41" s="670"/>
      <c r="H41" s="671" t="s">
        <v>607</v>
      </c>
      <c r="I41" s="671" t="s">
        <v>605</v>
      </c>
      <c r="J41" s="684">
        <v>0.05</v>
      </c>
      <c r="K41" s="671" t="s">
        <v>602</v>
      </c>
      <c r="L41" s="684">
        <v>0.95</v>
      </c>
      <c r="M41" s="672" t="s">
        <v>606</v>
      </c>
    </row>
    <row r="42" spans="1:19">
      <c r="G42" s="673" t="s">
        <v>21</v>
      </c>
      <c r="H42" s="674"/>
      <c r="I42" s="675"/>
      <c r="J42" s="675"/>
      <c r="K42" s="675"/>
      <c r="L42" s="675"/>
      <c r="M42" s="676"/>
    </row>
    <row r="43" spans="1:19">
      <c r="G43" s="673" t="s">
        <v>20</v>
      </c>
      <c r="H43" s="674">
        <f>COUNT($K14:$K15)</f>
        <v>2</v>
      </c>
      <c r="I43" s="675">
        <f>MIN($K14:$K15)</f>
        <v>15.702917381671721</v>
      </c>
      <c r="J43" s="675">
        <f>_xlfn.PERCENTILE.INC(($K14:$K15),0.05)</f>
        <v>15.730727280255838</v>
      </c>
      <c r="K43" s="675">
        <f>AVERAGE($K14:$K15)</f>
        <v>15.981016367512881</v>
      </c>
      <c r="L43" s="675">
        <f>_xlfn.PERCENTILE.INC(($K14:$K15),0.95)</f>
        <v>16.231305454769924</v>
      </c>
      <c r="M43" s="676">
        <f>MAX($K14:$K15)</f>
        <v>16.259115353354041</v>
      </c>
    </row>
    <row r="44" spans="1:19" ht="16.5" thickBot="1">
      <c r="G44" s="677" t="s">
        <v>601</v>
      </c>
      <c r="H44" s="678">
        <f>COUNT($K18:$K19,$K22,$K36:$K37)</f>
        <v>5</v>
      </c>
      <c r="I44" s="679">
        <f>MIN($K18:$K19,$K22,$K36:$K37)</f>
        <v>10.756488932819591</v>
      </c>
      <c r="J44" s="679">
        <f>_xlfn.PERCENTILE.INC(($K18:$K19,$K22,$K36:$K37),0.05)</f>
        <v>10.791479364167738</v>
      </c>
      <c r="K44" s="679">
        <f>AVERAGE($K18:$K19,$K22,$K36:$K37)</f>
        <v>12.708079213856102</v>
      </c>
      <c r="L44" s="679">
        <f>_xlfn.PERCENTILE.INC(($K18:$K19,$K22,$K36:$K37),0.95)</f>
        <v>15.711807494622482</v>
      </c>
      <c r="M44" s="680">
        <f>MAX($K18:$K19,$K22,$K36:$K37)</f>
        <v>15.923714160038722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S755"/>
  <sheetViews>
    <sheetView zoomScaleNormal="100" workbookViewId="0">
      <selection activeCell="B3" sqref="B3"/>
    </sheetView>
  </sheetViews>
  <sheetFormatPr defaultColWidth="10.625" defaultRowHeight="12.75"/>
  <cols>
    <col min="1" max="1" width="15.625" style="69" customWidth="1"/>
    <col min="2" max="2" width="12.375" style="69" bestFit="1" customWidth="1"/>
    <col min="3" max="3" width="16.125" style="69" bestFit="1" customWidth="1"/>
    <col min="4" max="5" width="10.625" style="69"/>
    <col min="6" max="6" width="10.625" style="156"/>
    <col min="7" max="7" width="20.625" style="156" bestFit="1" customWidth="1"/>
    <col min="8" max="9" width="10.625" style="156"/>
    <col min="10" max="10" width="16.5" style="69" customWidth="1"/>
    <col min="11" max="11" width="15.625" style="69" customWidth="1"/>
    <col min="12" max="12" width="26.5" style="156" bestFit="1" customWidth="1"/>
    <col min="13" max="13" width="13" style="156" bestFit="1" customWidth="1"/>
    <col min="14" max="15" width="10.625" style="156"/>
    <col min="16" max="16" width="12" style="270" customWidth="1"/>
    <col min="17" max="17" width="55.5" style="270" bestFit="1" customWidth="1"/>
    <col min="18" max="18" width="17.375" style="69" bestFit="1" customWidth="1"/>
    <col min="19" max="19" width="60.375" style="69" bestFit="1" customWidth="1"/>
    <col min="20" max="16384" width="10.625" style="69"/>
  </cols>
  <sheetData>
    <row r="1" spans="1:19" s="11" customFormat="1" ht="15.75">
      <c r="A1" s="466" t="s">
        <v>1</v>
      </c>
      <c r="B1" s="466" t="s">
        <v>624</v>
      </c>
      <c r="C1" s="468"/>
      <c r="F1" s="41"/>
      <c r="G1" s="41"/>
      <c r="H1" s="41"/>
      <c r="I1" s="41"/>
      <c r="L1" s="41"/>
      <c r="M1" s="41"/>
      <c r="N1" s="41"/>
      <c r="O1" s="41"/>
      <c r="P1" s="617"/>
      <c r="Q1" s="617"/>
    </row>
    <row r="2" spans="1:19">
      <c r="A2" s="230" t="s">
        <v>636</v>
      </c>
      <c r="B2" s="659" t="s">
        <v>646</v>
      </c>
      <c r="C2" s="405"/>
      <c r="F2" s="69"/>
      <c r="G2" s="69"/>
      <c r="H2" s="69"/>
      <c r="I2" s="69"/>
      <c r="L2" s="69"/>
      <c r="M2" s="69"/>
      <c r="P2" s="69"/>
      <c r="Q2" s="69"/>
    </row>
    <row r="3" spans="1:19">
      <c r="A3" s="147" t="s">
        <v>0</v>
      </c>
      <c r="B3" s="406" t="s">
        <v>393</v>
      </c>
      <c r="C3" s="405"/>
    </row>
    <row r="4" spans="1:19">
      <c r="A4" s="147" t="s">
        <v>621</v>
      </c>
      <c r="B4" s="582">
        <v>-65.325000000000003</v>
      </c>
      <c r="C4" s="583"/>
    </row>
    <row r="5" spans="1:19">
      <c r="A5" s="147" t="s">
        <v>622</v>
      </c>
      <c r="B5" s="582">
        <v>1.282</v>
      </c>
    </row>
    <row r="6" spans="1:19" s="270" customFormat="1">
      <c r="A6" s="149" t="s">
        <v>50</v>
      </c>
      <c r="B6" s="51">
        <v>-72.131958808600004</v>
      </c>
      <c r="C6" s="625"/>
      <c r="F6" s="248"/>
      <c r="G6" s="248"/>
      <c r="H6" s="248"/>
      <c r="I6" s="248"/>
      <c r="L6" s="248"/>
      <c r="M6" s="248"/>
      <c r="N6" s="248"/>
      <c r="O6" s="248"/>
    </row>
    <row r="7" spans="1:19">
      <c r="A7" s="208" t="s">
        <v>696</v>
      </c>
      <c r="B7" s="584" t="s">
        <v>709</v>
      </c>
      <c r="C7" s="405" t="s">
        <v>148</v>
      </c>
    </row>
    <row r="8" spans="1:19" ht="63.75">
      <c r="A8" s="147" t="s">
        <v>2</v>
      </c>
      <c r="B8" s="408" t="s">
        <v>710</v>
      </c>
      <c r="C8" s="406" t="s">
        <v>393</v>
      </c>
    </row>
    <row r="9" spans="1:19">
      <c r="A9" s="147" t="s">
        <v>3</v>
      </c>
      <c r="B9" s="407" t="s">
        <v>603</v>
      </c>
      <c r="C9" s="409"/>
    </row>
    <row r="10" spans="1:19">
      <c r="A10" s="147" t="s">
        <v>4</v>
      </c>
      <c r="B10" s="410" t="s">
        <v>42</v>
      </c>
      <c r="C10" s="406" t="s">
        <v>647</v>
      </c>
      <c r="G10" s="68"/>
    </row>
    <row r="11" spans="1:19" ht="13.5" thickBot="1">
      <c r="G11" s="796"/>
      <c r="K11" s="411"/>
    </row>
    <row r="12" spans="1:19" ht="39" thickBot="1">
      <c r="A12" s="412" t="s">
        <v>5</v>
      </c>
      <c r="B12" s="413" t="s">
        <v>6</v>
      </c>
      <c r="C12" s="413" t="s">
        <v>7</v>
      </c>
      <c r="D12" s="413" t="s">
        <v>8</v>
      </c>
      <c r="E12" s="413" t="s">
        <v>9</v>
      </c>
      <c r="F12" s="413" t="s">
        <v>43</v>
      </c>
      <c r="G12" s="413" t="s">
        <v>31</v>
      </c>
      <c r="H12" s="414" t="s">
        <v>10</v>
      </c>
      <c r="I12" s="660" t="s">
        <v>725</v>
      </c>
      <c r="J12" s="215" t="s">
        <v>664</v>
      </c>
      <c r="K12" s="216" t="s">
        <v>659</v>
      </c>
      <c r="L12" s="416" t="s">
        <v>11</v>
      </c>
      <c r="M12" s="416" t="s">
        <v>12</v>
      </c>
      <c r="N12" s="416" t="s">
        <v>36</v>
      </c>
      <c r="O12" s="417" t="s">
        <v>34</v>
      </c>
      <c r="P12" s="418" t="s">
        <v>13</v>
      </c>
      <c r="Q12" s="417" t="s">
        <v>14</v>
      </c>
      <c r="R12" s="419" t="s">
        <v>15</v>
      </c>
      <c r="S12" s="420" t="s">
        <v>38</v>
      </c>
    </row>
    <row r="13" spans="1:19">
      <c r="A13" s="421"/>
      <c r="B13" s="422"/>
      <c r="C13" s="422"/>
      <c r="D13" s="422"/>
      <c r="E13" s="422"/>
      <c r="F13" s="422"/>
      <c r="G13" s="422"/>
      <c r="H13" s="423"/>
      <c r="I13" s="426"/>
      <c r="J13" s="489"/>
      <c r="K13" s="631"/>
      <c r="L13" s="288"/>
      <c r="M13" s="289"/>
      <c r="N13" s="289"/>
      <c r="O13" s="290"/>
      <c r="P13" s="288"/>
      <c r="Q13" s="290"/>
      <c r="R13" s="426"/>
      <c r="S13" s="291"/>
    </row>
    <row r="14" spans="1:19">
      <c r="A14" s="427">
        <v>690</v>
      </c>
      <c r="B14" s="428" t="s">
        <v>89</v>
      </c>
      <c r="C14" s="156">
        <v>19</v>
      </c>
      <c r="D14" s="156">
        <v>2</v>
      </c>
      <c r="E14" s="428" t="s">
        <v>153</v>
      </c>
      <c r="F14" s="156">
        <v>169.34</v>
      </c>
      <c r="G14" s="60"/>
      <c r="H14" s="583"/>
      <c r="I14" s="56">
        <v>-1.42</v>
      </c>
      <c r="J14" s="462">
        <v>-1.5490806770324701</v>
      </c>
      <c r="K14" s="491">
        <f t="shared" ref="K14" si="0">16.1-4.64*($I14-J14)+0.09*($I14-J14)^2</f>
        <v>15.502565222475825</v>
      </c>
      <c r="L14" s="295" t="s">
        <v>150</v>
      </c>
      <c r="M14" s="296" t="s">
        <v>16</v>
      </c>
      <c r="N14" s="297"/>
      <c r="O14" s="298" t="s">
        <v>118</v>
      </c>
      <c r="P14" s="306" t="s">
        <v>91</v>
      </c>
      <c r="Q14" s="298" t="s">
        <v>492</v>
      </c>
      <c r="R14" s="315" t="s">
        <v>277</v>
      </c>
      <c r="S14" s="309" t="s">
        <v>191</v>
      </c>
    </row>
    <row r="15" spans="1:19">
      <c r="A15" s="427">
        <v>690</v>
      </c>
      <c r="B15" s="428" t="s">
        <v>89</v>
      </c>
      <c r="C15" s="156">
        <v>19</v>
      </c>
      <c r="D15" s="156">
        <v>2</v>
      </c>
      <c r="E15" s="428" t="s">
        <v>154</v>
      </c>
      <c r="F15" s="248">
        <v>169.77</v>
      </c>
      <c r="G15" s="443"/>
      <c r="H15" s="583"/>
      <c r="I15" s="661">
        <v>-1.67</v>
      </c>
      <c r="J15" s="462">
        <v>-1.5490806770324701</v>
      </c>
      <c r="K15" s="491">
        <f t="shared" ref="K15:K76" si="1">16.1-4.64*($I15-J15)+0.09*($I15-J15)^2</f>
        <v>16.662381592009361</v>
      </c>
      <c r="L15" s="295" t="s">
        <v>150</v>
      </c>
      <c r="M15" s="296" t="s">
        <v>16</v>
      </c>
      <c r="N15" s="297"/>
      <c r="O15" s="298" t="s">
        <v>118</v>
      </c>
      <c r="P15" s="306" t="s">
        <v>91</v>
      </c>
      <c r="Q15" s="298" t="s">
        <v>492</v>
      </c>
      <c r="R15" s="315" t="s">
        <v>277</v>
      </c>
      <c r="S15" s="309"/>
    </row>
    <row r="16" spans="1:19">
      <c r="A16" s="427">
        <v>690</v>
      </c>
      <c r="B16" s="428" t="s">
        <v>89</v>
      </c>
      <c r="C16" s="156">
        <v>19</v>
      </c>
      <c r="D16" s="156">
        <v>3</v>
      </c>
      <c r="E16" s="428" t="s">
        <v>145</v>
      </c>
      <c r="F16" s="511">
        <v>169.94</v>
      </c>
      <c r="G16" s="443" t="s">
        <v>20</v>
      </c>
      <c r="H16" s="583"/>
      <c r="I16" s="661">
        <v>-1.88</v>
      </c>
      <c r="J16" s="462">
        <v>-1.5490806770324701</v>
      </c>
      <c r="K16" s="492">
        <f t="shared" si="1"/>
        <v>17.645321342417535</v>
      </c>
      <c r="L16" s="295" t="s">
        <v>150</v>
      </c>
      <c r="M16" s="296" t="s">
        <v>16</v>
      </c>
      <c r="N16" s="297"/>
      <c r="O16" s="298" t="s">
        <v>118</v>
      </c>
      <c r="P16" s="306" t="s">
        <v>91</v>
      </c>
      <c r="Q16" s="298" t="s">
        <v>492</v>
      </c>
      <c r="R16" s="315" t="s">
        <v>277</v>
      </c>
      <c r="S16" s="309"/>
    </row>
    <row r="17" spans="1:19">
      <c r="A17" s="427">
        <v>690</v>
      </c>
      <c r="B17" s="428" t="s">
        <v>89</v>
      </c>
      <c r="C17" s="156">
        <v>19</v>
      </c>
      <c r="D17" s="156">
        <v>3</v>
      </c>
      <c r="E17" s="428" t="s">
        <v>155</v>
      </c>
      <c r="F17" s="511">
        <v>170.05</v>
      </c>
      <c r="G17" s="443" t="s">
        <v>20</v>
      </c>
      <c r="H17" s="583"/>
      <c r="I17" s="661">
        <v>-2.13</v>
      </c>
      <c r="J17" s="462">
        <v>-1.5490806770324701</v>
      </c>
      <c r="K17" s="492">
        <f t="shared" si="1"/>
        <v>18.825837711951078</v>
      </c>
      <c r="L17" s="295" t="s">
        <v>150</v>
      </c>
      <c r="M17" s="296" t="s">
        <v>16</v>
      </c>
      <c r="N17" s="297"/>
      <c r="O17" s="298" t="s">
        <v>118</v>
      </c>
      <c r="P17" s="306" t="s">
        <v>91</v>
      </c>
      <c r="Q17" s="298" t="s">
        <v>492</v>
      </c>
      <c r="R17" s="315" t="s">
        <v>277</v>
      </c>
      <c r="S17" s="309"/>
    </row>
    <row r="18" spans="1:19">
      <c r="A18" s="427">
        <v>690</v>
      </c>
      <c r="B18" s="428" t="s">
        <v>89</v>
      </c>
      <c r="C18" s="156">
        <v>19</v>
      </c>
      <c r="D18" s="156">
        <v>3</v>
      </c>
      <c r="E18" s="428" t="s">
        <v>156</v>
      </c>
      <c r="F18" s="511">
        <v>170.16</v>
      </c>
      <c r="G18" s="443" t="s">
        <v>20</v>
      </c>
      <c r="H18" s="583"/>
      <c r="I18" s="661">
        <v>-1.83</v>
      </c>
      <c r="J18" s="462">
        <v>-1.5490806770324701</v>
      </c>
      <c r="K18" s="492">
        <f t="shared" si="1"/>
        <v>17.41056806851083</v>
      </c>
      <c r="L18" s="295" t="s">
        <v>150</v>
      </c>
      <c r="M18" s="296" t="s">
        <v>16</v>
      </c>
      <c r="N18" s="297"/>
      <c r="O18" s="298" t="s">
        <v>118</v>
      </c>
      <c r="P18" s="306" t="s">
        <v>91</v>
      </c>
      <c r="Q18" s="298" t="s">
        <v>492</v>
      </c>
      <c r="R18" s="315" t="s">
        <v>277</v>
      </c>
      <c r="S18" s="309"/>
    </row>
    <row r="19" spans="1:19">
      <c r="A19" s="427">
        <v>690</v>
      </c>
      <c r="B19" s="428" t="s">
        <v>89</v>
      </c>
      <c r="C19" s="156">
        <v>19</v>
      </c>
      <c r="D19" s="156">
        <v>3</v>
      </c>
      <c r="E19" s="428" t="s">
        <v>157</v>
      </c>
      <c r="F19" s="511">
        <v>170.35</v>
      </c>
      <c r="G19" s="443" t="s">
        <v>20</v>
      </c>
      <c r="H19" s="583"/>
      <c r="I19" s="661">
        <v>-1.66</v>
      </c>
      <c r="J19" s="462">
        <v>-1.5490806770324701</v>
      </c>
      <c r="K19" s="492">
        <f t="shared" si="1"/>
        <v>16.615772937228023</v>
      </c>
      <c r="L19" s="295" t="s">
        <v>150</v>
      </c>
      <c r="M19" s="296" t="s">
        <v>16</v>
      </c>
      <c r="N19" s="297"/>
      <c r="O19" s="298" t="s">
        <v>118</v>
      </c>
      <c r="P19" s="306" t="s">
        <v>91</v>
      </c>
      <c r="Q19" s="298" t="s">
        <v>492</v>
      </c>
      <c r="R19" s="315" t="s">
        <v>277</v>
      </c>
      <c r="S19" s="309"/>
    </row>
    <row r="20" spans="1:19">
      <c r="A20" s="427">
        <v>690</v>
      </c>
      <c r="B20" s="428" t="s">
        <v>89</v>
      </c>
      <c r="C20" s="156">
        <v>19</v>
      </c>
      <c r="D20" s="156">
        <v>3</v>
      </c>
      <c r="E20" s="428" t="s">
        <v>158</v>
      </c>
      <c r="F20" s="511">
        <v>170.45</v>
      </c>
      <c r="G20" s="443" t="s">
        <v>20</v>
      </c>
      <c r="H20" s="583"/>
      <c r="I20" s="661">
        <v>-1.07</v>
      </c>
      <c r="J20" s="462">
        <v>-1.5490806770324701</v>
      </c>
      <c r="K20" s="492">
        <f t="shared" si="1"/>
        <v>13.897722305128871</v>
      </c>
      <c r="L20" s="295" t="s">
        <v>150</v>
      </c>
      <c r="M20" s="296" t="s">
        <v>16</v>
      </c>
      <c r="N20" s="297"/>
      <c r="O20" s="298" t="s">
        <v>118</v>
      </c>
      <c r="P20" s="306" t="s">
        <v>91</v>
      </c>
      <c r="Q20" s="298" t="s">
        <v>492</v>
      </c>
      <c r="R20" s="315" t="s">
        <v>277</v>
      </c>
      <c r="S20" s="309"/>
    </row>
    <row r="21" spans="1:19">
      <c r="A21" s="427">
        <v>690</v>
      </c>
      <c r="B21" s="428" t="s">
        <v>89</v>
      </c>
      <c r="C21" s="156">
        <v>19</v>
      </c>
      <c r="D21" s="156">
        <v>3</v>
      </c>
      <c r="E21" s="428" t="s">
        <v>159</v>
      </c>
      <c r="F21" s="511">
        <v>170.54</v>
      </c>
      <c r="G21" s="443" t="s">
        <v>20</v>
      </c>
      <c r="H21" s="583"/>
      <c r="I21" s="661">
        <v>-1.1100000000000001</v>
      </c>
      <c r="J21" s="462">
        <v>-1.5490806770324701</v>
      </c>
      <c r="K21" s="492">
        <f t="shared" si="1"/>
        <v>14.080016924254236</v>
      </c>
      <c r="L21" s="295" t="s">
        <v>150</v>
      </c>
      <c r="M21" s="296" t="s">
        <v>16</v>
      </c>
      <c r="N21" s="297"/>
      <c r="O21" s="298" t="s">
        <v>118</v>
      </c>
      <c r="P21" s="306" t="s">
        <v>91</v>
      </c>
      <c r="Q21" s="298" t="s">
        <v>492</v>
      </c>
      <c r="R21" s="315" t="s">
        <v>277</v>
      </c>
      <c r="S21" s="309"/>
    </row>
    <row r="22" spans="1:19">
      <c r="A22" s="427">
        <v>690</v>
      </c>
      <c r="B22" s="428" t="s">
        <v>89</v>
      </c>
      <c r="C22" s="156">
        <v>19</v>
      </c>
      <c r="D22" s="156">
        <v>3</v>
      </c>
      <c r="E22" s="662" t="s">
        <v>160</v>
      </c>
      <c r="F22" s="248">
        <v>170.62</v>
      </c>
      <c r="G22" s="443"/>
      <c r="H22" s="583"/>
      <c r="I22" s="661">
        <v>-0.25</v>
      </c>
      <c r="J22" s="462">
        <v>-1.5490806770324701</v>
      </c>
      <c r="K22" s="491">
        <f t="shared" si="1"/>
        <v>10.224150613058862</v>
      </c>
      <c r="L22" s="295" t="s">
        <v>150</v>
      </c>
      <c r="M22" s="296" t="s">
        <v>16</v>
      </c>
      <c r="N22" s="297"/>
      <c r="O22" s="298" t="s">
        <v>118</v>
      </c>
      <c r="P22" s="306" t="s">
        <v>91</v>
      </c>
      <c r="Q22" s="298" t="s">
        <v>492</v>
      </c>
      <c r="R22" s="315" t="s">
        <v>277</v>
      </c>
      <c r="S22" s="309"/>
    </row>
    <row r="23" spans="1:19">
      <c r="A23" s="427">
        <v>690</v>
      </c>
      <c r="B23" s="428" t="s">
        <v>89</v>
      </c>
      <c r="C23" s="156">
        <v>19</v>
      </c>
      <c r="D23" s="156">
        <v>3</v>
      </c>
      <c r="E23" s="662" t="s">
        <v>161</v>
      </c>
      <c r="F23" s="248">
        <v>170.76</v>
      </c>
      <c r="G23" s="443"/>
      <c r="H23" s="583"/>
      <c r="I23" s="661">
        <v>-0.17</v>
      </c>
      <c r="J23" s="462">
        <v>-1.5490806770324701</v>
      </c>
      <c r="K23" s="491">
        <f t="shared" si="1"/>
        <v>9.8722333748081308</v>
      </c>
      <c r="L23" s="295" t="s">
        <v>150</v>
      </c>
      <c r="M23" s="296" t="s">
        <v>16</v>
      </c>
      <c r="N23" s="297"/>
      <c r="O23" s="298" t="s">
        <v>118</v>
      </c>
      <c r="P23" s="306" t="s">
        <v>91</v>
      </c>
      <c r="Q23" s="298" t="s">
        <v>492</v>
      </c>
      <c r="R23" s="315" t="s">
        <v>277</v>
      </c>
      <c r="S23" s="309"/>
    </row>
    <row r="24" spans="1:19">
      <c r="A24" s="427">
        <v>690</v>
      </c>
      <c r="B24" s="428" t="s">
        <v>89</v>
      </c>
      <c r="C24" s="156">
        <v>19</v>
      </c>
      <c r="D24" s="156">
        <v>3</v>
      </c>
      <c r="E24" s="662" t="s">
        <v>162</v>
      </c>
      <c r="F24" s="511">
        <v>170.99</v>
      </c>
      <c r="G24" s="60" t="s">
        <v>196</v>
      </c>
      <c r="H24" s="583"/>
      <c r="I24" s="661">
        <v>-0.59</v>
      </c>
      <c r="J24" s="462">
        <v>-1.5490806770324701</v>
      </c>
      <c r="K24" s="494">
        <f t="shared" si="1"/>
        <v>11.732650875624476</v>
      </c>
      <c r="L24" s="295" t="s">
        <v>150</v>
      </c>
      <c r="M24" s="296" t="s">
        <v>16</v>
      </c>
      <c r="N24" s="297"/>
      <c r="O24" s="298" t="s">
        <v>118</v>
      </c>
      <c r="P24" s="306" t="s">
        <v>91</v>
      </c>
      <c r="Q24" s="298" t="s">
        <v>492</v>
      </c>
      <c r="R24" s="315" t="s">
        <v>277</v>
      </c>
      <c r="S24" s="309" t="s">
        <v>711</v>
      </c>
    </row>
    <row r="25" spans="1:19">
      <c r="A25" s="427">
        <v>690</v>
      </c>
      <c r="B25" s="428" t="s">
        <v>89</v>
      </c>
      <c r="C25" s="156">
        <v>19</v>
      </c>
      <c r="D25" s="156">
        <v>3</v>
      </c>
      <c r="E25" s="662" t="s">
        <v>163</v>
      </c>
      <c r="F25" s="511">
        <v>171.17</v>
      </c>
      <c r="G25" s="60" t="s">
        <v>196</v>
      </c>
      <c r="H25" s="583"/>
      <c r="I25" s="661">
        <v>-0.57999999999999996</v>
      </c>
      <c r="J25" s="462">
        <v>-1.5490806770324701</v>
      </c>
      <c r="K25" s="494">
        <f t="shared" si="1"/>
        <v>11.687986220843134</v>
      </c>
      <c r="L25" s="295" t="s">
        <v>150</v>
      </c>
      <c r="M25" s="296" t="s">
        <v>16</v>
      </c>
      <c r="N25" s="297"/>
      <c r="O25" s="298" t="s">
        <v>118</v>
      </c>
      <c r="P25" s="306" t="s">
        <v>91</v>
      </c>
      <c r="Q25" s="298" t="s">
        <v>492</v>
      </c>
      <c r="R25" s="315" t="s">
        <v>277</v>
      </c>
      <c r="S25" s="309" t="s">
        <v>711</v>
      </c>
    </row>
    <row r="26" spans="1:19">
      <c r="A26" s="427">
        <v>690</v>
      </c>
      <c r="B26" s="428" t="s">
        <v>89</v>
      </c>
      <c r="C26" s="156">
        <v>19</v>
      </c>
      <c r="D26" s="156">
        <v>3</v>
      </c>
      <c r="E26" s="662" t="s">
        <v>164</v>
      </c>
      <c r="F26" s="511">
        <v>171.38</v>
      </c>
      <c r="G26" s="60" t="s">
        <v>196</v>
      </c>
      <c r="H26" s="583"/>
      <c r="I26" s="661">
        <v>-0.85</v>
      </c>
      <c r="J26" s="462">
        <v>-1.5490806770324701</v>
      </c>
      <c r="K26" s="494">
        <f t="shared" si="1"/>
        <v>12.900249899939356</v>
      </c>
      <c r="L26" s="295" t="s">
        <v>150</v>
      </c>
      <c r="M26" s="296" t="s">
        <v>16</v>
      </c>
      <c r="N26" s="297"/>
      <c r="O26" s="298" t="s">
        <v>118</v>
      </c>
      <c r="P26" s="306" t="s">
        <v>91</v>
      </c>
      <c r="Q26" s="298" t="s">
        <v>492</v>
      </c>
      <c r="R26" s="315" t="s">
        <v>277</v>
      </c>
      <c r="S26" s="309" t="s">
        <v>711</v>
      </c>
    </row>
    <row r="27" spans="1:19">
      <c r="A27" s="427">
        <v>690</v>
      </c>
      <c r="B27" s="428" t="s">
        <v>89</v>
      </c>
      <c r="C27" s="156">
        <v>19</v>
      </c>
      <c r="D27" s="156">
        <v>4</v>
      </c>
      <c r="E27" s="662" t="s">
        <v>165</v>
      </c>
      <c r="F27" s="511">
        <v>171.45</v>
      </c>
      <c r="G27" s="60" t="s">
        <v>196</v>
      </c>
      <c r="H27" s="583"/>
      <c r="I27" s="661">
        <v>-0.75</v>
      </c>
      <c r="J27" s="462">
        <v>-1.5490806770324701</v>
      </c>
      <c r="K27" s="494">
        <f t="shared" si="1"/>
        <v>12.449733352125939</v>
      </c>
      <c r="L27" s="295" t="s">
        <v>150</v>
      </c>
      <c r="M27" s="296" t="s">
        <v>16</v>
      </c>
      <c r="N27" s="297"/>
      <c r="O27" s="298" t="s">
        <v>118</v>
      </c>
      <c r="P27" s="306" t="s">
        <v>91</v>
      </c>
      <c r="Q27" s="298" t="s">
        <v>492</v>
      </c>
      <c r="R27" s="315" t="s">
        <v>277</v>
      </c>
      <c r="S27" s="309" t="s">
        <v>711</v>
      </c>
    </row>
    <row r="28" spans="1:19">
      <c r="A28" s="427">
        <v>690</v>
      </c>
      <c r="B28" s="428" t="s">
        <v>89</v>
      </c>
      <c r="C28" s="156">
        <v>19</v>
      </c>
      <c r="D28" s="156">
        <v>4</v>
      </c>
      <c r="E28" s="662" t="s">
        <v>166</v>
      </c>
      <c r="F28" s="511">
        <v>171.55</v>
      </c>
      <c r="G28" s="60" t="s">
        <v>196</v>
      </c>
      <c r="H28" s="583"/>
      <c r="I28" s="661">
        <v>-0.67</v>
      </c>
      <c r="J28" s="462">
        <v>-1.5490806770324701</v>
      </c>
      <c r="K28" s="494">
        <f t="shared" si="1"/>
        <v>12.090616113875209</v>
      </c>
      <c r="L28" s="295" t="s">
        <v>150</v>
      </c>
      <c r="M28" s="296" t="s">
        <v>16</v>
      </c>
      <c r="N28" s="297"/>
      <c r="O28" s="298" t="s">
        <v>118</v>
      </c>
      <c r="P28" s="306" t="s">
        <v>91</v>
      </c>
      <c r="Q28" s="298" t="s">
        <v>492</v>
      </c>
      <c r="R28" s="315" t="s">
        <v>277</v>
      </c>
      <c r="S28" s="309" t="s">
        <v>711</v>
      </c>
    </row>
    <row r="29" spans="1:19">
      <c r="A29" s="427">
        <v>690</v>
      </c>
      <c r="B29" s="428" t="s">
        <v>89</v>
      </c>
      <c r="C29" s="156">
        <v>19</v>
      </c>
      <c r="D29" s="156">
        <v>4</v>
      </c>
      <c r="E29" s="662" t="s">
        <v>167</v>
      </c>
      <c r="F29" s="511">
        <v>171.66</v>
      </c>
      <c r="G29" s="60" t="s">
        <v>196</v>
      </c>
      <c r="H29" s="583"/>
      <c r="I29" s="661">
        <v>-0.33</v>
      </c>
      <c r="J29" s="462">
        <v>-1.5490806770324701</v>
      </c>
      <c r="K29" s="494">
        <f t="shared" si="1"/>
        <v>10.577219851309597</v>
      </c>
      <c r="L29" s="295" t="s">
        <v>150</v>
      </c>
      <c r="M29" s="296" t="s">
        <v>16</v>
      </c>
      <c r="N29" s="297"/>
      <c r="O29" s="298" t="s">
        <v>118</v>
      </c>
      <c r="P29" s="306" t="s">
        <v>91</v>
      </c>
      <c r="Q29" s="298" t="s">
        <v>492</v>
      </c>
      <c r="R29" s="315" t="s">
        <v>277</v>
      </c>
      <c r="S29" s="309" t="s">
        <v>711</v>
      </c>
    </row>
    <row r="30" spans="1:19">
      <c r="A30" s="427">
        <v>690</v>
      </c>
      <c r="B30" s="428" t="s">
        <v>89</v>
      </c>
      <c r="C30" s="156">
        <v>19</v>
      </c>
      <c r="D30" s="156">
        <v>4</v>
      </c>
      <c r="E30" s="662" t="s">
        <v>168</v>
      </c>
      <c r="F30" s="511">
        <v>171.85</v>
      </c>
      <c r="G30" s="60" t="s">
        <v>196</v>
      </c>
      <c r="H30" s="583"/>
      <c r="I30" s="661">
        <v>-0.38</v>
      </c>
      <c r="J30" s="462">
        <v>-1.5490806770324701</v>
      </c>
      <c r="K30" s="494">
        <f t="shared" si="1"/>
        <v>10.798473125216303</v>
      </c>
      <c r="L30" s="295" t="s">
        <v>150</v>
      </c>
      <c r="M30" s="296" t="s">
        <v>16</v>
      </c>
      <c r="N30" s="297"/>
      <c r="O30" s="298" t="s">
        <v>118</v>
      </c>
      <c r="P30" s="306" t="s">
        <v>91</v>
      </c>
      <c r="Q30" s="298" t="s">
        <v>492</v>
      </c>
      <c r="R30" s="315" t="s">
        <v>277</v>
      </c>
      <c r="S30" s="309" t="s">
        <v>711</v>
      </c>
    </row>
    <row r="31" spans="1:19">
      <c r="A31" s="427">
        <v>690</v>
      </c>
      <c r="B31" s="428" t="s">
        <v>89</v>
      </c>
      <c r="C31" s="156">
        <v>19</v>
      </c>
      <c r="D31" s="156">
        <v>4</v>
      </c>
      <c r="E31" s="428" t="s">
        <v>169</v>
      </c>
      <c r="F31" s="511">
        <v>171.92</v>
      </c>
      <c r="G31" s="60" t="s">
        <v>196</v>
      </c>
      <c r="H31" s="583"/>
      <c r="I31" s="661">
        <v>-0.32</v>
      </c>
      <c r="J31" s="462">
        <v>-1.5490806770324701</v>
      </c>
      <c r="K31" s="494">
        <f t="shared" si="1"/>
        <v>10.533023196528255</v>
      </c>
      <c r="L31" s="295" t="s">
        <v>150</v>
      </c>
      <c r="M31" s="296" t="s">
        <v>16</v>
      </c>
      <c r="N31" s="297"/>
      <c r="O31" s="298" t="s">
        <v>118</v>
      </c>
      <c r="P31" s="306" t="s">
        <v>91</v>
      </c>
      <c r="Q31" s="298" t="s">
        <v>492</v>
      </c>
      <c r="R31" s="315" t="s">
        <v>277</v>
      </c>
      <c r="S31" s="309" t="s">
        <v>711</v>
      </c>
    </row>
    <row r="32" spans="1:19">
      <c r="A32" s="427">
        <v>690</v>
      </c>
      <c r="B32" s="428" t="s">
        <v>89</v>
      </c>
      <c r="C32" s="156">
        <v>19</v>
      </c>
      <c r="D32" s="156">
        <v>4</v>
      </c>
      <c r="E32" s="244" t="s">
        <v>170</v>
      </c>
      <c r="F32" s="511">
        <v>172.05</v>
      </c>
      <c r="G32" s="60" t="s">
        <v>196</v>
      </c>
      <c r="H32" s="244"/>
      <c r="I32" s="661">
        <v>-0.21</v>
      </c>
      <c r="J32" s="462">
        <v>-1.5490806770324701</v>
      </c>
      <c r="K32" s="494">
        <f t="shared" si="1"/>
        <v>10.048047993933496</v>
      </c>
      <c r="L32" s="295" t="s">
        <v>150</v>
      </c>
      <c r="M32" s="296" t="s">
        <v>16</v>
      </c>
      <c r="N32" s="297"/>
      <c r="O32" s="298" t="s">
        <v>118</v>
      </c>
      <c r="P32" s="306" t="s">
        <v>91</v>
      </c>
      <c r="Q32" s="298" t="s">
        <v>492</v>
      </c>
      <c r="R32" s="315" t="s">
        <v>277</v>
      </c>
      <c r="S32" s="309" t="s">
        <v>711</v>
      </c>
    </row>
    <row r="33" spans="1:19">
      <c r="A33" s="427">
        <v>690</v>
      </c>
      <c r="B33" s="428" t="s">
        <v>89</v>
      </c>
      <c r="C33" s="156">
        <v>19</v>
      </c>
      <c r="D33" s="156">
        <v>4</v>
      </c>
      <c r="E33" s="244" t="s">
        <v>171</v>
      </c>
      <c r="F33" s="511">
        <v>172.14</v>
      </c>
      <c r="G33" s="60" t="s">
        <v>196</v>
      </c>
      <c r="H33" s="244"/>
      <c r="I33" s="661">
        <v>7.0000000000000007E-2</v>
      </c>
      <c r="J33" s="462">
        <v>-1.5490806770324701</v>
      </c>
      <c r="K33" s="494">
        <f t="shared" si="1"/>
        <v>8.8233936600559328</v>
      </c>
      <c r="L33" s="295" t="s">
        <v>150</v>
      </c>
      <c r="M33" s="296" t="s">
        <v>16</v>
      </c>
      <c r="N33" s="297"/>
      <c r="O33" s="298" t="s">
        <v>118</v>
      </c>
      <c r="P33" s="306" t="s">
        <v>91</v>
      </c>
      <c r="Q33" s="298" t="s">
        <v>492</v>
      </c>
      <c r="R33" s="315" t="s">
        <v>277</v>
      </c>
      <c r="S33" s="309" t="s">
        <v>711</v>
      </c>
    </row>
    <row r="34" spans="1:19">
      <c r="A34" s="427">
        <v>690</v>
      </c>
      <c r="B34" s="428" t="s">
        <v>89</v>
      </c>
      <c r="C34" s="156">
        <v>19</v>
      </c>
      <c r="D34" s="156">
        <v>4</v>
      </c>
      <c r="E34" s="244" t="s">
        <v>172</v>
      </c>
      <c r="F34" s="511">
        <v>172.25</v>
      </c>
      <c r="G34" s="60" t="s">
        <v>196</v>
      </c>
      <c r="H34" s="244"/>
      <c r="I34" s="661">
        <v>-0.61</v>
      </c>
      <c r="J34" s="462">
        <v>-1.5490806770324701</v>
      </c>
      <c r="K34" s="494">
        <f t="shared" si="1"/>
        <v>11.822034185187158</v>
      </c>
      <c r="L34" s="295" t="s">
        <v>150</v>
      </c>
      <c r="M34" s="296" t="s">
        <v>16</v>
      </c>
      <c r="N34" s="297"/>
      <c r="O34" s="298" t="s">
        <v>118</v>
      </c>
      <c r="P34" s="306" t="s">
        <v>91</v>
      </c>
      <c r="Q34" s="298" t="s">
        <v>492</v>
      </c>
      <c r="R34" s="315" t="s">
        <v>277</v>
      </c>
      <c r="S34" s="309" t="s">
        <v>711</v>
      </c>
    </row>
    <row r="35" spans="1:19">
      <c r="A35" s="427">
        <v>690</v>
      </c>
      <c r="B35" s="428" t="s">
        <v>89</v>
      </c>
      <c r="C35" s="156">
        <v>19</v>
      </c>
      <c r="D35" s="156">
        <v>4</v>
      </c>
      <c r="E35" s="244" t="s">
        <v>173</v>
      </c>
      <c r="F35" s="511">
        <v>172.33</v>
      </c>
      <c r="G35" s="60" t="s">
        <v>196</v>
      </c>
      <c r="H35" s="244"/>
      <c r="I35" s="661">
        <v>-0.56000000000000005</v>
      </c>
      <c r="J35" s="462">
        <v>-1.5490806770324701</v>
      </c>
      <c r="K35" s="494">
        <f t="shared" si="1"/>
        <v>11.598710911280451</v>
      </c>
      <c r="L35" s="295" t="s">
        <v>150</v>
      </c>
      <c r="M35" s="296" t="s">
        <v>16</v>
      </c>
      <c r="N35" s="297"/>
      <c r="O35" s="298" t="s">
        <v>118</v>
      </c>
      <c r="P35" s="306" t="s">
        <v>91</v>
      </c>
      <c r="Q35" s="298" t="s">
        <v>492</v>
      </c>
      <c r="R35" s="315" t="s">
        <v>277</v>
      </c>
      <c r="S35" s="309" t="s">
        <v>711</v>
      </c>
    </row>
    <row r="36" spans="1:19">
      <c r="A36" s="427">
        <v>690</v>
      </c>
      <c r="B36" s="428" t="s">
        <v>89</v>
      </c>
      <c r="C36" s="156">
        <v>19</v>
      </c>
      <c r="D36" s="156">
        <v>5</v>
      </c>
      <c r="E36" s="244" t="s">
        <v>165</v>
      </c>
      <c r="F36" s="248">
        <v>172.95</v>
      </c>
      <c r="G36" s="60" t="s">
        <v>196</v>
      </c>
      <c r="H36" s="244"/>
      <c r="I36" s="661">
        <v>-0.44</v>
      </c>
      <c r="J36" s="462">
        <v>-1.5490806770324701</v>
      </c>
      <c r="K36" s="494">
        <f t="shared" si="1"/>
        <v>11.064571053904352</v>
      </c>
      <c r="L36" s="295" t="s">
        <v>150</v>
      </c>
      <c r="M36" s="296" t="s">
        <v>16</v>
      </c>
      <c r="N36" s="297"/>
      <c r="O36" s="298" t="s">
        <v>118</v>
      </c>
      <c r="P36" s="306" t="s">
        <v>91</v>
      </c>
      <c r="Q36" s="298" t="s">
        <v>492</v>
      </c>
      <c r="R36" s="315" t="s">
        <v>277</v>
      </c>
      <c r="S36" s="300" t="s">
        <v>592</v>
      </c>
    </row>
    <row r="37" spans="1:19">
      <c r="A37" s="427">
        <v>690</v>
      </c>
      <c r="B37" s="428" t="s">
        <v>89</v>
      </c>
      <c r="C37" s="156">
        <v>19</v>
      </c>
      <c r="D37" s="156">
        <v>5</v>
      </c>
      <c r="E37" s="244" t="s">
        <v>166</v>
      </c>
      <c r="F37" s="156">
        <v>173.05</v>
      </c>
      <c r="G37" s="60" t="s">
        <v>196</v>
      </c>
      <c r="H37" s="244"/>
      <c r="I37" s="56">
        <v>-0.55000000000000004</v>
      </c>
      <c r="J37" s="462">
        <v>-1.5490806770324701</v>
      </c>
      <c r="K37" s="494">
        <f t="shared" si="1"/>
        <v>11.55410025649911</v>
      </c>
      <c r="L37" s="295" t="s">
        <v>150</v>
      </c>
      <c r="M37" s="296" t="s">
        <v>16</v>
      </c>
      <c r="N37" s="297"/>
      <c r="O37" s="298" t="s">
        <v>118</v>
      </c>
      <c r="P37" s="306" t="s">
        <v>91</v>
      </c>
      <c r="Q37" s="298" t="s">
        <v>492</v>
      </c>
      <c r="R37" s="315" t="s">
        <v>277</v>
      </c>
      <c r="S37" s="300" t="s">
        <v>592</v>
      </c>
    </row>
    <row r="38" spans="1:19">
      <c r="A38" s="427">
        <v>690</v>
      </c>
      <c r="B38" s="428" t="s">
        <v>89</v>
      </c>
      <c r="C38" s="156">
        <v>19</v>
      </c>
      <c r="D38" s="156">
        <v>5</v>
      </c>
      <c r="E38" s="244" t="s">
        <v>167</v>
      </c>
      <c r="F38" s="156">
        <v>173.16</v>
      </c>
      <c r="G38" s="60" t="s">
        <v>196</v>
      </c>
      <c r="H38" s="244"/>
      <c r="I38" s="56">
        <v>-0.51</v>
      </c>
      <c r="J38" s="462">
        <v>-1.5490806770324701</v>
      </c>
      <c r="K38" s="494">
        <f t="shared" si="1"/>
        <v>11.375837637373744</v>
      </c>
      <c r="L38" s="295" t="s">
        <v>150</v>
      </c>
      <c r="M38" s="296" t="s">
        <v>16</v>
      </c>
      <c r="N38" s="297"/>
      <c r="O38" s="298" t="s">
        <v>118</v>
      </c>
      <c r="P38" s="306" t="s">
        <v>91</v>
      </c>
      <c r="Q38" s="298" t="s">
        <v>492</v>
      </c>
      <c r="R38" s="315" t="s">
        <v>277</v>
      </c>
      <c r="S38" s="300" t="s">
        <v>592</v>
      </c>
    </row>
    <row r="39" spans="1:19">
      <c r="A39" s="427">
        <v>690</v>
      </c>
      <c r="B39" s="428" t="s">
        <v>89</v>
      </c>
      <c r="C39" s="156">
        <v>19</v>
      </c>
      <c r="D39" s="156">
        <v>5</v>
      </c>
      <c r="E39" s="244" t="s">
        <v>174</v>
      </c>
      <c r="F39" s="156">
        <v>173.34</v>
      </c>
      <c r="G39" s="60" t="s">
        <v>196</v>
      </c>
      <c r="H39" s="244"/>
      <c r="I39" s="56">
        <v>-0.28999999999999998</v>
      </c>
      <c r="J39" s="462">
        <v>-1.5490806770324701</v>
      </c>
      <c r="K39" s="494">
        <f t="shared" si="1"/>
        <v>10.40054123218423</v>
      </c>
      <c r="L39" s="295" t="s">
        <v>150</v>
      </c>
      <c r="M39" s="296" t="s">
        <v>16</v>
      </c>
      <c r="N39" s="297"/>
      <c r="O39" s="298" t="s">
        <v>118</v>
      </c>
      <c r="P39" s="306" t="s">
        <v>91</v>
      </c>
      <c r="Q39" s="298" t="s">
        <v>492</v>
      </c>
      <c r="R39" s="315" t="s">
        <v>277</v>
      </c>
      <c r="S39" s="300" t="s">
        <v>592</v>
      </c>
    </row>
    <row r="40" spans="1:19">
      <c r="A40" s="427">
        <v>690</v>
      </c>
      <c r="B40" s="428" t="s">
        <v>89</v>
      </c>
      <c r="C40" s="156">
        <v>19</v>
      </c>
      <c r="D40" s="156">
        <v>5</v>
      </c>
      <c r="E40" s="244" t="s">
        <v>175</v>
      </c>
      <c r="F40" s="156">
        <v>173.46</v>
      </c>
      <c r="G40" s="60" t="s">
        <v>196</v>
      </c>
      <c r="H40" s="244"/>
      <c r="I40" s="56">
        <v>-0.44</v>
      </c>
      <c r="J40" s="462">
        <v>-1.5490806770324701</v>
      </c>
      <c r="K40" s="494">
        <f t="shared" si="1"/>
        <v>11.064571053904352</v>
      </c>
      <c r="L40" s="295" t="s">
        <v>150</v>
      </c>
      <c r="M40" s="296" t="s">
        <v>16</v>
      </c>
      <c r="N40" s="297"/>
      <c r="O40" s="298" t="s">
        <v>118</v>
      </c>
      <c r="P40" s="306" t="s">
        <v>91</v>
      </c>
      <c r="Q40" s="298" t="s">
        <v>492</v>
      </c>
      <c r="R40" s="315" t="s">
        <v>277</v>
      </c>
      <c r="S40" s="300" t="s">
        <v>592</v>
      </c>
    </row>
    <row r="41" spans="1:19">
      <c r="A41" s="427">
        <v>690</v>
      </c>
      <c r="B41" s="428" t="s">
        <v>89</v>
      </c>
      <c r="C41" s="156">
        <v>19</v>
      </c>
      <c r="D41" s="156">
        <v>5</v>
      </c>
      <c r="E41" s="244" t="s">
        <v>159</v>
      </c>
      <c r="F41" s="156">
        <v>173.54</v>
      </c>
      <c r="G41" s="60" t="s">
        <v>196</v>
      </c>
      <c r="H41" s="244"/>
      <c r="I41" s="56">
        <v>-0.56999999999999995</v>
      </c>
      <c r="J41" s="462">
        <v>-1.5490806770324701</v>
      </c>
      <c r="K41" s="494">
        <f t="shared" si="1"/>
        <v>11.643339566061792</v>
      </c>
      <c r="L41" s="295" t="s">
        <v>150</v>
      </c>
      <c r="M41" s="296" t="s">
        <v>16</v>
      </c>
      <c r="N41" s="297"/>
      <c r="O41" s="298" t="s">
        <v>118</v>
      </c>
      <c r="P41" s="306" t="s">
        <v>91</v>
      </c>
      <c r="Q41" s="298" t="s">
        <v>492</v>
      </c>
      <c r="R41" s="315" t="s">
        <v>277</v>
      </c>
      <c r="S41" s="300" t="s">
        <v>592</v>
      </c>
    </row>
    <row r="42" spans="1:19">
      <c r="A42" s="427">
        <v>690</v>
      </c>
      <c r="B42" s="428" t="s">
        <v>89</v>
      </c>
      <c r="C42" s="156">
        <v>19</v>
      </c>
      <c r="D42" s="156">
        <v>5</v>
      </c>
      <c r="E42" s="244" t="s">
        <v>176</v>
      </c>
      <c r="F42" s="156">
        <v>173.63</v>
      </c>
      <c r="G42" s="60" t="s">
        <v>196</v>
      </c>
      <c r="H42" s="244"/>
      <c r="I42" s="56">
        <v>-0.59</v>
      </c>
      <c r="J42" s="462">
        <v>-1.5490806770324701</v>
      </c>
      <c r="K42" s="494">
        <f t="shared" si="1"/>
        <v>11.732650875624476</v>
      </c>
      <c r="L42" s="295" t="s">
        <v>150</v>
      </c>
      <c r="M42" s="296" t="s">
        <v>16</v>
      </c>
      <c r="N42" s="297"/>
      <c r="O42" s="298" t="s">
        <v>118</v>
      </c>
      <c r="P42" s="306" t="s">
        <v>91</v>
      </c>
      <c r="Q42" s="298" t="s">
        <v>492</v>
      </c>
      <c r="R42" s="315" t="s">
        <v>277</v>
      </c>
      <c r="S42" s="300" t="s">
        <v>592</v>
      </c>
    </row>
    <row r="43" spans="1:19">
      <c r="A43" s="427">
        <v>690</v>
      </c>
      <c r="B43" s="428" t="s">
        <v>89</v>
      </c>
      <c r="C43" s="156">
        <v>19</v>
      </c>
      <c r="D43" s="156">
        <v>5</v>
      </c>
      <c r="E43" s="244" t="s">
        <v>177</v>
      </c>
      <c r="F43" s="156">
        <v>173.76</v>
      </c>
      <c r="G43" s="60" t="s">
        <v>196</v>
      </c>
      <c r="H43" s="244"/>
      <c r="I43" s="56">
        <v>-0.34</v>
      </c>
      <c r="J43" s="462">
        <v>-1.5490806770324701</v>
      </c>
      <c r="K43" s="494">
        <f t="shared" si="1"/>
        <v>10.621434506090939</v>
      </c>
      <c r="L43" s="295" t="s">
        <v>150</v>
      </c>
      <c r="M43" s="296" t="s">
        <v>16</v>
      </c>
      <c r="N43" s="297"/>
      <c r="O43" s="298" t="s">
        <v>118</v>
      </c>
      <c r="P43" s="306" t="s">
        <v>91</v>
      </c>
      <c r="Q43" s="298" t="s">
        <v>492</v>
      </c>
      <c r="R43" s="315" t="s">
        <v>277</v>
      </c>
      <c r="S43" s="300" t="s">
        <v>592</v>
      </c>
    </row>
    <row r="44" spans="1:19">
      <c r="A44" s="431">
        <v>690</v>
      </c>
      <c r="B44" s="945" t="s">
        <v>89</v>
      </c>
      <c r="C44" s="226">
        <v>19</v>
      </c>
      <c r="D44" s="226">
        <v>5</v>
      </c>
      <c r="E44" s="437" t="s">
        <v>178</v>
      </c>
      <c r="F44" s="226">
        <v>173.84</v>
      </c>
      <c r="G44" s="179" t="s">
        <v>196</v>
      </c>
      <c r="H44" s="437"/>
      <c r="I44" s="181">
        <v>-0.55000000000000004</v>
      </c>
      <c r="J44" s="939">
        <v>-1.5490806770324701</v>
      </c>
      <c r="K44" s="493">
        <f t="shared" si="1"/>
        <v>11.55410025649911</v>
      </c>
      <c r="L44" s="940" t="s">
        <v>150</v>
      </c>
      <c r="M44" s="386" t="s">
        <v>16</v>
      </c>
      <c r="N44" s="399"/>
      <c r="O44" s="390" t="s">
        <v>118</v>
      </c>
      <c r="P44" s="941" t="s">
        <v>91</v>
      </c>
      <c r="Q44" s="390" t="s">
        <v>492</v>
      </c>
      <c r="R44" s="505" t="s">
        <v>277</v>
      </c>
      <c r="S44" s="942" t="s">
        <v>592</v>
      </c>
    </row>
    <row r="45" spans="1:19">
      <c r="A45" s="427">
        <v>690</v>
      </c>
      <c r="B45" s="428" t="s">
        <v>89</v>
      </c>
      <c r="C45" s="428"/>
      <c r="D45" s="428"/>
      <c r="E45" s="199"/>
      <c r="F45" s="144">
        <v>166.9</v>
      </c>
      <c r="G45" s="156" t="s">
        <v>59</v>
      </c>
      <c r="H45" s="244"/>
      <c r="I45" s="260">
        <v>-0.36</v>
      </c>
      <c r="J45" s="462">
        <v>-1.5490806770324701</v>
      </c>
      <c r="K45" s="491">
        <f t="shared" si="1"/>
        <v>10.70991781565362</v>
      </c>
      <c r="L45" s="295" t="s">
        <v>391</v>
      </c>
      <c r="M45" s="296" t="s">
        <v>16</v>
      </c>
      <c r="N45" s="297" t="s">
        <v>127</v>
      </c>
      <c r="O45" s="298" t="s">
        <v>118</v>
      </c>
      <c r="P45" s="306" t="s">
        <v>91</v>
      </c>
      <c r="Q45" s="298" t="s">
        <v>492</v>
      </c>
      <c r="R45" s="299" t="s">
        <v>390</v>
      </c>
      <c r="S45" s="300"/>
    </row>
    <row r="46" spans="1:19">
      <c r="A46" s="427">
        <v>690</v>
      </c>
      <c r="B46" s="428" t="s">
        <v>89</v>
      </c>
      <c r="C46" s="428"/>
      <c r="D46" s="428"/>
      <c r="E46" s="199"/>
      <c r="F46" s="144">
        <v>166.94</v>
      </c>
      <c r="G46" s="156" t="s">
        <v>59</v>
      </c>
      <c r="H46" s="244"/>
      <c r="I46" s="260">
        <v>-0.77</v>
      </c>
      <c r="J46" s="462">
        <v>-1.5490806770324701</v>
      </c>
      <c r="K46" s="491">
        <f t="shared" si="1"/>
        <v>12.539692661688623</v>
      </c>
      <c r="L46" s="295" t="s">
        <v>391</v>
      </c>
      <c r="M46" s="296" t="s">
        <v>16</v>
      </c>
      <c r="N46" s="297" t="s">
        <v>127</v>
      </c>
      <c r="O46" s="298" t="s">
        <v>118</v>
      </c>
      <c r="P46" s="306" t="s">
        <v>91</v>
      </c>
      <c r="Q46" s="298" t="s">
        <v>492</v>
      </c>
      <c r="R46" s="299" t="s">
        <v>390</v>
      </c>
      <c r="S46" s="300"/>
    </row>
    <row r="47" spans="1:19">
      <c r="A47" s="427">
        <v>690</v>
      </c>
      <c r="B47" s="428" t="s">
        <v>89</v>
      </c>
      <c r="C47" s="428"/>
      <c r="D47" s="428"/>
      <c r="E47" s="199"/>
      <c r="F47" s="144">
        <v>167.04</v>
      </c>
      <c r="G47" s="156" t="s">
        <v>59</v>
      </c>
      <c r="H47" s="244"/>
      <c r="I47" s="260">
        <v>-0.37</v>
      </c>
      <c r="J47" s="462">
        <v>-1.5490806770324701</v>
      </c>
      <c r="K47" s="491">
        <f t="shared" si="1"/>
        <v>10.754186470434963</v>
      </c>
      <c r="L47" s="295" t="s">
        <v>391</v>
      </c>
      <c r="M47" s="296" t="s">
        <v>16</v>
      </c>
      <c r="N47" s="297" t="s">
        <v>127</v>
      </c>
      <c r="O47" s="298" t="s">
        <v>118</v>
      </c>
      <c r="P47" s="306" t="s">
        <v>91</v>
      </c>
      <c r="Q47" s="298" t="s">
        <v>492</v>
      </c>
      <c r="R47" s="299" t="s">
        <v>390</v>
      </c>
      <c r="S47" s="300"/>
    </row>
    <row r="48" spans="1:19">
      <c r="A48" s="427">
        <v>690</v>
      </c>
      <c r="B48" s="428" t="s">
        <v>89</v>
      </c>
      <c r="C48" s="428"/>
      <c r="D48" s="428"/>
      <c r="E48" s="199"/>
      <c r="F48" s="144">
        <v>167.14</v>
      </c>
      <c r="G48" s="156" t="s">
        <v>59</v>
      </c>
      <c r="H48" s="244"/>
      <c r="I48" s="260">
        <v>-0.51</v>
      </c>
      <c r="J48" s="462">
        <v>-1.5490806770324701</v>
      </c>
      <c r="K48" s="491">
        <f t="shared" si="1"/>
        <v>11.375837637373744</v>
      </c>
      <c r="L48" s="295" t="s">
        <v>391</v>
      </c>
      <c r="M48" s="296" t="s">
        <v>16</v>
      </c>
      <c r="N48" s="297" t="s">
        <v>127</v>
      </c>
      <c r="O48" s="298" t="s">
        <v>118</v>
      </c>
      <c r="P48" s="306" t="s">
        <v>91</v>
      </c>
      <c r="Q48" s="298" t="s">
        <v>492</v>
      </c>
      <c r="R48" s="299" t="s">
        <v>390</v>
      </c>
      <c r="S48" s="300"/>
    </row>
    <row r="49" spans="1:19">
      <c r="A49" s="427">
        <v>690</v>
      </c>
      <c r="B49" s="428" t="s">
        <v>89</v>
      </c>
      <c r="C49" s="428"/>
      <c r="D49" s="428"/>
      <c r="E49" s="199"/>
      <c r="F49" s="144">
        <v>167.24</v>
      </c>
      <c r="G49" s="156" t="s">
        <v>59</v>
      </c>
      <c r="H49" s="244"/>
      <c r="I49" s="260">
        <v>-0.38</v>
      </c>
      <c r="J49" s="462">
        <v>-1.5490806770324701</v>
      </c>
      <c r="K49" s="491">
        <f t="shared" si="1"/>
        <v>10.798473125216303</v>
      </c>
      <c r="L49" s="295" t="s">
        <v>391</v>
      </c>
      <c r="M49" s="296" t="s">
        <v>16</v>
      </c>
      <c r="N49" s="297" t="s">
        <v>127</v>
      </c>
      <c r="O49" s="298" t="s">
        <v>118</v>
      </c>
      <c r="P49" s="306" t="s">
        <v>91</v>
      </c>
      <c r="Q49" s="298" t="s">
        <v>492</v>
      </c>
      <c r="R49" s="299" t="s">
        <v>390</v>
      </c>
      <c r="S49" s="300"/>
    </row>
    <row r="50" spans="1:19">
      <c r="A50" s="427">
        <v>690</v>
      </c>
      <c r="B50" s="428" t="s">
        <v>89</v>
      </c>
      <c r="C50" s="428"/>
      <c r="D50" s="428"/>
      <c r="E50" s="199"/>
      <c r="F50" s="144">
        <v>167.34</v>
      </c>
      <c r="G50" s="156" t="s">
        <v>59</v>
      </c>
      <c r="H50" s="244"/>
      <c r="I50" s="260">
        <v>-0.19</v>
      </c>
      <c r="J50" s="462">
        <v>-1.5490806770324701</v>
      </c>
      <c r="K50" s="491">
        <f t="shared" si="1"/>
        <v>9.9601046843708154</v>
      </c>
      <c r="L50" s="295" t="s">
        <v>391</v>
      </c>
      <c r="M50" s="296" t="s">
        <v>16</v>
      </c>
      <c r="N50" s="297" t="s">
        <v>127</v>
      </c>
      <c r="O50" s="298" t="s">
        <v>118</v>
      </c>
      <c r="P50" s="306" t="s">
        <v>91</v>
      </c>
      <c r="Q50" s="298" t="s">
        <v>492</v>
      </c>
      <c r="R50" s="299" t="s">
        <v>390</v>
      </c>
      <c r="S50" s="300"/>
    </row>
    <row r="51" spans="1:19">
      <c r="A51" s="427">
        <v>690</v>
      </c>
      <c r="B51" s="428" t="s">
        <v>89</v>
      </c>
      <c r="C51" s="428"/>
      <c r="D51" s="428"/>
      <c r="E51" s="199"/>
      <c r="F51" s="144">
        <v>167.44</v>
      </c>
      <c r="G51" s="156" t="s">
        <v>59</v>
      </c>
      <c r="H51" s="244"/>
      <c r="I51" s="260">
        <v>-0.27</v>
      </c>
      <c r="J51" s="462">
        <v>-1.5490806770324701</v>
      </c>
      <c r="K51" s="491">
        <f t="shared" si="1"/>
        <v>10.312309922621546</v>
      </c>
      <c r="L51" s="295" t="s">
        <v>391</v>
      </c>
      <c r="M51" s="296" t="s">
        <v>16</v>
      </c>
      <c r="N51" s="297" t="s">
        <v>127</v>
      </c>
      <c r="O51" s="298" t="s">
        <v>118</v>
      </c>
      <c r="P51" s="306" t="s">
        <v>91</v>
      </c>
      <c r="Q51" s="298" t="s">
        <v>492</v>
      </c>
      <c r="R51" s="299" t="s">
        <v>390</v>
      </c>
      <c r="S51" s="300"/>
    </row>
    <row r="52" spans="1:19">
      <c r="A52" s="427">
        <v>690</v>
      </c>
      <c r="B52" s="428" t="s">
        <v>89</v>
      </c>
      <c r="C52" s="428"/>
      <c r="D52" s="428"/>
      <c r="E52" s="199"/>
      <c r="F52" s="144">
        <v>167.54</v>
      </c>
      <c r="G52" s="156" t="s">
        <v>59</v>
      </c>
      <c r="H52" s="244"/>
      <c r="I52" s="260">
        <v>-0.23</v>
      </c>
      <c r="J52" s="462">
        <v>-1.5490806770324701</v>
      </c>
      <c r="K52" s="491">
        <f t="shared" si="1"/>
        <v>10.136063303496179</v>
      </c>
      <c r="L52" s="295" t="s">
        <v>391</v>
      </c>
      <c r="M52" s="296" t="s">
        <v>16</v>
      </c>
      <c r="N52" s="297" t="s">
        <v>127</v>
      </c>
      <c r="O52" s="298" t="s">
        <v>118</v>
      </c>
      <c r="P52" s="306" t="s">
        <v>91</v>
      </c>
      <c r="Q52" s="298" t="s">
        <v>492</v>
      </c>
      <c r="R52" s="299" t="s">
        <v>390</v>
      </c>
      <c r="S52" s="300"/>
    </row>
    <row r="53" spans="1:19">
      <c r="A53" s="427">
        <v>690</v>
      </c>
      <c r="B53" s="428" t="s">
        <v>89</v>
      </c>
      <c r="C53" s="428"/>
      <c r="D53" s="428"/>
      <c r="E53" s="199"/>
      <c r="F53" s="144">
        <v>167.64</v>
      </c>
      <c r="G53" s="156" t="s">
        <v>59</v>
      </c>
      <c r="H53" s="244"/>
      <c r="I53" s="260">
        <v>-0.9</v>
      </c>
      <c r="J53" s="462">
        <v>-1.5490806770324701</v>
      </c>
      <c r="K53" s="491">
        <f t="shared" si="1"/>
        <v>13.126183173846064</v>
      </c>
      <c r="L53" s="295" t="s">
        <v>391</v>
      </c>
      <c r="M53" s="296" t="s">
        <v>16</v>
      </c>
      <c r="N53" s="297" t="s">
        <v>127</v>
      </c>
      <c r="O53" s="298" t="s">
        <v>118</v>
      </c>
      <c r="P53" s="306" t="s">
        <v>91</v>
      </c>
      <c r="Q53" s="298" t="s">
        <v>492</v>
      </c>
      <c r="R53" s="299" t="s">
        <v>390</v>
      </c>
      <c r="S53" s="300"/>
    </row>
    <row r="54" spans="1:19">
      <c r="A54" s="427">
        <v>690</v>
      </c>
      <c r="B54" s="428" t="s">
        <v>89</v>
      </c>
      <c r="C54" s="428"/>
      <c r="D54" s="428"/>
      <c r="E54" s="199"/>
      <c r="F54" s="144">
        <v>167.74</v>
      </c>
      <c r="G54" s="156" t="s">
        <v>59</v>
      </c>
      <c r="H54" s="244"/>
      <c r="I54" s="260">
        <v>-0.21</v>
      </c>
      <c r="J54" s="462">
        <v>-1.5490806770324701</v>
      </c>
      <c r="K54" s="491">
        <f t="shared" si="1"/>
        <v>10.048047993933496</v>
      </c>
      <c r="L54" s="295" t="s">
        <v>391</v>
      </c>
      <c r="M54" s="296" t="s">
        <v>16</v>
      </c>
      <c r="N54" s="297" t="s">
        <v>127</v>
      </c>
      <c r="O54" s="298" t="s">
        <v>118</v>
      </c>
      <c r="P54" s="306" t="s">
        <v>91</v>
      </c>
      <c r="Q54" s="298" t="s">
        <v>492</v>
      </c>
      <c r="R54" s="299" t="s">
        <v>390</v>
      </c>
      <c r="S54" s="300"/>
    </row>
    <row r="55" spans="1:19">
      <c r="A55" s="427">
        <v>690</v>
      </c>
      <c r="B55" s="428" t="s">
        <v>89</v>
      </c>
      <c r="C55" s="428"/>
      <c r="D55" s="428"/>
      <c r="E55" s="199"/>
      <c r="F55" s="144">
        <v>167.84</v>
      </c>
      <c r="G55" s="156" t="s">
        <v>59</v>
      </c>
      <c r="H55" s="244"/>
      <c r="I55" s="260">
        <v>-0.44</v>
      </c>
      <c r="J55" s="462">
        <v>-1.5490806770324701</v>
      </c>
      <c r="K55" s="491">
        <f t="shared" si="1"/>
        <v>11.064571053904352</v>
      </c>
      <c r="L55" s="295" t="s">
        <v>391</v>
      </c>
      <c r="M55" s="296" t="s">
        <v>16</v>
      </c>
      <c r="N55" s="297" t="s">
        <v>127</v>
      </c>
      <c r="O55" s="298" t="s">
        <v>118</v>
      </c>
      <c r="P55" s="306" t="s">
        <v>91</v>
      </c>
      <c r="Q55" s="298" t="s">
        <v>492</v>
      </c>
      <c r="R55" s="299" t="s">
        <v>390</v>
      </c>
      <c r="S55" s="300"/>
    </row>
    <row r="56" spans="1:19">
      <c r="A56" s="427">
        <v>690</v>
      </c>
      <c r="B56" s="428" t="s">
        <v>89</v>
      </c>
      <c r="C56" s="428"/>
      <c r="D56" s="428"/>
      <c r="E56" s="199"/>
      <c r="F56" s="144">
        <v>167.95</v>
      </c>
      <c r="G56" s="156" t="s">
        <v>59</v>
      </c>
      <c r="H56" s="244"/>
      <c r="I56" s="260">
        <v>-0.27</v>
      </c>
      <c r="J56" s="462">
        <v>-1.5490806770324701</v>
      </c>
      <c r="K56" s="491">
        <f t="shared" si="1"/>
        <v>10.312309922621546</v>
      </c>
      <c r="L56" s="295" t="s">
        <v>391</v>
      </c>
      <c r="M56" s="296" t="s">
        <v>16</v>
      </c>
      <c r="N56" s="297" t="s">
        <v>127</v>
      </c>
      <c r="O56" s="298" t="s">
        <v>118</v>
      </c>
      <c r="P56" s="306" t="s">
        <v>91</v>
      </c>
      <c r="Q56" s="298" t="s">
        <v>492</v>
      </c>
      <c r="R56" s="299" t="s">
        <v>390</v>
      </c>
      <c r="S56" s="300"/>
    </row>
    <row r="57" spans="1:19">
      <c r="A57" s="427">
        <v>690</v>
      </c>
      <c r="B57" s="428" t="s">
        <v>89</v>
      </c>
      <c r="C57" s="428"/>
      <c r="D57" s="428"/>
      <c r="E57" s="199"/>
      <c r="F57" s="144">
        <v>168.05</v>
      </c>
      <c r="G57" s="156" t="s">
        <v>59</v>
      </c>
      <c r="H57" s="244"/>
      <c r="I57" s="260">
        <v>-0.48</v>
      </c>
      <c r="J57" s="462">
        <v>-1.5490806770324701</v>
      </c>
      <c r="K57" s="491">
        <f t="shared" si="1"/>
        <v>11.242329673029719</v>
      </c>
      <c r="L57" s="295" t="s">
        <v>391</v>
      </c>
      <c r="M57" s="296" t="s">
        <v>16</v>
      </c>
      <c r="N57" s="297" t="s">
        <v>127</v>
      </c>
      <c r="O57" s="298" t="s">
        <v>118</v>
      </c>
      <c r="P57" s="306" t="s">
        <v>91</v>
      </c>
      <c r="Q57" s="298" t="s">
        <v>492</v>
      </c>
      <c r="R57" s="299" t="s">
        <v>390</v>
      </c>
      <c r="S57" s="300"/>
    </row>
    <row r="58" spans="1:19">
      <c r="A58" s="427">
        <v>690</v>
      </c>
      <c r="B58" s="428" t="s">
        <v>89</v>
      </c>
      <c r="C58" s="428"/>
      <c r="D58" s="428"/>
      <c r="E58" s="199"/>
      <c r="F58" s="144">
        <v>168.14</v>
      </c>
      <c r="G58" s="156" t="s">
        <v>59</v>
      </c>
      <c r="H58" s="244"/>
      <c r="I58" s="260">
        <v>-0.28999999999999998</v>
      </c>
      <c r="J58" s="462">
        <v>-1.5490806770324701</v>
      </c>
      <c r="K58" s="491">
        <f t="shared" si="1"/>
        <v>10.40054123218423</v>
      </c>
      <c r="L58" s="295" t="s">
        <v>391</v>
      </c>
      <c r="M58" s="296" t="s">
        <v>16</v>
      </c>
      <c r="N58" s="297" t="s">
        <v>127</v>
      </c>
      <c r="O58" s="298" t="s">
        <v>118</v>
      </c>
      <c r="P58" s="306" t="s">
        <v>91</v>
      </c>
      <c r="Q58" s="298" t="s">
        <v>492</v>
      </c>
      <c r="R58" s="299" t="s">
        <v>390</v>
      </c>
      <c r="S58" s="300"/>
    </row>
    <row r="59" spans="1:19">
      <c r="A59" s="427">
        <v>690</v>
      </c>
      <c r="B59" s="428" t="s">
        <v>89</v>
      </c>
      <c r="C59" s="428"/>
      <c r="D59" s="428"/>
      <c r="E59" s="199"/>
      <c r="F59" s="144">
        <v>168.24</v>
      </c>
      <c r="G59" s="156" t="s">
        <v>59</v>
      </c>
      <c r="H59" s="244"/>
      <c r="I59" s="260">
        <v>-0.75</v>
      </c>
      <c r="J59" s="462">
        <v>-1.5490806770324701</v>
      </c>
      <c r="K59" s="491">
        <f t="shared" si="1"/>
        <v>12.449733352125939</v>
      </c>
      <c r="L59" s="295" t="s">
        <v>391</v>
      </c>
      <c r="M59" s="296" t="s">
        <v>16</v>
      </c>
      <c r="N59" s="297" t="s">
        <v>127</v>
      </c>
      <c r="O59" s="298" t="s">
        <v>118</v>
      </c>
      <c r="P59" s="306" t="s">
        <v>91</v>
      </c>
      <c r="Q59" s="298" t="s">
        <v>492</v>
      </c>
      <c r="R59" s="299" t="s">
        <v>390</v>
      </c>
      <c r="S59" s="300"/>
    </row>
    <row r="60" spans="1:19">
      <c r="A60" s="427">
        <v>690</v>
      </c>
      <c r="B60" s="428" t="s">
        <v>89</v>
      </c>
      <c r="C60" s="428"/>
      <c r="D60" s="428"/>
      <c r="E60" s="199"/>
      <c r="F60" s="144">
        <v>168.34</v>
      </c>
      <c r="G60" s="156" t="s">
        <v>59</v>
      </c>
      <c r="H60" s="244"/>
      <c r="I60" s="260">
        <v>-0.73</v>
      </c>
      <c r="J60" s="462">
        <v>-1.5490806770324701</v>
      </c>
      <c r="K60" s="491">
        <f t="shared" si="1"/>
        <v>12.359846042563259</v>
      </c>
      <c r="L60" s="295" t="s">
        <v>391</v>
      </c>
      <c r="M60" s="296" t="s">
        <v>16</v>
      </c>
      <c r="N60" s="297" t="s">
        <v>127</v>
      </c>
      <c r="O60" s="298" t="s">
        <v>118</v>
      </c>
      <c r="P60" s="306" t="s">
        <v>91</v>
      </c>
      <c r="Q60" s="298" t="s">
        <v>492</v>
      </c>
      <c r="R60" s="299" t="s">
        <v>390</v>
      </c>
      <c r="S60" s="300"/>
    </row>
    <row r="61" spans="1:19">
      <c r="A61" s="427">
        <v>690</v>
      </c>
      <c r="B61" s="428" t="s">
        <v>89</v>
      </c>
      <c r="C61" s="428"/>
      <c r="D61" s="428"/>
      <c r="E61" s="199"/>
      <c r="F61" s="144">
        <v>168.43</v>
      </c>
      <c r="G61" s="156" t="s">
        <v>59</v>
      </c>
      <c r="H61" s="244"/>
      <c r="I61" s="260">
        <v>-0.68</v>
      </c>
      <c r="J61" s="462">
        <v>-1.5490806770324701</v>
      </c>
      <c r="K61" s="491">
        <f t="shared" si="1"/>
        <v>12.135442768656549</v>
      </c>
      <c r="L61" s="295" t="s">
        <v>391</v>
      </c>
      <c r="M61" s="296" t="s">
        <v>16</v>
      </c>
      <c r="N61" s="297" t="s">
        <v>127</v>
      </c>
      <c r="O61" s="298" t="s">
        <v>118</v>
      </c>
      <c r="P61" s="306" t="s">
        <v>91</v>
      </c>
      <c r="Q61" s="298" t="s">
        <v>492</v>
      </c>
      <c r="R61" s="299" t="s">
        <v>390</v>
      </c>
      <c r="S61" s="300"/>
    </row>
    <row r="62" spans="1:19">
      <c r="A62" s="427">
        <v>690</v>
      </c>
      <c r="B62" s="428" t="s">
        <v>89</v>
      </c>
      <c r="C62" s="428"/>
      <c r="D62" s="428"/>
      <c r="E62" s="199"/>
      <c r="F62" s="144">
        <v>168.65</v>
      </c>
      <c r="G62" s="156" t="s">
        <v>59</v>
      </c>
      <c r="H62" s="244"/>
      <c r="I62" s="260">
        <v>-0.38</v>
      </c>
      <c r="J62" s="462">
        <v>-1.5490806770324701</v>
      </c>
      <c r="K62" s="491">
        <f t="shared" si="1"/>
        <v>10.798473125216303</v>
      </c>
      <c r="L62" s="295" t="s">
        <v>391</v>
      </c>
      <c r="M62" s="296" t="s">
        <v>16</v>
      </c>
      <c r="N62" s="297" t="s">
        <v>127</v>
      </c>
      <c r="O62" s="298" t="s">
        <v>118</v>
      </c>
      <c r="P62" s="306" t="s">
        <v>91</v>
      </c>
      <c r="Q62" s="298" t="s">
        <v>492</v>
      </c>
      <c r="R62" s="299" t="s">
        <v>390</v>
      </c>
      <c r="S62" s="300"/>
    </row>
    <row r="63" spans="1:19">
      <c r="A63" s="427">
        <v>690</v>
      </c>
      <c r="B63" s="428" t="s">
        <v>89</v>
      </c>
      <c r="C63" s="428"/>
      <c r="D63" s="428"/>
      <c r="E63" s="199"/>
      <c r="F63" s="144">
        <v>168.77</v>
      </c>
      <c r="G63" s="156" t="s">
        <v>59</v>
      </c>
      <c r="H63" s="244"/>
      <c r="I63" s="260">
        <v>-0.4</v>
      </c>
      <c r="J63" s="462">
        <v>-1.5490806770324701</v>
      </c>
      <c r="K63" s="491">
        <f t="shared" si="1"/>
        <v>10.887100434778986</v>
      </c>
      <c r="L63" s="295" t="s">
        <v>391</v>
      </c>
      <c r="M63" s="296" t="s">
        <v>16</v>
      </c>
      <c r="N63" s="297" t="s">
        <v>127</v>
      </c>
      <c r="O63" s="298" t="s">
        <v>118</v>
      </c>
      <c r="P63" s="306" t="s">
        <v>91</v>
      </c>
      <c r="Q63" s="298" t="s">
        <v>492</v>
      </c>
      <c r="R63" s="299" t="s">
        <v>390</v>
      </c>
      <c r="S63" s="300"/>
    </row>
    <row r="64" spans="1:19">
      <c r="A64" s="427">
        <v>690</v>
      </c>
      <c r="B64" s="428" t="s">
        <v>89</v>
      </c>
      <c r="C64" s="428"/>
      <c r="D64" s="428"/>
      <c r="E64" s="199"/>
      <c r="F64" s="144">
        <v>168.83</v>
      </c>
      <c r="G64" s="156" t="s">
        <v>59</v>
      </c>
      <c r="H64" s="244"/>
      <c r="I64" s="260">
        <v>-0.46</v>
      </c>
      <c r="J64" s="462">
        <v>-1.5490806770324701</v>
      </c>
      <c r="K64" s="491">
        <f t="shared" si="1"/>
        <v>11.153414363467036</v>
      </c>
      <c r="L64" s="295" t="s">
        <v>391</v>
      </c>
      <c r="M64" s="296" t="s">
        <v>16</v>
      </c>
      <c r="N64" s="297" t="s">
        <v>127</v>
      </c>
      <c r="O64" s="298" t="s">
        <v>118</v>
      </c>
      <c r="P64" s="306" t="s">
        <v>91</v>
      </c>
      <c r="Q64" s="298" t="s">
        <v>492</v>
      </c>
      <c r="R64" s="299" t="s">
        <v>390</v>
      </c>
      <c r="S64" s="300"/>
    </row>
    <row r="65" spans="1:19">
      <c r="A65" s="427">
        <v>690</v>
      </c>
      <c r="B65" s="428" t="s">
        <v>89</v>
      </c>
      <c r="C65" s="428"/>
      <c r="D65" s="428"/>
      <c r="E65" s="199"/>
      <c r="F65" s="144">
        <v>168.94</v>
      </c>
      <c r="G65" s="156" t="s">
        <v>59</v>
      </c>
      <c r="H65" s="244"/>
      <c r="I65" s="260">
        <v>-0.24</v>
      </c>
      <c r="J65" s="462">
        <v>-1.5490806770324701</v>
      </c>
      <c r="K65" s="491">
        <f t="shared" si="1"/>
        <v>10.180097958277521</v>
      </c>
      <c r="L65" s="295" t="s">
        <v>391</v>
      </c>
      <c r="M65" s="296" t="s">
        <v>16</v>
      </c>
      <c r="N65" s="297" t="s">
        <v>127</v>
      </c>
      <c r="O65" s="298" t="s">
        <v>118</v>
      </c>
      <c r="P65" s="306" t="s">
        <v>91</v>
      </c>
      <c r="Q65" s="298" t="s">
        <v>492</v>
      </c>
      <c r="R65" s="299" t="s">
        <v>390</v>
      </c>
      <c r="S65" s="300"/>
    </row>
    <row r="66" spans="1:19">
      <c r="A66" s="427">
        <v>690</v>
      </c>
      <c r="B66" s="428" t="s">
        <v>89</v>
      </c>
      <c r="C66" s="428"/>
      <c r="D66" s="428"/>
      <c r="E66" s="199"/>
      <c r="F66" s="144">
        <v>169.03</v>
      </c>
      <c r="G66" s="156" t="s">
        <v>59</v>
      </c>
      <c r="H66" s="244"/>
      <c r="I66" s="260">
        <v>-0.6</v>
      </c>
      <c r="J66" s="462">
        <v>-1.5490806770324701</v>
      </c>
      <c r="K66" s="491">
        <f t="shared" si="1"/>
        <v>11.777333530405819</v>
      </c>
      <c r="L66" s="295" t="s">
        <v>391</v>
      </c>
      <c r="M66" s="296" t="s">
        <v>16</v>
      </c>
      <c r="N66" s="297" t="s">
        <v>127</v>
      </c>
      <c r="O66" s="298" t="s">
        <v>118</v>
      </c>
      <c r="P66" s="306" t="s">
        <v>91</v>
      </c>
      <c r="Q66" s="298" t="s">
        <v>492</v>
      </c>
      <c r="R66" s="299" t="s">
        <v>390</v>
      </c>
      <c r="S66" s="300"/>
    </row>
    <row r="67" spans="1:19">
      <c r="A67" s="427">
        <v>690</v>
      </c>
      <c r="B67" s="428" t="s">
        <v>89</v>
      </c>
      <c r="C67" s="428"/>
      <c r="D67" s="428"/>
      <c r="E67" s="199"/>
      <c r="F67" s="144">
        <v>169.13</v>
      </c>
      <c r="G67" s="156" t="s">
        <v>59</v>
      </c>
      <c r="H67" s="244"/>
      <c r="I67" s="260">
        <v>-0.64</v>
      </c>
      <c r="J67" s="462">
        <v>-1.5490806770324701</v>
      </c>
      <c r="K67" s="491">
        <f t="shared" si="1"/>
        <v>11.956244149531184</v>
      </c>
      <c r="L67" s="295" t="s">
        <v>391</v>
      </c>
      <c r="M67" s="296" t="s">
        <v>16</v>
      </c>
      <c r="N67" s="297" t="s">
        <v>127</v>
      </c>
      <c r="O67" s="298" t="s">
        <v>118</v>
      </c>
      <c r="P67" s="306" t="s">
        <v>91</v>
      </c>
      <c r="Q67" s="298" t="s">
        <v>492</v>
      </c>
      <c r="R67" s="299" t="s">
        <v>390</v>
      </c>
      <c r="S67" s="300"/>
    </row>
    <row r="68" spans="1:19">
      <c r="A68" s="427">
        <v>690</v>
      </c>
      <c r="B68" s="428" t="s">
        <v>89</v>
      </c>
      <c r="C68" s="428"/>
      <c r="D68" s="428"/>
      <c r="E68" s="199"/>
      <c r="F68" s="144">
        <v>169.23</v>
      </c>
      <c r="G68" s="156" t="s">
        <v>59</v>
      </c>
      <c r="H68" s="244"/>
      <c r="I68" s="260">
        <v>-0.85</v>
      </c>
      <c r="J68" s="462">
        <v>-1.5490806770324701</v>
      </c>
      <c r="K68" s="491">
        <f t="shared" si="1"/>
        <v>12.900249899939356</v>
      </c>
      <c r="L68" s="295" t="s">
        <v>391</v>
      </c>
      <c r="M68" s="296" t="s">
        <v>16</v>
      </c>
      <c r="N68" s="297" t="s">
        <v>127</v>
      </c>
      <c r="O68" s="298" t="s">
        <v>118</v>
      </c>
      <c r="P68" s="306" t="s">
        <v>91</v>
      </c>
      <c r="Q68" s="298" t="s">
        <v>492</v>
      </c>
      <c r="R68" s="299" t="s">
        <v>390</v>
      </c>
      <c r="S68" s="300"/>
    </row>
    <row r="69" spans="1:19">
      <c r="A69" s="427">
        <v>690</v>
      </c>
      <c r="B69" s="428" t="s">
        <v>89</v>
      </c>
      <c r="C69" s="428"/>
      <c r="D69" s="428"/>
      <c r="E69" s="199"/>
      <c r="F69" s="144">
        <v>169.33</v>
      </c>
      <c r="G69" s="156" t="s">
        <v>59</v>
      </c>
      <c r="H69" s="244"/>
      <c r="I69" s="260">
        <v>-0.77</v>
      </c>
      <c r="J69" s="462">
        <v>-1.5490806770324701</v>
      </c>
      <c r="K69" s="491">
        <f t="shared" si="1"/>
        <v>12.539692661688623</v>
      </c>
      <c r="L69" s="295" t="s">
        <v>391</v>
      </c>
      <c r="M69" s="296" t="s">
        <v>16</v>
      </c>
      <c r="N69" s="297" t="s">
        <v>127</v>
      </c>
      <c r="O69" s="298" t="s">
        <v>118</v>
      </c>
      <c r="P69" s="306" t="s">
        <v>91</v>
      </c>
      <c r="Q69" s="298" t="s">
        <v>492</v>
      </c>
      <c r="R69" s="299" t="s">
        <v>390</v>
      </c>
      <c r="S69" s="300"/>
    </row>
    <row r="70" spans="1:19">
      <c r="A70" s="431">
        <v>690</v>
      </c>
      <c r="B70" s="945" t="s">
        <v>89</v>
      </c>
      <c r="C70" s="945"/>
      <c r="D70" s="945"/>
      <c r="E70" s="432"/>
      <c r="F70" s="221">
        <v>169.55</v>
      </c>
      <c r="G70" s="226" t="s">
        <v>59</v>
      </c>
      <c r="H70" s="437"/>
      <c r="I70" s="943">
        <v>-0.67</v>
      </c>
      <c r="J70" s="939">
        <v>-1.5490806770324701</v>
      </c>
      <c r="K70" s="496">
        <f t="shared" si="1"/>
        <v>12.090616113875209</v>
      </c>
      <c r="L70" s="940" t="s">
        <v>391</v>
      </c>
      <c r="M70" s="386" t="s">
        <v>16</v>
      </c>
      <c r="N70" s="399" t="s">
        <v>127</v>
      </c>
      <c r="O70" s="390" t="s">
        <v>118</v>
      </c>
      <c r="P70" s="941" t="s">
        <v>91</v>
      </c>
      <c r="Q70" s="390" t="s">
        <v>492</v>
      </c>
      <c r="R70" s="944" t="s">
        <v>390</v>
      </c>
      <c r="S70" s="942"/>
    </row>
    <row r="71" spans="1:19">
      <c r="A71" s="427">
        <v>690</v>
      </c>
      <c r="B71" s="428" t="s">
        <v>89</v>
      </c>
      <c r="C71" s="69">
        <v>19</v>
      </c>
      <c r="D71" s="69">
        <v>1</v>
      </c>
      <c r="E71" s="270"/>
      <c r="F71" s="248">
        <v>166.95</v>
      </c>
      <c r="H71" s="244"/>
      <c r="I71" s="661">
        <v>0.21</v>
      </c>
      <c r="J71" s="462">
        <v>-1.5490806770324701</v>
      </c>
      <c r="K71" s="491">
        <f t="shared" si="1"/>
        <v>8.2163584931171521</v>
      </c>
      <c r="L71" s="295" t="s">
        <v>179</v>
      </c>
      <c r="M71" s="296" t="s">
        <v>16</v>
      </c>
      <c r="N71" s="297"/>
      <c r="O71" s="298" t="s">
        <v>44</v>
      </c>
      <c r="P71" s="314" t="s">
        <v>91</v>
      </c>
      <c r="Q71" s="307" t="s">
        <v>492</v>
      </c>
      <c r="R71" s="564" t="s">
        <v>277</v>
      </c>
      <c r="S71" s="300"/>
    </row>
    <row r="72" spans="1:19">
      <c r="A72" s="427">
        <v>690</v>
      </c>
      <c r="B72" s="428" t="s">
        <v>89</v>
      </c>
      <c r="C72" s="69">
        <v>19</v>
      </c>
      <c r="D72" s="69">
        <v>1</v>
      </c>
      <c r="E72" s="270" t="s">
        <v>166</v>
      </c>
      <c r="F72" s="248">
        <v>167.35</v>
      </c>
      <c r="H72" s="244"/>
      <c r="I72" s="661">
        <v>-0.16</v>
      </c>
      <c r="J72" s="462">
        <v>-1.5490806770324701</v>
      </c>
      <c r="K72" s="491">
        <f t="shared" si="1"/>
        <v>9.8283247200267887</v>
      </c>
      <c r="L72" s="295" t="s">
        <v>179</v>
      </c>
      <c r="M72" s="296" t="s">
        <v>16</v>
      </c>
      <c r="N72" s="297"/>
      <c r="O72" s="298" t="s">
        <v>44</v>
      </c>
      <c r="P72" s="314" t="s">
        <v>91</v>
      </c>
      <c r="Q72" s="307" t="s">
        <v>492</v>
      </c>
      <c r="R72" s="564" t="s">
        <v>277</v>
      </c>
      <c r="S72" s="300"/>
    </row>
    <row r="73" spans="1:19">
      <c r="A73" s="427">
        <v>690</v>
      </c>
      <c r="B73" s="428" t="s">
        <v>89</v>
      </c>
      <c r="C73" s="69">
        <v>19</v>
      </c>
      <c r="D73" s="69">
        <v>1</v>
      </c>
      <c r="E73" s="270" t="s">
        <v>159</v>
      </c>
      <c r="F73" s="248">
        <v>167.54</v>
      </c>
      <c r="H73" s="244"/>
      <c r="I73" s="661">
        <v>-0.08</v>
      </c>
      <c r="J73" s="462">
        <v>-1.5490806770324701</v>
      </c>
      <c r="K73" s="491">
        <f t="shared" si="1"/>
        <v>9.4777034817760573</v>
      </c>
      <c r="L73" s="295" t="s">
        <v>179</v>
      </c>
      <c r="M73" s="296" t="s">
        <v>16</v>
      </c>
      <c r="N73" s="297"/>
      <c r="O73" s="298" t="s">
        <v>44</v>
      </c>
      <c r="P73" s="314" t="s">
        <v>91</v>
      </c>
      <c r="Q73" s="307" t="s">
        <v>492</v>
      </c>
      <c r="R73" s="564" t="s">
        <v>277</v>
      </c>
      <c r="S73" s="300"/>
    </row>
    <row r="74" spans="1:19">
      <c r="A74" s="427">
        <v>690</v>
      </c>
      <c r="B74" s="428" t="s">
        <v>89</v>
      </c>
      <c r="C74" s="69">
        <v>19</v>
      </c>
      <c r="D74" s="69">
        <v>1</v>
      </c>
      <c r="E74" s="270" t="s">
        <v>181</v>
      </c>
      <c r="F74" s="248">
        <v>167.76</v>
      </c>
      <c r="H74" s="244"/>
      <c r="I74" s="661">
        <v>-0.22</v>
      </c>
      <c r="J74" s="462">
        <v>-1.5490806770324701</v>
      </c>
      <c r="K74" s="491">
        <f t="shared" si="1"/>
        <v>10.092046648714838</v>
      </c>
      <c r="L74" s="295" t="s">
        <v>179</v>
      </c>
      <c r="M74" s="296" t="s">
        <v>16</v>
      </c>
      <c r="N74" s="297"/>
      <c r="O74" s="298" t="s">
        <v>44</v>
      </c>
      <c r="P74" s="314" t="s">
        <v>91</v>
      </c>
      <c r="Q74" s="307" t="s">
        <v>492</v>
      </c>
      <c r="R74" s="564" t="s">
        <v>277</v>
      </c>
      <c r="S74" s="300"/>
    </row>
    <row r="75" spans="1:19">
      <c r="A75" s="427">
        <v>690</v>
      </c>
      <c r="B75" s="428" t="s">
        <v>89</v>
      </c>
      <c r="C75" s="69">
        <v>19</v>
      </c>
      <c r="D75" s="69">
        <v>1</v>
      </c>
      <c r="E75" s="270"/>
      <c r="F75" s="248">
        <v>167.84</v>
      </c>
      <c r="H75" s="244"/>
      <c r="I75" s="661">
        <v>-0.12</v>
      </c>
      <c r="J75" s="462">
        <v>-1.5490806770324701</v>
      </c>
      <c r="K75" s="491">
        <f t="shared" si="1"/>
        <v>9.6528701009014242</v>
      </c>
      <c r="L75" s="295" t="s">
        <v>179</v>
      </c>
      <c r="M75" s="296" t="s">
        <v>16</v>
      </c>
      <c r="N75" s="297"/>
      <c r="O75" s="298" t="s">
        <v>44</v>
      </c>
      <c r="P75" s="314" t="s">
        <v>91</v>
      </c>
      <c r="Q75" s="307" t="s">
        <v>492</v>
      </c>
      <c r="R75" s="564" t="s">
        <v>277</v>
      </c>
      <c r="S75" s="300"/>
    </row>
    <row r="76" spans="1:19">
      <c r="A76" s="427">
        <v>690</v>
      </c>
      <c r="B76" s="428" t="s">
        <v>89</v>
      </c>
      <c r="C76" s="69">
        <v>19</v>
      </c>
      <c r="D76" s="69">
        <v>1</v>
      </c>
      <c r="E76" s="270"/>
      <c r="F76" s="248">
        <v>168.06</v>
      </c>
      <c r="H76" s="244"/>
      <c r="I76" s="661">
        <v>-0.16</v>
      </c>
      <c r="J76" s="462">
        <v>-1.5490806770324701</v>
      </c>
      <c r="K76" s="491">
        <f t="shared" si="1"/>
        <v>9.8283247200267887</v>
      </c>
      <c r="L76" s="295" t="s">
        <v>179</v>
      </c>
      <c r="M76" s="296" t="s">
        <v>16</v>
      </c>
      <c r="N76" s="297"/>
      <c r="O76" s="298" t="s">
        <v>44</v>
      </c>
      <c r="P76" s="314" t="s">
        <v>91</v>
      </c>
      <c r="Q76" s="307" t="s">
        <v>492</v>
      </c>
      <c r="R76" s="564" t="s">
        <v>277</v>
      </c>
      <c r="S76" s="300"/>
    </row>
    <row r="77" spans="1:19">
      <c r="A77" s="427">
        <v>690</v>
      </c>
      <c r="B77" s="428" t="s">
        <v>89</v>
      </c>
      <c r="C77" s="69">
        <v>19</v>
      </c>
      <c r="D77" s="69">
        <v>1</v>
      </c>
      <c r="E77" s="270"/>
      <c r="F77" s="248">
        <v>168.16</v>
      </c>
      <c r="H77" s="244"/>
      <c r="I77" s="661">
        <v>-0.19</v>
      </c>
      <c r="J77" s="462">
        <v>-1.5490806770324701</v>
      </c>
      <c r="K77" s="491">
        <f t="shared" ref="K77:K138" si="2">16.1-4.64*($I77-J77)+0.09*($I77-J77)^2</f>
        <v>9.9601046843708154</v>
      </c>
      <c r="L77" s="295" t="s">
        <v>179</v>
      </c>
      <c r="M77" s="296" t="s">
        <v>16</v>
      </c>
      <c r="N77" s="297"/>
      <c r="O77" s="298" t="s">
        <v>44</v>
      </c>
      <c r="P77" s="314" t="s">
        <v>91</v>
      </c>
      <c r="Q77" s="307" t="s">
        <v>492</v>
      </c>
      <c r="R77" s="564" t="s">
        <v>277</v>
      </c>
      <c r="S77" s="300"/>
    </row>
    <row r="78" spans="1:19">
      <c r="A78" s="427">
        <v>690</v>
      </c>
      <c r="B78" s="428" t="s">
        <v>89</v>
      </c>
      <c r="C78" s="69">
        <v>19</v>
      </c>
      <c r="D78" s="69">
        <v>1</v>
      </c>
      <c r="E78" s="270" t="s">
        <v>182</v>
      </c>
      <c r="F78" s="248">
        <v>168.25</v>
      </c>
      <c r="H78" s="244"/>
      <c r="I78" s="661">
        <v>-0.09</v>
      </c>
      <c r="J78" s="462">
        <v>-1.5490806770324701</v>
      </c>
      <c r="K78" s="491">
        <f t="shared" si="2"/>
        <v>9.5214681365573988</v>
      </c>
      <c r="L78" s="295" t="s">
        <v>179</v>
      </c>
      <c r="M78" s="296" t="s">
        <v>16</v>
      </c>
      <c r="N78" s="297"/>
      <c r="O78" s="298" t="s">
        <v>44</v>
      </c>
      <c r="P78" s="314" t="s">
        <v>91</v>
      </c>
      <c r="Q78" s="307" t="s">
        <v>492</v>
      </c>
      <c r="R78" s="564" t="s">
        <v>277</v>
      </c>
      <c r="S78" s="300"/>
    </row>
    <row r="79" spans="1:19">
      <c r="A79" s="427">
        <v>690</v>
      </c>
      <c r="B79" s="428" t="s">
        <v>89</v>
      </c>
      <c r="C79" s="69">
        <v>19</v>
      </c>
      <c r="D79" s="69">
        <v>2</v>
      </c>
      <c r="E79" s="270" t="s">
        <v>183</v>
      </c>
      <c r="F79" s="248">
        <v>168.37</v>
      </c>
      <c r="H79" s="244"/>
      <c r="I79" s="661">
        <v>-0.24</v>
      </c>
      <c r="J79" s="462">
        <v>-1.5490806770324701</v>
      </c>
      <c r="K79" s="491">
        <f t="shared" si="2"/>
        <v>10.180097958277521</v>
      </c>
      <c r="L79" s="295" t="s">
        <v>179</v>
      </c>
      <c r="M79" s="296" t="s">
        <v>16</v>
      </c>
      <c r="N79" s="297"/>
      <c r="O79" s="298" t="s">
        <v>44</v>
      </c>
      <c r="P79" s="314" t="s">
        <v>91</v>
      </c>
      <c r="Q79" s="307" t="s">
        <v>492</v>
      </c>
      <c r="R79" s="564" t="s">
        <v>277</v>
      </c>
      <c r="S79" s="300"/>
    </row>
    <row r="80" spans="1:19">
      <c r="A80" s="427">
        <v>690</v>
      </c>
      <c r="B80" s="428" t="s">
        <v>89</v>
      </c>
      <c r="C80" s="69">
        <v>19</v>
      </c>
      <c r="D80" s="69">
        <v>2</v>
      </c>
      <c r="E80" s="270" t="s">
        <v>166</v>
      </c>
      <c r="F80" s="248">
        <v>168.55</v>
      </c>
      <c r="H80" s="244"/>
      <c r="I80" s="661">
        <v>0.19</v>
      </c>
      <c r="J80" s="462">
        <v>-1.5490806770324701</v>
      </c>
      <c r="K80" s="491">
        <f t="shared" si="2"/>
        <v>8.3028618026798355</v>
      </c>
      <c r="L80" s="295" t="s">
        <v>179</v>
      </c>
      <c r="M80" s="296" t="s">
        <v>16</v>
      </c>
      <c r="N80" s="297"/>
      <c r="O80" s="298" t="s">
        <v>44</v>
      </c>
      <c r="P80" s="314" t="s">
        <v>91</v>
      </c>
      <c r="Q80" s="307" t="s">
        <v>492</v>
      </c>
      <c r="R80" s="564" t="s">
        <v>277</v>
      </c>
      <c r="S80" s="300"/>
    </row>
    <row r="81" spans="1:19">
      <c r="A81" s="427">
        <v>690</v>
      </c>
      <c r="B81" s="428" t="s">
        <v>89</v>
      </c>
      <c r="C81" s="69">
        <v>19</v>
      </c>
      <c r="D81" s="69">
        <v>2</v>
      </c>
      <c r="E81" s="270" t="s">
        <v>168</v>
      </c>
      <c r="F81" s="248">
        <v>168.85</v>
      </c>
      <c r="H81" s="244"/>
      <c r="I81" s="661">
        <v>-0.08</v>
      </c>
      <c r="J81" s="462">
        <v>-1.5490806770324701</v>
      </c>
      <c r="K81" s="491">
        <f t="shared" si="2"/>
        <v>9.4777034817760573</v>
      </c>
      <c r="L81" s="295" t="s">
        <v>179</v>
      </c>
      <c r="M81" s="296" t="s">
        <v>16</v>
      </c>
      <c r="N81" s="297"/>
      <c r="O81" s="298" t="s">
        <v>44</v>
      </c>
      <c r="P81" s="314" t="s">
        <v>91</v>
      </c>
      <c r="Q81" s="307" t="s">
        <v>492</v>
      </c>
      <c r="R81" s="564" t="s">
        <v>277</v>
      </c>
      <c r="S81" s="300"/>
    </row>
    <row r="82" spans="1:19">
      <c r="A82" s="427">
        <v>690</v>
      </c>
      <c r="B82" s="428" t="s">
        <v>89</v>
      </c>
      <c r="C82" s="69">
        <v>19</v>
      </c>
      <c r="D82" s="69">
        <v>2</v>
      </c>
      <c r="E82" s="270" t="s">
        <v>184</v>
      </c>
      <c r="F82" s="248">
        <v>168.98</v>
      </c>
      <c r="H82" s="244"/>
      <c r="I82" s="661">
        <v>-0.04</v>
      </c>
      <c r="J82" s="462">
        <v>-1.5490806770324701</v>
      </c>
      <c r="K82" s="491">
        <f t="shared" si="2"/>
        <v>9.3028248626506898</v>
      </c>
      <c r="L82" s="663" t="s">
        <v>179</v>
      </c>
      <c r="M82" s="297" t="s">
        <v>16</v>
      </c>
      <c r="N82" s="297"/>
      <c r="O82" s="298" t="s">
        <v>44</v>
      </c>
      <c r="P82" s="314" t="s">
        <v>91</v>
      </c>
      <c r="Q82" s="307" t="s">
        <v>492</v>
      </c>
      <c r="R82" s="564" t="s">
        <v>277</v>
      </c>
      <c r="S82" s="300"/>
    </row>
    <row r="83" spans="1:19">
      <c r="A83" s="427">
        <v>690</v>
      </c>
      <c r="B83" s="428" t="s">
        <v>89</v>
      </c>
      <c r="C83" s="69">
        <v>19</v>
      </c>
      <c r="D83" s="69">
        <v>2</v>
      </c>
      <c r="E83" s="69" t="s">
        <v>185</v>
      </c>
      <c r="F83" s="248">
        <v>169.55</v>
      </c>
      <c r="H83" s="244"/>
      <c r="I83" s="661">
        <v>-0.71</v>
      </c>
      <c r="J83" s="462">
        <v>-1.5490806770324701</v>
      </c>
      <c r="K83" s="491">
        <f t="shared" si="2"/>
        <v>12.270030733000574</v>
      </c>
      <c r="L83" s="295" t="s">
        <v>180</v>
      </c>
      <c r="M83" s="296" t="s">
        <v>16</v>
      </c>
      <c r="N83" s="297"/>
      <c r="O83" s="298" t="s">
        <v>44</v>
      </c>
      <c r="P83" s="314" t="s">
        <v>91</v>
      </c>
      <c r="Q83" s="307" t="s">
        <v>492</v>
      </c>
      <c r="R83" s="564" t="s">
        <v>277</v>
      </c>
      <c r="S83" s="300"/>
    </row>
    <row r="84" spans="1:19">
      <c r="A84" s="427">
        <v>690</v>
      </c>
      <c r="B84" s="428" t="s">
        <v>89</v>
      </c>
      <c r="C84" s="69">
        <v>19</v>
      </c>
      <c r="D84" s="69">
        <v>2</v>
      </c>
      <c r="E84" s="69" t="s">
        <v>186</v>
      </c>
      <c r="F84" s="248">
        <v>169.65</v>
      </c>
      <c r="H84" s="244"/>
      <c r="I84" s="661">
        <v>-0.86</v>
      </c>
      <c r="J84" s="462">
        <v>-1.5490806770324701</v>
      </c>
      <c r="K84" s="491">
        <f t="shared" si="2"/>
        <v>12.945400554720697</v>
      </c>
      <c r="L84" s="295" t="s">
        <v>180</v>
      </c>
      <c r="M84" s="296" t="s">
        <v>16</v>
      </c>
      <c r="N84" s="297"/>
      <c r="O84" s="298" t="s">
        <v>44</v>
      </c>
      <c r="P84" s="314" t="s">
        <v>91</v>
      </c>
      <c r="Q84" s="307" t="s">
        <v>492</v>
      </c>
      <c r="R84" s="315" t="s">
        <v>277</v>
      </c>
      <c r="S84" s="300"/>
    </row>
    <row r="85" spans="1:19">
      <c r="A85" s="427">
        <v>690</v>
      </c>
      <c r="B85" s="428" t="s">
        <v>89</v>
      </c>
      <c r="C85" s="69">
        <v>19</v>
      </c>
      <c r="D85" s="69">
        <v>2</v>
      </c>
      <c r="E85" s="69" t="s">
        <v>154</v>
      </c>
      <c r="F85" s="248">
        <v>169.77</v>
      </c>
      <c r="H85" s="244"/>
      <c r="I85" s="661">
        <v>-0.55000000000000004</v>
      </c>
      <c r="J85" s="462">
        <v>-1.5490806770324701</v>
      </c>
      <c r="K85" s="491">
        <f t="shared" si="2"/>
        <v>11.55410025649911</v>
      </c>
      <c r="L85" s="295" t="s">
        <v>180</v>
      </c>
      <c r="M85" s="296" t="s">
        <v>16</v>
      </c>
      <c r="N85" s="297"/>
      <c r="O85" s="298" t="s">
        <v>44</v>
      </c>
      <c r="P85" s="314" t="s">
        <v>91</v>
      </c>
      <c r="Q85" s="307" t="s">
        <v>492</v>
      </c>
      <c r="R85" s="315" t="s">
        <v>277</v>
      </c>
      <c r="S85" s="300"/>
    </row>
    <row r="86" spans="1:19">
      <c r="A86" s="427">
        <v>690</v>
      </c>
      <c r="B86" s="428" t="s">
        <v>89</v>
      </c>
      <c r="C86" s="69">
        <v>19</v>
      </c>
      <c r="D86" s="69">
        <v>3</v>
      </c>
      <c r="E86" s="69" t="s">
        <v>187</v>
      </c>
      <c r="F86" s="511">
        <v>169.85</v>
      </c>
      <c r="G86" s="156" t="s">
        <v>20</v>
      </c>
      <c r="H86" s="244"/>
      <c r="I86" s="661">
        <v>-0.82</v>
      </c>
      <c r="J86" s="462">
        <v>-1.5490806770324701</v>
      </c>
      <c r="K86" s="491">
        <f t="shared" si="2"/>
        <v>12.76490593559533</v>
      </c>
      <c r="L86" s="295" t="s">
        <v>180</v>
      </c>
      <c r="M86" s="296" t="s">
        <v>16</v>
      </c>
      <c r="N86" s="297"/>
      <c r="O86" s="298" t="s">
        <v>44</v>
      </c>
      <c r="P86" s="314" t="s">
        <v>91</v>
      </c>
      <c r="Q86" s="307" t="s">
        <v>492</v>
      </c>
      <c r="R86" s="315" t="s">
        <v>277</v>
      </c>
      <c r="S86" s="300"/>
    </row>
    <row r="87" spans="1:19">
      <c r="A87" s="427">
        <v>690</v>
      </c>
      <c r="B87" s="428" t="s">
        <v>89</v>
      </c>
      <c r="C87" s="69">
        <v>19</v>
      </c>
      <c r="D87" s="69">
        <v>3</v>
      </c>
      <c r="E87" s="69" t="s">
        <v>145</v>
      </c>
      <c r="F87" s="511">
        <v>169.94</v>
      </c>
      <c r="G87" s="156" t="s">
        <v>20</v>
      </c>
      <c r="H87" s="244"/>
      <c r="I87" s="661">
        <v>-1.17</v>
      </c>
      <c r="J87" s="462">
        <v>-1.5490806770324701</v>
      </c>
      <c r="K87" s="491">
        <f t="shared" si="2"/>
        <v>14.353998852942286</v>
      </c>
      <c r="L87" s="295" t="s">
        <v>180</v>
      </c>
      <c r="M87" s="296" t="s">
        <v>16</v>
      </c>
      <c r="N87" s="297"/>
      <c r="O87" s="298" t="s">
        <v>44</v>
      </c>
      <c r="P87" s="314" t="s">
        <v>91</v>
      </c>
      <c r="Q87" s="307" t="s">
        <v>492</v>
      </c>
      <c r="R87" s="315" t="s">
        <v>277</v>
      </c>
      <c r="S87" s="300"/>
    </row>
    <row r="88" spans="1:19">
      <c r="A88" s="427">
        <v>690</v>
      </c>
      <c r="B88" s="428" t="s">
        <v>89</v>
      </c>
      <c r="C88" s="69">
        <v>19</v>
      </c>
      <c r="D88" s="69">
        <v>3</v>
      </c>
      <c r="E88" s="69" t="s">
        <v>155</v>
      </c>
      <c r="F88" s="511">
        <v>170.05</v>
      </c>
      <c r="G88" s="156" t="s">
        <v>20</v>
      </c>
      <c r="H88" s="244"/>
      <c r="I88" s="661">
        <v>-1.21</v>
      </c>
      <c r="J88" s="462">
        <v>-1.5490806770324701</v>
      </c>
      <c r="K88" s="491">
        <f t="shared" si="2"/>
        <v>14.537013472067652</v>
      </c>
      <c r="L88" s="295" t="s">
        <v>180</v>
      </c>
      <c r="M88" s="296" t="s">
        <v>16</v>
      </c>
      <c r="N88" s="297"/>
      <c r="O88" s="298" t="s">
        <v>44</v>
      </c>
      <c r="P88" s="314" t="s">
        <v>91</v>
      </c>
      <c r="Q88" s="307" t="s">
        <v>492</v>
      </c>
      <c r="R88" s="315" t="s">
        <v>277</v>
      </c>
      <c r="S88" s="300"/>
    </row>
    <row r="89" spans="1:19">
      <c r="A89" s="427">
        <v>690</v>
      </c>
      <c r="B89" s="428" t="s">
        <v>89</v>
      </c>
      <c r="C89" s="69">
        <v>19</v>
      </c>
      <c r="D89" s="69">
        <v>3</v>
      </c>
      <c r="E89" s="69" t="s">
        <v>156</v>
      </c>
      <c r="F89" s="511">
        <v>170.16</v>
      </c>
      <c r="G89" s="156" t="s">
        <v>20</v>
      </c>
      <c r="H89" s="244"/>
      <c r="I89" s="661">
        <v>-0.97</v>
      </c>
      <c r="J89" s="462">
        <v>-1.5490806770324701</v>
      </c>
      <c r="K89" s="491">
        <f t="shared" si="2"/>
        <v>13.443245757315456</v>
      </c>
      <c r="L89" s="295" t="s">
        <v>180</v>
      </c>
      <c r="M89" s="296" t="s">
        <v>16</v>
      </c>
      <c r="N89" s="297"/>
      <c r="O89" s="298" t="s">
        <v>44</v>
      </c>
      <c r="P89" s="314" t="s">
        <v>91</v>
      </c>
      <c r="Q89" s="307" t="s">
        <v>492</v>
      </c>
      <c r="R89" s="315" t="s">
        <v>277</v>
      </c>
      <c r="S89" s="300"/>
    </row>
    <row r="90" spans="1:19">
      <c r="A90" s="427">
        <v>690</v>
      </c>
      <c r="B90" s="428" t="s">
        <v>89</v>
      </c>
      <c r="C90" s="69">
        <v>19</v>
      </c>
      <c r="D90" s="69">
        <v>3</v>
      </c>
      <c r="E90" s="69" t="s">
        <v>157</v>
      </c>
      <c r="F90" s="511">
        <v>170.35</v>
      </c>
      <c r="G90" s="156" t="s">
        <v>20</v>
      </c>
      <c r="H90" s="244"/>
      <c r="I90" s="661">
        <v>-1.02</v>
      </c>
      <c r="J90" s="462">
        <v>-1.5490806770324701</v>
      </c>
      <c r="K90" s="491">
        <f t="shared" si="2"/>
        <v>13.670259031222162</v>
      </c>
      <c r="L90" s="295" t="s">
        <v>180</v>
      </c>
      <c r="M90" s="296" t="s">
        <v>16</v>
      </c>
      <c r="N90" s="297"/>
      <c r="O90" s="298" t="s">
        <v>44</v>
      </c>
      <c r="P90" s="314" t="s">
        <v>91</v>
      </c>
      <c r="Q90" s="307" t="s">
        <v>492</v>
      </c>
      <c r="R90" s="315" t="s">
        <v>277</v>
      </c>
      <c r="S90" s="300"/>
    </row>
    <row r="91" spans="1:19">
      <c r="A91" s="427">
        <v>690</v>
      </c>
      <c r="B91" s="428" t="s">
        <v>89</v>
      </c>
      <c r="C91" s="69">
        <v>19</v>
      </c>
      <c r="D91" s="69">
        <v>3</v>
      </c>
      <c r="E91" s="69" t="s">
        <v>158</v>
      </c>
      <c r="F91" s="511">
        <v>170.45</v>
      </c>
      <c r="G91" s="156" t="s">
        <v>20</v>
      </c>
      <c r="H91" s="244"/>
      <c r="I91" s="661">
        <v>-1.21</v>
      </c>
      <c r="J91" s="462">
        <v>-1.5490806770324701</v>
      </c>
      <c r="K91" s="491">
        <f t="shared" si="2"/>
        <v>14.537013472067652</v>
      </c>
      <c r="L91" s="295" t="s">
        <v>180</v>
      </c>
      <c r="M91" s="296" t="s">
        <v>16</v>
      </c>
      <c r="N91" s="297"/>
      <c r="O91" s="298" t="s">
        <v>44</v>
      </c>
      <c r="P91" s="314" t="s">
        <v>91</v>
      </c>
      <c r="Q91" s="307" t="s">
        <v>492</v>
      </c>
      <c r="R91" s="315" t="s">
        <v>277</v>
      </c>
      <c r="S91" s="300"/>
    </row>
    <row r="92" spans="1:19">
      <c r="A92" s="427">
        <v>690</v>
      </c>
      <c r="B92" s="428" t="s">
        <v>89</v>
      </c>
      <c r="C92" s="69">
        <v>19</v>
      </c>
      <c r="D92" s="69">
        <v>3</v>
      </c>
      <c r="E92" s="69" t="s">
        <v>159</v>
      </c>
      <c r="F92" s="511">
        <v>170.54</v>
      </c>
      <c r="G92" s="156" t="s">
        <v>20</v>
      </c>
      <c r="H92" s="244"/>
      <c r="I92" s="661">
        <v>-1.45</v>
      </c>
      <c r="J92" s="462">
        <v>-1.5490806770324701</v>
      </c>
      <c r="K92" s="491">
        <f t="shared" si="2"/>
        <v>15.641149186819851</v>
      </c>
      <c r="L92" s="295" t="s">
        <v>180</v>
      </c>
      <c r="M92" s="296" t="s">
        <v>16</v>
      </c>
      <c r="N92" s="297"/>
      <c r="O92" s="298" t="s">
        <v>44</v>
      </c>
      <c r="P92" s="314" t="s">
        <v>91</v>
      </c>
      <c r="Q92" s="307" t="s">
        <v>492</v>
      </c>
      <c r="R92" s="315" t="s">
        <v>277</v>
      </c>
      <c r="S92" s="300"/>
    </row>
    <row r="93" spans="1:19">
      <c r="A93" s="427">
        <v>690</v>
      </c>
      <c r="B93" s="428" t="s">
        <v>89</v>
      </c>
      <c r="C93" s="69">
        <v>19</v>
      </c>
      <c r="D93" s="69">
        <v>3</v>
      </c>
      <c r="E93" s="69" t="s">
        <v>160</v>
      </c>
      <c r="F93" s="248">
        <v>170.62</v>
      </c>
      <c r="H93" s="244"/>
      <c r="I93" s="661">
        <v>0.1</v>
      </c>
      <c r="J93" s="462">
        <v>-1.5490806770324701</v>
      </c>
      <c r="K93" s="491">
        <f t="shared" si="2"/>
        <v>8.6930176957119087</v>
      </c>
      <c r="L93" s="295" t="s">
        <v>180</v>
      </c>
      <c r="M93" s="296" t="s">
        <v>16</v>
      </c>
      <c r="N93" s="297"/>
      <c r="O93" s="298" t="s">
        <v>44</v>
      </c>
      <c r="P93" s="314" t="s">
        <v>91</v>
      </c>
      <c r="Q93" s="307" t="s">
        <v>492</v>
      </c>
      <c r="R93" s="315" t="s">
        <v>277</v>
      </c>
      <c r="S93" s="300"/>
    </row>
    <row r="94" spans="1:19">
      <c r="A94" s="427">
        <v>690</v>
      </c>
      <c r="B94" s="428" t="s">
        <v>89</v>
      </c>
      <c r="C94" s="69">
        <v>19</v>
      </c>
      <c r="D94" s="69">
        <v>3</v>
      </c>
      <c r="E94" s="69" t="s">
        <v>161</v>
      </c>
      <c r="F94" s="248">
        <v>170.76</v>
      </c>
      <c r="H94" s="244"/>
      <c r="I94" s="661">
        <v>0.17</v>
      </c>
      <c r="J94" s="462">
        <v>-1.5490806770324701</v>
      </c>
      <c r="K94" s="491">
        <f t="shared" si="2"/>
        <v>8.3894371122425184</v>
      </c>
      <c r="L94" s="295" t="s">
        <v>180</v>
      </c>
      <c r="M94" s="296" t="s">
        <v>16</v>
      </c>
      <c r="N94" s="297"/>
      <c r="O94" s="298" t="s">
        <v>44</v>
      </c>
      <c r="P94" s="314" t="s">
        <v>91</v>
      </c>
      <c r="Q94" s="307" t="s">
        <v>492</v>
      </c>
      <c r="R94" s="315" t="s">
        <v>277</v>
      </c>
      <c r="S94" s="300"/>
    </row>
    <row r="95" spans="1:19">
      <c r="A95" s="427">
        <v>690</v>
      </c>
      <c r="B95" s="428" t="s">
        <v>89</v>
      </c>
      <c r="C95" s="69">
        <v>19</v>
      </c>
      <c r="D95" s="69">
        <v>3</v>
      </c>
      <c r="E95" s="69" t="s">
        <v>188</v>
      </c>
      <c r="F95" s="511">
        <v>170.84</v>
      </c>
      <c r="G95" s="443" t="s">
        <v>196</v>
      </c>
      <c r="H95" s="244"/>
      <c r="I95" s="661">
        <v>0.3</v>
      </c>
      <c r="J95" s="462">
        <v>-1.5490806770324701</v>
      </c>
      <c r="K95" s="491">
        <f t="shared" si="2"/>
        <v>7.8279846000850766</v>
      </c>
      <c r="L95" s="295" t="s">
        <v>180</v>
      </c>
      <c r="M95" s="296" t="s">
        <v>16</v>
      </c>
      <c r="N95" s="297"/>
      <c r="O95" s="298" t="s">
        <v>44</v>
      </c>
      <c r="P95" s="314" t="s">
        <v>91</v>
      </c>
      <c r="Q95" s="307" t="s">
        <v>492</v>
      </c>
      <c r="R95" s="315" t="s">
        <v>277</v>
      </c>
      <c r="S95" s="380" t="s">
        <v>711</v>
      </c>
    </row>
    <row r="96" spans="1:19">
      <c r="A96" s="427">
        <v>690</v>
      </c>
      <c r="B96" s="428" t="s">
        <v>89</v>
      </c>
      <c r="C96" s="69">
        <v>19</v>
      </c>
      <c r="D96" s="69">
        <v>3</v>
      </c>
      <c r="E96" s="69" t="s">
        <v>185</v>
      </c>
      <c r="F96" s="511">
        <v>171.05</v>
      </c>
      <c r="G96" s="443" t="s">
        <v>196</v>
      </c>
      <c r="H96" s="244"/>
      <c r="I96" s="661">
        <v>0.33</v>
      </c>
      <c r="J96" s="462">
        <v>-1.5490806770324701</v>
      </c>
      <c r="K96" s="491">
        <f t="shared" si="2"/>
        <v>7.6988506357410538</v>
      </c>
      <c r="L96" s="295" t="s">
        <v>180</v>
      </c>
      <c r="M96" s="296" t="s">
        <v>16</v>
      </c>
      <c r="N96" s="297"/>
      <c r="O96" s="298" t="s">
        <v>44</v>
      </c>
      <c r="P96" s="314" t="s">
        <v>91</v>
      </c>
      <c r="Q96" s="307" t="s">
        <v>492</v>
      </c>
      <c r="R96" s="315" t="s">
        <v>277</v>
      </c>
      <c r="S96" s="380" t="s">
        <v>711</v>
      </c>
    </row>
    <row r="97" spans="1:19">
      <c r="A97" s="427">
        <v>690</v>
      </c>
      <c r="B97" s="428" t="s">
        <v>89</v>
      </c>
      <c r="C97" s="69">
        <v>19</v>
      </c>
      <c r="D97" s="69">
        <v>3</v>
      </c>
      <c r="E97" s="69" t="s">
        <v>163</v>
      </c>
      <c r="F97" s="511">
        <v>171.17</v>
      </c>
      <c r="G97" s="443" t="s">
        <v>196</v>
      </c>
      <c r="H97" s="244"/>
      <c r="I97" s="661">
        <v>-0.02</v>
      </c>
      <c r="J97" s="462">
        <v>-1.5490806770324701</v>
      </c>
      <c r="K97" s="491">
        <f t="shared" si="2"/>
        <v>9.215493553088006</v>
      </c>
      <c r="L97" s="295" t="s">
        <v>180</v>
      </c>
      <c r="M97" s="296" t="s">
        <v>16</v>
      </c>
      <c r="N97" s="297"/>
      <c r="O97" s="298" t="s">
        <v>44</v>
      </c>
      <c r="P97" s="314" t="s">
        <v>91</v>
      </c>
      <c r="Q97" s="307" t="s">
        <v>492</v>
      </c>
      <c r="R97" s="315" t="s">
        <v>277</v>
      </c>
      <c r="S97" s="380" t="s">
        <v>711</v>
      </c>
    </row>
    <row r="98" spans="1:19">
      <c r="A98" s="427">
        <v>690</v>
      </c>
      <c r="B98" s="428" t="s">
        <v>89</v>
      </c>
      <c r="C98" s="69">
        <v>19</v>
      </c>
      <c r="D98" s="69">
        <v>3</v>
      </c>
      <c r="E98" s="69" t="s">
        <v>189</v>
      </c>
      <c r="F98" s="511">
        <v>171.26</v>
      </c>
      <c r="G98" s="443" t="s">
        <v>196</v>
      </c>
      <c r="H98" s="244"/>
      <c r="I98" s="661">
        <v>-0.01</v>
      </c>
      <c r="J98" s="462">
        <v>-1.5490806770324701</v>
      </c>
      <c r="K98" s="491">
        <f t="shared" si="2"/>
        <v>9.1718548983066661</v>
      </c>
      <c r="L98" s="295" t="s">
        <v>180</v>
      </c>
      <c r="M98" s="296" t="s">
        <v>16</v>
      </c>
      <c r="N98" s="297"/>
      <c r="O98" s="298" t="s">
        <v>44</v>
      </c>
      <c r="P98" s="314" t="s">
        <v>91</v>
      </c>
      <c r="Q98" s="307" t="s">
        <v>492</v>
      </c>
      <c r="R98" s="315" t="s">
        <v>277</v>
      </c>
      <c r="S98" s="380" t="s">
        <v>711</v>
      </c>
    </row>
    <row r="99" spans="1:19">
      <c r="A99" s="427">
        <v>690</v>
      </c>
      <c r="B99" s="428" t="s">
        <v>89</v>
      </c>
      <c r="C99" s="69">
        <v>19</v>
      </c>
      <c r="D99" s="69">
        <v>4</v>
      </c>
      <c r="E99" s="69" t="s">
        <v>164</v>
      </c>
      <c r="F99" s="511">
        <v>171.38</v>
      </c>
      <c r="G99" s="443" t="s">
        <v>196</v>
      </c>
      <c r="H99" s="244"/>
      <c r="I99" s="661">
        <v>0.27</v>
      </c>
      <c r="J99" s="462">
        <v>-1.5490806770324701</v>
      </c>
      <c r="K99" s="491">
        <f t="shared" si="2"/>
        <v>7.9572805644291025</v>
      </c>
      <c r="L99" s="295" t="s">
        <v>180</v>
      </c>
      <c r="M99" s="296" t="s">
        <v>16</v>
      </c>
      <c r="N99" s="297"/>
      <c r="O99" s="298" t="s">
        <v>44</v>
      </c>
      <c r="P99" s="314" t="s">
        <v>91</v>
      </c>
      <c r="Q99" s="307" t="s">
        <v>492</v>
      </c>
      <c r="R99" s="315" t="s">
        <v>277</v>
      </c>
      <c r="S99" s="380" t="s">
        <v>711</v>
      </c>
    </row>
    <row r="100" spans="1:19">
      <c r="A100" s="427">
        <v>690</v>
      </c>
      <c r="B100" s="428" t="s">
        <v>89</v>
      </c>
      <c r="C100" s="69">
        <v>19</v>
      </c>
      <c r="D100" s="69">
        <v>4</v>
      </c>
      <c r="E100" s="69" t="s">
        <v>165</v>
      </c>
      <c r="F100" s="511">
        <v>171.45</v>
      </c>
      <c r="G100" s="443" t="s">
        <v>196</v>
      </c>
      <c r="H100" s="244"/>
      <c r="I100" s="661">
        <v>-0.08</v>
      </c>
      <c r="J100" s="462">
        <v>-1.5490806770324701</v>
      </c>
      <c r="K100" s="491">
        <f t="shared" si="2"/>
        <v>9.4777034817760573</v>
      </c>
      <c r="L100" s="295" t="s">
        <v>180</v>
      </c>
      <c r="M100" s="296" t="s">
        <v>16</v>
      </c>
      <c r="N100" s="297"/>
      <c r="O100" s="298" t="s">
        <v>44</v>
      </c>
      <c r="P100" s="314" t="s">
        <v>91</v>
      </c>
      <c r="Q100" s="307" t="s">
        <v>492</v>
      </c>
      <c r="R100" s="315" t="s">
        <v>277</v>
      </c>
      <c r="S100" s="380" t="s">
        <v>711</v>
      </c>
    </row>
    <row r="101" spans="1:19">
      <c r="A101" s="427">
        <v>690</v>
      </c>
      <c r="B101" s="428" t="s">
        <v>89</v>
      </c>
      <c r="C101" s="69">
        <v>19</v>
      </c>
      <c r="D101" s="69">
        <v>4</v>
      </c>
      <c r="E101" s="69" t="s">
        <v>166</v>
      </c>
      <c r="F101" s="511">
        <v>171.55</v>
      </c>
      <c r="G101" s="443" t="s">
        <v>196</v>
      </c>
      <c r="H101" s="244"/>
      <c r="I101" s="661">
        <v>0.15</v>
      </c>
      <c r="J101" s="462">
        <v>-1.5490806770324701</v>
      </c>
      <c r="K101" s="491">
        <f t="shared" si="2"/>
        <v>8.4760844218052025</v>
      </c>
      <c r="L101" s="295" t="s">
        <v>180</v>
      </c>
      <c r="M101" s="296" t="s">
        <v>16</v>
      </c>
      <c r="N101" s="297"/>
      <c r="O101" s="298" t="s">
        <v>44</v>
      </c>
      <c r="P101" s="314" t="s">
        <v>91</v>
      </c>
      <c r="Q101" s="307" t="s">
        <v>492</v>
      </c>
      <c r="R101" s="315" t="s">
        <v>277</v>
      </c>
      <c r="S101" s="380" t="s">
        <v>711</v>
      </c>
    </row>
    <row r="102" spans="1:19">
      <c r="A102" s="427">
        <v>690</v>
      </c>
      <c r="B102" s="428" t="s">
        <v>89</v>
      </c>
      <c r="C102" s="69">
        <v>19</v>
      </c>
      <c r="D102" s="69">
        <v>4</v>
      </c>
      <c r="E102" s="69" t="s">
        <v>167</v>
      </c>
      <c r="F102" s="511">
        <v>171.66</v>
      </c>
      <c r="G102" s="443" t="s">
        <v>196</v>
      </c>
      <c r="H102" s="244"/>
      <c r="I102" s="661">
        <v>0.24</v>
      </c>
      <c r="J102" s="462">
        <v>-1.5490806770324701</v>
      </c>
      <c r="K102" s="491">
        <f t="shared" si="2"/>
        <v>8.086738528773127</v>
      </c>
      <c r="L102" s="295" t="s">
        <v>180</v>
      </c>
      <c r="M102" s="296" t="s">
        <v>16</v>
      </c>
      <c r="N102" s="297"/>
      <c r="O102" s="298" t="s">
        <v>44</v>
      </c>
      <c r="P102" s="314" t="s">
        <v>91</v>
      </c>
      <c r="Q102" s="307" t="s">
        <v>492</v>
      </c>
      <c r="R102" s="315" t="s">
        <v>277</v>
      </c>
      <c r="S102" s="380" t="s">
        <v>711</v>
      </c>
    </row>
    <row r="103" spans="1:19">
      <c r="A103" s="427">
        <v>690</v>
      </c>
      <c r="B103" s="428" t="s">
        <v>89</v>
      </c>
      <c r="C103" s="69">
        <v>19</v>
      </c>
      <c r="D103" s="69">
        <v>4</v>
      </c>
      <c r="E103" s="69" t="s">
        <v>168</v>
      </c>
      <c r="F103" s="511">
        <v>171.85</v>
      </c>
      <c r="G103" s="443" t="s">
        <v>196</v>
      </c>
      <c r="H103" s="244"/>
      <c r="I103" s="661">
        <v>0.19</v>
      </c>
      <c r="J103" s="462">
        <v>-1.5490806770324701</v>
      </c>
      <c r="K103" s="491">
        <f t="shared" si="2"/>
        <v>8.3028618026798355</v>
      </c>
      <c r="L103" s="295" t="s">
        <v>180</v>
      </c>
      <c r="M103" s="296" t="s">
        <v>16</v>
      </c>
      <c r="N103" s="297"/>
      <c r="O103" s="298" t="s">
        <v>44</v>
      </c>
      <c r="P103" s="314" t="s">
        <v>91</v>
      </c>
      <c r="Q103" s="307" t="s">
        <v>492</v>
      </c>
      <c r="R103" s="315" t="s">
        <v>277</v>
      </c>
      <c r="S103" s="380" t="s">
        <v>711</v>
      </c>
    </row>
    <row r="104" spans="1:19">
      <c r="A104" s="427">
        <v>690</v>
      </c>
      <c r="B104" s="428" t="s">
        <v>89</v>
      </c>
      <c r="C104" s="69">
        <v>19</v>
      </c>
      <c r="D104" s="69">
        <v>4</v>
      </c>
      <c r="E104" s="69" t="s">
        <v>169</v>
      </c>
      <c r="F104" s="511">
        <v>171.92</v>
      </c>
      <c r="G104" s="443" t="s">
        <v>196</v>
      </c>
      <c r="H104" s="244"/>
      <c r="I104" s="661">
        <v>0.05</v>
      </c>
      <c r="J104" s="462">
        <v>-1.5490806770324701</v>
      </c>
      <c r="K104" s="491">
        <f t="shared" si="2"/>
        <v>8.9104009696186157</v>
      </c>
      <c r="L104" s="295" t="s">
        <v>180</v>
      </c>
      <c r="M104" s="296" t="s">
        <v>16</v>
      </c>
      <c r="N104" s="297"/>
      <c r="O104" s="298" t="s">
        <v>44</v>
      </c>
      <c r="P104" s="314" t="s">
        <v>91</v>
      </c>
      <c r="Q104" s="307" t="s">
        <v>492</v>
      </c>
      <c r="R104" s="315" t="s">
        <v>277</v>
      </c>
      <c r="S104" s="380" t="s">
        <v>711</v>
      </c>
    </row>
    <row r="105" spans="1:19">
      <c r="A105" s="427">
        <v>690</v>
      </c>
      <c r="B105" s="428" t="s">
        <v>89</v>
      </c>
      <c r="C105" s="69">
        <v>19</v>
      </c>
      <c r="D105" s="69">
        <v>4</v>
      </c>
      <c r="E105" s="69" t="s">
        <v>170</v>
      </c>
      <c r="F105" s="511">
        <v>172.14</v>
      </c>
      <c r="G105" s="443" t="s">
        <v>196</v>
      </c>
      <c r="H105" s="244"/>
      <c r="I105" s="661">
        <v>0.06</v>
      </c>
      <c r="J105" s="462">
        <v>-1.5490806770324701</v>
      </c>
      <c r="K105" s="491">
        <f t="shared" si="2"/>
        <v>8.8668883148372757</v>
      </c>
      <c r="L105" s="295" t="s">
        <v>180</v>
      </c>
      <c r="M105" s="296" t="s">
        <v>16</v>
      </c>
      <c r="N105" s="297"/>
      <c r="O105" s="298" t="s">
        <v>44</v>
      </c>
      <c r="P105" s="314" t="s">
        <v>91</v>
      </c>
      <c r="Q105" s="307" t="s">
        <v>492</v>
      </c>
      <c r="R105" s="315" t="s">
        <v>277</v>
      </c>
      <c r="S105" s="380" t="s">
        <v>711</v>
      </c>
    </row>
    <row r="106" spans="1:19">
      <c r="A106" s="427">
        <v>690</v>
      </c>
      <c r="B106" s="428" t="s">
        <v>89</v>
      </c>
      <c r="C106" s="69">
        <v>19</v>
      </c>
      <c r="D106" s="69">
        <v>4</v>
      </c>
      <c r="E106" s="69" t="s">
        <v>172</v>
      </c>
      <c r="F106" s="511">
        <v>172.25</v>
      </c>
      <c r="G106" s="443" t="s">
        <v>196</v>
      </c>
      <c r="H106" s="244"/>
      <c r="I106" s="661">
        <v>0.3</v>
      </c>
      <c r="J106" s="462">
        <v>-1.5490806770324701</v>
      </c>
      <c r="K106" s="491">
        <f t="shared" si="2"/>
        <v>7.8279846000850766</v>
      </c>
      <c r="L106" s="295" t="s">
        <v>180</v>
      </c>
      <c r="M106" s="296" t="s">
        <v>16</v>
      </c>
      <c r="N106" s="297"/>
      <c r="O106" s="298" t="s">
        <v>44</v>
      </c>
      <c r="P106" s="314" t="s">
        <v>91</v>
      </c>
      <c r="Q106" s="307" t="s">
        <v>492</v>
      </c>
      <c r="R106" s="315" t="s">
        <v>277</v>
      </c>
      <c r="S106" s="380" t="s">
        <v>711</v>
      </c>
    </row>
    <row r="107" spans="1:19">
      <c r="A107" s="427">
        <v>690</v>
      </c>
      <c r="B107" s="428" t="s">
        <v>89</v>
      </c>
      <c r="C107" s="69">
        <v>19</v>
      </c>
      <c r="D107" s="69">
        <v>5</v>
      </c>
      <c r="E107" s="69" t="s">
        <v>173</v>
      </c>
      <c r="F107" s="511">
        <v>172.33</v>
      </c>
      <c r="G107" s="443" t="s">
        <v>196</v>
      </c>
      <c r="H107" s="244"/>
      <c r="I107" s="661">
        <v>0.11</v>
      </c>
      <c r="J107" s="462">
        <v>-1.5490806770324701</v>
      </c>
      <c r="K107" s="491">
        <f t="shared" si="2"/>
        <v>8.6495950409305671</v>
      </c>
      <c r="L107" s="295" t="s">
        <v>180</v>
      </c>
      <c r="M107" s="296" t="s">
        <v>16</v>
      </c>
      <c r="N107" s="297"/>
      <c r="O107" s="298" t="s">
        <v>44</v>
      </c>
      <c r="P107" s="314" t="s">
        <v>91</v>
      </c>
      <c r="Q107" s="307" t="s">
        <v>492</v>
      </c>
      <c r="R107" s="315" t="s">
        <v>277</v>
      </c>
      <c r="S107" s="380" t="s">
        <v>711</v>
      </c>
    </row>
    <row r="108" spans="1:19">
      <c r="A108" s="427">
        <v>690</v>
      </c>
      <c r="B108" s="428" t="s">
        <v>89</v>
      </c>
      <c r="C108" s="69">
        <v>19</v>
      </c>
      <c r="D108" s="69">
        <v>5</v>
      </c>
      <c r="E108" s="69" t="s">
        <v>165</v>
      </c>
      <c r="F108" s="248">
        <v>172.95</v>
      </c>
      <c r="G108" s="443" t="s">
        <v>196</v>
      </c>
      <c r="H108" s="244"/>
      <c r="I108" s="661">
        <v>0.09</v>
      </c>
      <c r="J108" s="462">
        <v>-1.5490806770324701</v>
      </c>
      <c r="K108" s="491">
        <f t="shared" si="2"/>
        <v>8.7364583504932511</v>
      </c>
      <c r="L108" s="295" t="s">
        <v>180</v>
      </c>
      <c r="M108" s="296" t="s">
        <v>16</v>
      </c>
      <c r="N108" s="297"/>
      <c r="O108" s="298" t="s">
        <v>44</v>
      </c>
      <c r="P108" s="314" t="s">
        <v>91</v>
      </c>
      <c r="Q108" s="307" t="s">
        <v>492</v>
      </c>
      <c r="R108" s="315" t="s">
        <v>277</v>
      </c>
      <c r="S108" s="300" t="s">
        <v>592</v>
      </c>
    </row>
    <row r="109" spans="1:19">
      <c r="A109" s="427">
        <v>690</v>
      </c>
      <c r="B109" s="428" t="s">
        <v>89</v>
      </c>
      <c r="C109" s="69">
        <v>19</v>
      </c>
      <c r="D109" s="69">
        <v>5</v>
      </c>
      <c r="E109" s="69" t="s">
        <v>166</v>
      </c>
      <c r="F109" s="248">
        <v>173.16</v>
      </c>
      <c r="G109" s="443" t="s">
        <v>196</v>
      </c>
      <c r="H109" s="244"/>
      <c r="I109" s="661">
        <v>0.05</v>
      </c>
      <c r="J109" s="462">
        <v>-1.5490806770324701</v>
      </c>
      <c r="K109" s="491">
        <f t="shared" si="2"/>
        <v>8.9104009696186157</v>
      </c>
      <c r="L109" s="295" t="s">
        <v>180</v>
      </c>
      <c r="M109" s="296" t="s">
        <v>16</v>
      </c>
      <c r="N109" s="297"/>
      <c r="O109" s="298" t="s">
        <v>44</v>
      </c>
      <c r="P109" s="314" t="s">
        <v>91</v>
      </c>
      <c r="Q109" s="307" t="s">
        <v>492</v>
      </c>
      <c r="R109" s="315" t="s">
        <v>277</v>
      </c>
      <c r="S109" s="300" t="s">
        <v>592</v>
      </c>
    </row>
    <row r="110" spans="1:19">
      <c r="A110" s="427">
        <v>690</v>
      </c>
      <c r="B110" s="428" t="s">
        <v>89</v>
      </c>
      <c r="C110" s="69">
        <v>19</v>
      </c>
      <c r="D110" s="69">
        <v>5</v>
      </c>
      <c r="E110" s="69" t="s">
        <v>174</v>
      </c>
      <c r="F110" s="248">
        <v>173.34</v>
      </c>
      <c r="G110" s="443" t="s">
        <v>196</v>
      </c>
      <c r="H110" s="244"/>
      <c r="I110" s="661">
        <v>0.22</v>
      </c>
      <c r="J110" s="462">
        <v>-1.5490806770324701</v>
      </c>
      <c r="K110" s="491">
        <f t="shared" si="2"/>
        <v>8.1731338383358114</v>
      </c>
      <c r="L110" s="295" t="s">
        <v>180</v>
      </c>
      <c r="M110" s="296" t="s">
        <v>16</v>
      </c>
      <c r="N110" s="297"/>
      <c r="O110" s="298" t="s">
        <v>44</v>
      </c>
      <c r="P110" s="314" t="s">
        <v>91</v>
      </c>
      <c r="Q110" s="307" t="s">
        <v>492</v>
      </c>
      <c r="R110" s="315" t="s">
        <v>277</v>
      </c>
      <c r="S110" s="300" t="s">
        <v>592</v>
      </c>
    </row>
    <row r="111" spans="1:19">
      <c r="A111" s="427">
        <v>690</v>
      </c>
      <c r="B111" s="428" t="s">
        <v>89</v>
      </c>
      <c r="C111" s="69">
        <v>19</v>
      </c>
      <c r="D111" s="69">
        <v>5</v>
      </c>
      <c r="E111" s="69" t="s">
        <v>175</v>
      </c>
      <c r="F111" s="248">
        <v>173.46</v>
      </c>
      <c r="G111" s="443" t="s">
        <v>196</v>
      </c>
      <c r="H111" s="244"/>
      <c r="I111" s="661">
        <v>0.27</v>
      </c>
      <c r="J111" s="462">
        <v>-1.5490806770324701</v>
      </c>
      <c r="K111" s="491">
        <f t="shared" si="2"/>
        <v>7.9572805644291025</v>
      </c>
      <c r="L111" s="295" t="s">
        <v>180</v>
      </c>
      <c r="M111" s="296" t="s">
        <v>16</v>
      </c>
      <c r="N111" s="297"/>
      <c r="O111" s="298" t="s">
        <v>44</v>
      </c>
      <c r="P111" s="314" t="s">
        <v>91</v>
      </c>
      <c r="Q111" s="307" t="s">
        <v>492</v>
      </c>
      <c r="R111" s="315" t="s">
        <v>277</v>
      </c>
      <c r="S111" s="300" t="s">
        <v>592</v>
      </c>
    </row>
    <row r="112" spans="1:19">
      <c r="A112" s="427">
        <v>690</v>
      </c>
      <c r="B112" s="428" t="s">
        <v>89</v>
      </c>
      <c r="C112" s="69">
        <v>19</v>
      </c>
      <c r="D112" s="69">
        <v>5</v>
      </c>
      <c r="E112" s="69" t="s">
        <v>159</v>
      </c>
      <c r="F112" s="248">
        <v>173.54</v>
      </c>
      <c r="G112" s="443" t="s">
        <v>196</v>
      </c>
      <c r="H112" s="244"/>
      <c r="I112" s="661">
        <v>0.18</v>
      </c>
      <c r="J112" s="462">
        <v>-1.5490806770324701</v>
      </c>
      <c r="K112" s="491">
        <f t="shared" si="2"/>
        <v>8.3461404574611766</v>
      </c>
      <c r="L112" s="295" t="s">
        <v>180</v>
      </c>
      <c r="M112" s="296" t="s">
        <v>16</v>
      </c>
      <c r="N112" s="297"/>
      <c r="O112" s="298" t="s">
        <v>44</v>
      </c>
      <c r="P112" s="314" t="s">
        <v>91</v>
      </c>
      <c r="Q112" s="307" t="s">
        <v>492</v>
      </c>
      <c r="R112" s="315" t="s">
        <v>277</v>
      </c>
      <c r="S112" s="300" t="s">
        <v>592</v>
      </c>
    </row>
    <row r="113" spans="1:19">
      <c r="A113" s="427">
        <v>690</v>
      </c>
      <c r="B113" s="428" t="s">
        <v>89</v>
      </c>
      <c r="C113" s="69">
        <v>19</v>
      </c>
      <c r="D113" s="69">
        <v>5</v>
      </c>
      <c r="E113" s="69" t="s">
        <v>176</v>
      </c>
      <c r="F113" s="248">
        <v>173.63</v>
      </c>
      <c r="G113" s="443" t="s">
        <v>196</v>
      </c>
      <c r="H113" s="244"/>
      <c r="I113" s="661">
        <v>0.09</v>
      </c>
      <c r="J113" s="462">
        <v>-1.5490806770324701</v>
      </c>
      <c r="K113" s="491">
        <f t="shared" si="2"/>
        <v>8.7364583504932511</v>
      </c>
      <c r="L113" s="295" t="s">
        <v>180</v>
      </c>
      <c r="M113" s="296" t="s">
        <v>16</v>
      </c>
      <c r="N113" s="297"/>
      <c r="O113" s="298" t="s">
        <v>44</v>
      </c>
      <c r="P113" s="314" t="s">
        <v>91</v>
      </c>
      <c r="Q113" s="307" t="s">
        <v>492</v>
      </c>
      <c r="R113" s="315" t="s">
        <v>277</v>
      </c>
      <c r="S113" s="300" t="s">
        <v>592</v>
      </c>
    </row>
    <row r="114" spans="1:19">
      <c r="A114" s="427">
        <v>690</v>
      </c>
      <c r="B114" s="428" t="s">
        <v>89</v>
      </c>
      <c r="C114" s="69">
        <v>19</v>
      </c>
      <c r="D114" s="69">
        <v>5</v>
      </c>
      <c r="E114" s="69" t="s">
        <v>177</v>
      </c>
      <c r="F114" s="248">
        <v>173.76</v>
      </c>
      <c r="G114" s="443" t="s">
        <v>196</v>
      </c>
      <c r="H114" s="244"/>
      <c r="I114" s="661">
        <v>0.15</v>
      </c>
      <c r="J114" s="462">
        <v>-1.5490806770324701</v>
      </c>
      <c r="K114" s="491">
        <f t="shared" si="2"/>
        <v>8.4760844218052025</v>
      </c>
      <c r="L114" s="295" t="s">
        <v>180</v>
      </c>
      <c r="M114" s="296" t="s">
        <v>16</v>
      </c>
      <c r="N114" s="297"/>
      <c r="O114" s="298" t="s">
        <v>44</v>
      </c>
      <c r="P114" s="314" t="s">
        <v>91</v>
      </c>
      <c r="Q114" s="307" t="s">
        <v>492</v>
      </c>
      <c r="R114" s="315" t="s">
        <v>277</v>
      </c>
      <c r="S114" s="300" t="s">
        <v>592</v>
      </c>
    </row>
    <row r="115" spans="1:19">
      <c r="A115" s="431">
        <v>690</v>
      </c>
      <c r="B115" s="945" t="s">
        <v>89</v>
      </c>
      <c r="C115" s="183">
        <v>19</v>
      </c>
      <c r="D115" s="183">
        <v>5</v>
      </c>
      <c r="E115" s="183" t="s">
        <v>178</v>
      </c>
      <c r="F115" s="437">
        <v>173.84</v>
      </c>
      <c r="G115" s="946" t="s">
        <v>196</v>
      </c>
      <c r="H115" s="437"/>
      <c r="I115" s="788">
        <v>0.06</v>
      </c>
      <c r="J115" s="939">
        <v>-1.5490806770324701</v>
      </c>
      <c r="K115" s="496">
        <f t="shared" si="2"/>
        <v>8.8668883148372757</v>
      </c>
      <c r="L115" s="940" t="s">
        <v>180</v>
      </c>
      <c r="M115" s="386" t="s">
        <v>16</v>
      </c>
      <c r="N115" s="399"/>
      <c r="O115" s="390" t="s">
        <v>44</v>
      </c>
      <c r="P115" s="388" t="s">
        <v>91</v>
      </c>
      <c r="Q115" s="387" t="s">
        <v>492</v>
      </c>
      <c r="R115" s="505" t="s">
        <v>277</v>
      </c>
      <c r="S115" s="942" t="s">
        <v>592</v>
      </c>
    </row>
    <row r="116" spans="1:19">
      <c r="A116" s="167">
        <v>690</v>
      </c>
      <c r="B116" s="144" t="s">
        <v>89</v>
      </c>
      <c r="F116" s="144">
        <v>168.94</v>
      </c>
      <c r="G116" s="144" t="s">
        <v>59</v>
      </c>
      <c r="H116" s="244"/>
      <c r="I116" s="260">
        <v>-1.55</v>
      </c>
      <c r="J116" s="462">
        <v>-1.5490806770324701</v>
      </c>
      <c r="K116" s="491">
        <f t="shared" si="2"/>
        <v>16.104265734633262</v>
      </c>
      <c r="L116" s="295" t="s">
        <v>33</v>
      </c>
      <c r="M116" s="296" t="s">
        <v>16</v>
      </c>
      <c r="N116" s="297" t="s">
        <v>37</v>
      </c>
      <c r="O116" s="298" t="s">
        <v>118</v>
      </c>
      <c r="P116" s="314" t="s">
        <v>91</v>
      </c>
      <c r="Q116" s="307" t="s">
        <v>492</v>
      </c>
      <c r="R116" s="315" t="s">
        <v>390</v>
      </c>
      <c r="S116" s="300"/>
    </row>
    <row r="117" spans="1:19">
      <c r="A117" s="167">
        <v>690</v>
      </c>
      <c r="B117" s="144" t="s">
        <v>89</v>
      </c>
      <c r="F117" s="144">
        <v>169.03</v>
      </c>
      <c r="G117" s="144" t="s">
        <v>59</v>
      </c>
      <c r="H117" s="244"/>
      <c r="I117" s="260">
        <v>-1.85</v>
      </c>
      <c r="J117" s="462">
        <v>-1.5490806770324701</v>
      </c>
      <c r="K117" s="491">
        <f t="shared" si="2"/>
        <v>17.504415378073514</v>
      </c>
      <c r="L117" s="295" t="s">
        <v>33</v>
      </c>
      <c r="M117" s="296" t="s">
        <v>16</v>
      </c>
      <c r="N117" s="297" t="s">
        <v>37</v>
      </c>
      <c r="O117" s="298" t="s">
        <v>118</v>
      </c>
      <c r="P117" s="314" t="s">
        <v>91</v>
      </c>
      <c r="Q117" s="307" t="s">
        <v>492</v>
      </c>
      <c r="R117" s="315" t="s">
        <v>390</v>
      </c>
      <c r="S117" s="300"/>
    </row>
    <row r="118" spans="1:19">
      <c r="A118" s="167">
        <v>690</v>
      </c>
      <c r="B118" s="144" t="s">
        <v>89</v>
      </c>
      <c r="F118" s="144">
        <v>169.13</v>
      </c>
      <c r="G118" s="144" t="s">
        <v>59</v>
      </c>
      <c r="H118" s="244"/>
      <c r="I118" s="260">
        <v>-1.4</v>
      </c>
      <c r="J118" s="462">
        <v>-1.5490806770324701</v>
      </c>
      <c r="K118" s="491">
        <f t="shared" si="2"/>
        <v>15.410265912913141</v>
      </c>
      <c r="L118" s="295" t="s">
        <v>33</v>
      </c>
      <c r="M118" s="296" t="s">
        <v>16</v>
      </c>
      <c r="N118" s="297" t="s">
        <v>37</v>
      </c>
      <c r="O118" s="298" t="s">
        <v>118</v>
      </c>
      <c r="P118" s="314" t="s">
        <v>91</v>
      </c>
      <c r="Q118" s="307" t="s">
        <v>492</v>
      </c>
      <c r="R118" s="315" t="s">
        <v>390</v>
      </c>
      <c r="S118" s="300"/>
    </row>
    <row r="119" spans="1:19">
      <c r="A119" s="167">
        <v>690</v>
      </c>
      <c r="B119" s="144" t="s">
        <v>89</v>
      </c>
      <c r="F119" s="144">
        <v>169.23</v>
      </c>
      <c r="G119" s="144" t="s">
        <v>59</v>
      </c>
      <c r="H119" s="244"/>
      <c r="I119" s="260">
        <v>-1.4</v>
      </c>
      <c r="J119" s="462">
        <v>-1.5490806770324701</v>
      </c>
      <c r="K119" s="491">
        <f t="shared" si="2"/>
        <v>15.410265912913141</v>
      </c>
      <c r="L119" s="295" t="s">
        <v>33</v>
      </c>
      <c r="M119" s="296" t="s">
        <v>16</v>
      </c>
      <c r="N119" s="297" t="s">
        <v>37</v>
      </c>
      <c r="O119" s="298" t="s">
        <v>118</v>
      </c>
      <c r="P119" s="314" t="s">
        <v>91</v>
      </c>
      <c r="Q119" s="307" t="s">
        <v>492</v>
      </c>
      <c r="R119" s="315" t="s">
        <v>390</v>
      </c>
      <c r="S119" s="300"/>
    </row>
    <row r="120" spans="1:19">
      <c r="A120" s="167">
        <v>690</v>
      </c>
      <c r="B120" s="144" t="s">
        <v>89</v>
      </c>
      <c r="F120" s="144">
        <v>169.33</v>
      </c>
      <c r="G120" s="144" t="s">
        <v>59</v>
      </c>
      <c r="H120" s="244"/>
      <c r="I120" s="260">
        <v>-1.64</v>
      </c>
      <c r="J120" s="462">
        <v>-1.5490806770324701</v>
      </c>
      <c r="K120" s="491">
        <f t="shared" si="2"/>
        <v>16.522609627665339</v>
      </c>
      <c r="L120" s="295" t="s">
        <v>33</v>
      </c>
      <c r="M120" s="296" t="s">
        <v>16</v>
      </c>
      <c r="N120" s="297" t="s">
        <v>37</v>
      </c>
      <c r="O120" s="298" t="s">
        <v>118</v>
      </c>
      <c r="P120" s="314" t="s">
        <v>91</v>
      </c>
      <c r="Q120" s="307" t="s">
        <v>492</v>
      </c>
      <c r="R120" s="315" t="s">
        <v>390</v>
      </c>
      <c r="S120" s="300"/>
    </row>
    <row r="121" spans="1:19">
      <c r="A121" s="177">
        <v>690</v>
      </c>
      <c r="B121" s="221" t="s">
        <v>89</v>
      </c>
      <c r="C121" s="183"/>
      <c r="D121" s="183"/>
      <c r="E121" s="183"/>
      <c r="F121" s="221">
        <v>169.55</v>
      </c>
      <c r="G121" s="221" t="s">
        <v>59</v>
      </c>
      <c r="H121" s="437"/>
      <c r="I121" s="943">
        <v>-1.7</v>
      </c>
      <c r="J121" s="939">
        <v>-1.5490806770324701</v>
      </c>
      <c r="K121" s="496">
        <f t="shared" si="2"/>
        <v>16.802315556353388</v>
      </c>
      <c r="L121" s="940" t="s">
        <v>33</v>
      </c>
      <c r="M121" s="386" t="s">
        <v>16</v>
      </c>
      <c r="N121" s="399" t="s">
        <v>37</v>
      </c>
      <c r="O121" s="390" t="s">
        <v>118</v>
      </c>
      <c r="P121" s="388" t="s">
        <v>91</v>
      </c>
      <c r="Q121" s="387" t="s">
        <v>492</v>
      </c>
      <c r="R121" s="505" t="s">
        <v>390</v>
      </c>
      <c r="S121" s="942"/>
    </row>
    <row r="122" spans="1:19">
      <c r="A122" s="167">
        <v>690</v>
      </c>
      <c r="B122" s="428"/>
      <c r="F122" s="657">
        <v>169.84</v>
      </c>
      <c r="G122" s="156" t="s">
        <v>20</v>
      </c>
      <c r="H122" s="244"/>
      <c r="I122" s="449">
        <v>-2.09</v>
      </c>
      <c r="J122" s="462">
        <v>-1.5490806770324701</v>
      </c>
      <c r="K122" s="492">
        <f t="shared" si="2"/>
        <v>18.636199092825709</v>
      </c>
      <c r="L122" s="295" t="s">
        <v>689</v>
      </c>
      <c r="M122" s="296" t="s">
        <v>85</v>
      </c>
      <c r="N122" s="297" t="s">
        <v>192</v>
      </c>
      <c r="O122" s="298" t="s">
        <v>118</v>
      </c>
      <c r="P122" s="314" t="s">
        <v>91</v>
      </c>
      <c r="Q122" s="307" t="s">
        <v>492</v>
      </c>
      <c r="R122" s="299" t="s">
        <v>149</v>
      </c>
      <c r="S122" s="300"/>
    </row>
    <row r="123" spans="1:19">
      <c r="A123" s="167">
        <v>690</v>
      </c>
      <c r="B123" s="428"/>
      <c r="F123" s="657">
        <v>169.84</v>
      </c>
      <c r="G123" s="156" t="s">
        <v>20</v>
      </c>
      <c r="H123" s="244"/>
      <c r="I123" s="449">
        <v>-2.36</v>
      </c>
      <c r="J123" s="462">
        <v>-1.5490806770324701</v>
      </c>
      <c r="K123" s="492">
        <f t="shared" si="2"/>
        <v>19.921848771921933</v>
      </c>
      <c r="L123" s="295" t="s">
        <v>689</v>
      </c>
      <c r="M123" s="296" t="s">
        <v>85</v>
      </c>
      <c r="N123" s="297" t="s">
        <v>192</v>
      </c>
      <c r="O123" s="298" t="s">
        <v>118</v>
      </c>
      <c r="P123" s="314" t="s">
        <v>91</v>
      </c>
      <c r="Q123" s="307" t="s">
        <v>492</v>
      </c>
      <c r="R123" s="299" t="s">
        <v>149</v>
      </c>
      <c r="S123" s="300"/>
    </row>
    <row r="124" spans="1:19">
      <c r="A124" s="167">
        <v>690</v>
      </c>
      <c r="B124" s="428"/>
      <c r="F124" s="657">
        <v>169.84</v>
      </c>
      <c r="G124" s="156" t="s">
        <v>20</v>
      </c>
      <c r="H124" s="244"/>
      <c r="I124" s="449">
        <v>-2.11</v>
      </c>
      <c r="J124" s="462">
        <v>-1.5490806770324701</v>
      </c>
      <c r="K124" s="492">
        <f t="shared" si="2"/>
        <v>18.730982402388392</v>
      </c>
      <c r="L124" s="295" t="s">
        <v>689</v>
      </c>
      <c r="M124" s="296" t="s">
        <v>85</v>
      </c>
      <c r="N124" s="297" t="s">
        <v>192</v>
      </c>
      <c r="O124" s="298" t="s">
        <v>118</v>
      </c>
      <c r="P124" s="314" t="s">
        <v>91</v>
      </c>
      <c r="Q124" s="307" t="s">
        <v>492</v>
      </c>
      <c r="R124" s="299" t="s">
        <v>149</v>
      </c>
      <c r="S124" s="300"/>
    </row>
    <row r="125" spans="1:19">
      <c r="A125" s="167">
        <v>690</v>
      </c>
      <c r="B125" s="428"/>
      <c r="F125" s="657">
        <v>169.84</v>
      </c>
      <c r="G125" s="156" t="s">
        <v>20</v>
      </c>
      <c r="H125" s="244"/>
      <c r="I125" s="449">
        <v>-2.4900000000000002</v>
      </c>
      <c r="J125" s="462">
        <v>-1.5490806770324701</v>
      </c>
      <c r="K125" s="492">
        <f t="shared" si="2"/>
        <v>20.545545284079374</v>
      </c>
      <c r="L125" s="295" t="s">
        <v>689</v>
      </c>
      <c r="M125" s="296" t="s">
        <v>85</v>
      </c>
      <c r="N125" s="297" t="s">
        <v>192</v>
      </c>
      <c r="O125" s="298" t="s">
        <v>118</v>
      </c>
      <c r="P125" s="314" t="s">
        <v>91</v>
      </c>
      <c r="Q125" s="307" t="s">
        <v>492</v>
      </c>
      <c r="R125" s="299" t="s">
        <v>149</v>
      </c>
      <c r="S125" s="300"/>
    </row>
    <row r="126" spans="1:19">
      <c r="A126" s="167">
        <v>690</v>
      </c>
      <c r="B126" s="428"/>
      <c r="F126" s="657">
        <v>169.84</v>
      </c>
      <c r="G126" s="156" t="s">
        <v>20</v>
      </c>
      <c r="H126" s="244"/>
      <c r="I126" s="449">
        <v>-2.31</v>
      </c>
      <c r="J126" s="462">
        <v>-1.5490806770324701</v>
      </c>
      <c r="K126" s="492">
        <f t="shared" si="2"/>
        <v>19.682775498015225</v>
      </c>
      <c r="L126" s="295" t="s">
        <v>689</v>
      </c>
      <c r="M126" s="296" t="s">
        <v>85</v>
      </c>
      <c r="N126" s="297" t="s">
        <v>192</v>
      </c>
      <c r="O126" s="298" t="s">
        <v>118</v>
      </c>
      <c r="P126" s="314" t="s">
        <v>91</v>
      </c>
      <c r="Q126" s="307" t="s">
        <v>492</v>
      </c>
      <c r="R126" s="299" t="s">
        <v>149</v>
      </c>
      <c r="S126" s="300"/>
    </row>
    <row r="127" spans="1:19">
      <c r="A127" s="167">
        <v>690</v>
      </c>
      <c r="B127" s="428"/>
      <c r="F127" s="657">
        <v>169.84</v>
      </c>
      <c r="G127" s="156" t="s">
        <v>20</v>
      </c>
      <c r="H127" s="244"/>
      <c r="I127" s="449">
        <v>-2.12</v>
      </c>
      <c r="J127" s="462">
        <v>-1.5490806770324701</v>
      </c>
      <c r="K127" s="492">
        <f t="shared" si="2"/>
        <v>18.778401057169734</v>
      </c>
      <c r="L127" s="295" t="s">
        <v>689</v>
      </c>
      <c r="M127" s="296" t="s">
        <v>85</v>
      </c>
      <c r="N127" s="297" t="s">
        <v>192</v>
      </c>
      <c r="O127" s="298" t="s">
        <v>118</v>
      </c>
      <c r="P127" s="314" t="s">
        <v>91</v>
      </c>
      <c r="Q127" s="307" t="s">
        <v>492</v>
      </c>
      <c r="R127" s="299" t="s">
        <v>149</v>
      </c>
      <c r="S127" s="300"/>
    </row>
    <row r="128" spans="1:19">
      <c r="A128" s="167">
        <v>690</v>
      </c>
      <c r="B128" s="428"/>
      <c r="F128" s="657">
        <v>169.91</v>
      </c>
      <c r="G128" s="156" t="s">
        <v>20</v>
      </c>
      <c r="H128" s="244"/>
      <c r="I128" s="449">
        <v>-2.4700000000000002</v>
      </c>
      <c r="J128" s="462">
        <v>-1.5490806770324701</v>
      </c>
      <c r="K128" s="492">
        <f t="shared" si="2"/>
        <v>20.449393974516688</v>
      </c>
      <c r="L128" s="295" t="s">
        <v>689</v>
      </c>
      <c r="M128" s="296" t="s">
        <v>85</v>
      </c>
      <c r="N128" s="297" t="s">
        <v>192</v>
      </c>
      <c r="O128" s="298" t="s">
        <v>118</v>
      </c>
      <c r="P128" s="314" t="s">
        <v>91</v>
      </c>
      <c r="Q128" s="307" t="s">
        <v>492</v>
      </c>
      <c r="R128" s="299" t="s">
        <v>149</v>
      </c>
      <c r="S128" s="300"/>
    </row>
    <row r="129" spans="1:19">
      <c r="A129" s="167">
        <v>690</v>
      </c>
      <c r="B129" s="428"/>
      <c r="F129" s="657">
        <v>169.91</v>
      </c>
      <c r="G129" s="156" t="s">
        <v>20</v>
      </c>
      <c r="H129" s="244"/>
      <c r="I129" s="449">
        <v>-2.4300000000000002</v>
      </c>
      <c r="J129" s="462">
        <v>-1.5490806770324701</v>
      </c>
      <c r="K129" s="492">
        <f t="shared" si="2"/>
        <v>20.257307355391323</v>
      </c>
      <c r="L129" s="295" t="s">
        <v>689</v>
      </c>
      <c r="M129" s="296" t="s">
        <v>85</v>
      </c>
      <c r="N129" s="297" t="s">
        <v>192</v>
      </c>
      <c r="O129" s="298" t="s">
        <v>118</v>
      </c>
      <c r="P129" s="314" t="s">
        <v>91</v>
      </c>
      <c r="Q129" s="307" t="s">
        <v>492</v>
      </c>
      <c r="R129" s="299" t="s">
        <v>149</v>
      </c>
      <c r="S129" s="300"/>
    </row>
    <row r="130" spans="1:19">
      <c r="A130" s="167">
        <v>690</v>
      </c>
      <c r="B130" s="428"/>
      <c r="F130" s="657">
        <v>169.91</v>
      </c>
      <c r="G130" s="156" t="s">
        <v>20</v>
      </c>
      <c r="H130" s="244"/>
      <c r="I130" s="449">
        <v>-2.12</v>
      </c>
      <c r="J130" s="462">
        <v>-1.5490806770324701</v>
      </c>
      <c r="K130" s="492">
        <f t="shared" si="2"/>
        <v>18.778401057169734</v>
      </c>
      <c r="L130" s="295" t="s">
        <v>689</v>
      </c>
      <c r="M130" s="296" t="s">
        <v>85</v>
      </c>
      <c r="N130" s="297" t="s">
        <v>192</v>
      </c>
      <c r="O130" s="298" t="s">
        <v>118</v>
      </c>
      <c r="P130" s="314" t="s">
        <v>91</v>
      </c>
      <c r="Q130" s="307" t="s">
        <v>492</v>
      </c>
      <c r="R130" s="299" t="s">
        <v>149</v>
      </c>
      <c r="S130" s="300"/>
    </row>
    <row r="131" spans="1:19">
      <c r="A131" s="167">
        <v>690</v>
      </c>
      <c r="B131" s="428"/>
      <c r="F131" s="657">
        <v>169.91</v>
      </c>
      <c r="G131" s="156" t="s">
        <v>20</v>
      </c>
      <c r="H131" s="244"/>
      <c r="I131" s="449">
        <v>-2.74</v>
      </c>
      <c r="J131" s="462">
        <v>-1.5490806770324701</v>
      </c>
      <c r="K131" s="492">
        <f t="shared" si="2"/>
        <v>21.753511653612907</v>
      </c>
      <c r="L131" s="295" t="s">
        <v>689</v>
      </c>
      <c r="M131" s="296" t="s">
        <v>85</v>
      </c>
      <c r="N131" s="297" t="s">
        <v>192</v>
      </c>
      <c r="O131" s="298" t="s">
        <v>118</v>
      </c>
      <c r="P131" s="314" t="s">
        <v>91</v>
      </c>
      <c r="Q131" s="307" t="s">
        <v>492</v>
      </c>
      <c r="R131" s="299" t="s">
        <v>149</v>
      </c>
      <c r="S131" s="300"/>
    </row>
    <row r="132" spans="1:19">
      <c r="A132" s="167">
        <v>690</v>
      </c>
      <c r="B132" s="428"/>
      <c r="F132" s="657">
        <v>169.97</v>
      </c>
      <c r="G132" s="156" t="s">
        <v>20</v>
      </c>
      <c r="H132" s="244"/>
      <c r="I132" s="449">
        <v>-2.17</v>
      </c>
      <c r="J132" s="462">
        <v>-1.5490806770324701</v>
      </c>
      <c r="K132" s="492">
        <f t="shared" si="2"/>
        <v>19.01576433107644</v>
      </c>
      <c r="L132" s="295" t="s">
        <v>689</v>
      </c>
      <c r="M132" s="296" t="s">
        <v>85</v>
      </c>
      <c r="N132" s="297" t="s">
        <v>192</v>
      </c>
      <c r="O132" s="298" t="s">
        <v>118</v>
      </c>
      <c r="P132" s="314" t="s">
        <v>91</v>
      </c>
      <c r="Q132" s="307" t="s">
        <v>492</v>
      </c>
      <c r="R132" s="299" t="s">
        <v>149</v>
      </c>
      <c r="S132" s="300"/>
    </row>
    <row r="133" spans="1:19">
      <c r="A133" s="167">
        <v>690</v>
      </c>
      <c r="B133" s="428"/>
      <c r="F133" s="657">
        <v>169.97</v>
      </c>
      <c r="G133" s="156" t="s">
        <v>20</v>
      </c>
      <c r="H133" s="244"/>
      <c r="I133" s="449">
        <v>-2.15</v>
      </c>
      <c r="J133" s="462">
        <v>-1.5490806770324701</v>
      </c>
      <c r="K133" s="492">
        <f t="shared" si="2"/>
        <v>18.920765021513755</v>
      </c>
      <c r="L133" s="295" t="s">
        <v>689</v>
      </c>
      <c r="M133" s="296" t="s">
        <v>85</v>
      </c>
      <c r="N133" s="297" t="s">
        <v>192</v>
      </c>
      <c r="O133" s="298" t="s">
        <v>118</v>
      </c>
      <c r="P133" s="314" t="s">
        <v>91</v>
      </c>
      <c r="Q133" s="307" t="s">
        <v>492</v>
      </c>
      <c r="R133" s="299" t="s">
        <v>149</v>
      </c>
      <c r="S133" s="300"/>
    </row>
    <row r="134" spans="1:19">
      <c r="A134" s="167">
        <v>690</v>
      </c>
      <c r="B134" s="428"/>
      <c r="F134" s="657">
        <v>169.97</v>
      </c>
      <c r="G134" s="156" t="s">
        <v>20</v>
      </c>
      <c r="H134" s="244"/>
      <c r="I134" s="449">
        <v>-2.1</v>
      </c>
      <c r="J134" s="462">
        <v>-1.5490806770324701</v>
      </c>
      <c r="K134" s="492">
        <f t="shared" si="2"/>
        <v>18.68358174760705</v>
      </c>
      <c r="L134" s="295" t="s">
        <v>689</v>
      </c>
      <c r="M134" s="296" t="s">
        <v>85</v>
      </c>
      <c r="N134" s="297" t="s">
        <v>192</v>
      </c>
      <c r="O134" s="298" t="s">
        <v>118</v>
      </c>
      <c r="P134" s="314" t="s">
        <v>91</v>
      </c>
      <c r="Q134" s="307" t="s">
        <v>492</v>
      </c>
      <c r="R134" s="299" t="s">
        <v>149</v>
      </c>
      <c r="S134" s="300"/>
    </row>
    <row r="135" spans="1:19">
      <c r="A135" s="167">
        <v>690</v>
      </c>
      <c r="B135" s="428"/>
      <c r="F135" s="657">
        <v>169.97</v>
      </c>
      <c r="G135" s="156" t="s">
        <v>20</v>
      </c>
      <c r="H135" s="244"/>
      <c r="I135" s="449">
        <v>-2.72</v>
      </c>
      <c r="J135" s="462">
        <v>-1.5490806770324701</v>
      </c>
      <c r="K135" s="492">
        <f t="shared" si="2"/>
        <v>21.656460344050227</v>
      </c>
      <c r="L135" s="295" t="s">
        <v>689</v>
      </c>
      <c r="M135" s="296" t="s">
        <v>85</v>
      </c>
      <c r="N135" s="297" t="s">
        <v>192</v>
      </c>
      <c r="O135" s="298" t="s">
        <v>118</v>
      </c>
      <c r="P135" s="314" t="s">
        <v>91</v>
      </c>
      <c r="Q135" s="307" t="s">
        <v>492</v>
      </c>
      <c r="R135" s="299" t="s">
        <v>149</v>
      </c>
      <c r="S135" s="300"/>
    </row>
    <row r="136" spans="1:19">
      <c r="A136" s="167">
        <v>690</v>
      </c>
      <c r="B136" s="428"/>
      <c r="F136" s="657">
        <v>169.97</v>
      </c>
      <c r="G136" s="156" t="s">
        <v>20</v>
      </c>
      <c r="H136" s="244"/>
      <c r="I136" s="449">
        <v>-2.52</v>
      </c>
      <c r="J136" s="462">
        <v>-1.5490806770324701</v>
      </c>
      <c r="K136" s="492">
        <f t="shared" si="2"/>
        <v>20.689907248423395</v>
      </c>
      <c r="L136" s="295" t="s">
        <v>689</v>
      </c>
      <c r="M136" s="296" t="s">
        <v>85</v>
      </c>
      <c r="N136" s="297" t="s">
        <v>192</v>
      </c>
      <c r="O136" s="298" t="s">
        <v>118</v>
      </c>
      <c r="P136" s="314" t="s">
        <v>91</v>
      </c>
      <c r="Q136" s="307" t="s">
        <v>492</v>
      </c>
      <c r="R136" s="299" t="s">
        <v>149</v>
      </c>
      <c r="S136" s="300"/>
    </row>
    <row r="137" spans="1:19">
      <c r="A137" s="167">
        <v>690</v>
      </c>
      <c r="B137" s="428"/>
      <c r="F137" s="657">
        <v>170.04</v>
      </c>
      <c r="G137" s="156" t="s">
        <v>20</v>
      </c>
      <c r="H137" s="244"/>
      <c r="I137" s="449">
        <v>-2.71</v>
      </c>
      <c r="J137" s="462">
        <v>-1.5490806770324701</v>
      </c>
      <c r="K137" s="492">
        <f t="shared" si="2"/>
        <v>21.607961689268883</v>
      </c>
      <c r="L137" s="295" t="s">
        <v>689</v>
      </c>
      <c r="M137" s="296" t="s">
        <v>85</v>
      </c>
      <c r="N137" s="297" t="s">
        <v>192</v>
      </c>
      <c r="O137" s="298" t="s">
        <v>118</v>
      </c>
      <c r="P137" s="314" t="s">
        <v>91</v>
      </c>
      <c r="Q137" s="307" t="s">
        <v>492</v>
      </c>
      <c r="R137" s="299" t="s">
        <v>149</v>
      </c>
      <c r="S137" s="300"/>
    </row>
    <row r="138" spans="1:19">
      <c r="A138" s="167">
        <v>690</v>
      </c>
      <c r="B138" s="428"/>
      <c r="F138" s="657">
        <v>170.04</v>
      </c>
      <c r="G138" s="156" t="s">
        <v>20</v>
      </c>
      <c r="H138" s="244"/>
      <c r="I138" s="449">
        <v>-2.37</v>
      </c>
      <c r="J138" s="462">
        <v>-1.5490806770324701</v>
      </c>
      <c r="K138" s="492">
        <f t="shared" si="2"/>
        <v>19.969717426703273</v>
      </c>
      <c r="L138" s="295" t="s">
        <v>689</v>
      </c>
      <c r="M138" s="296" t="s">
        <v>85</v>
      </c>
      <c r="N138" s="297" t="s">
        <v>192</v>
      </c>
      <c r="O138" s="298" t="s">
        <v>118</v>
      </c>
      <c r="P138" s="314" t="s">
        <v>91</v>
      </c>
      <c r="Q138" s="307" t="s">
        <v>492</v>
      </c>
      <c r="R138" s="299" t="s">
        <v>149</v>
      </c>
      <c r="S138" s="300"/>
    </row>
    <row r="139" spans="1:19">
      <c r="A139" s="167">
        <v>690</v>
      </c>
      <c r="B139" s="428"/>
      <c r="F139" s="657">
        <v>170.06</v>
      </c>
      <c r="G139" s="156" t="s">
        <v>20</v>
      </c>
      <c r="H139" s="244"/>
      <c r="I139" s="449">
        <v>-2.09</v>
      </c>
      <c r="J139" s="462">
        <v>-1.5490806770324701</v>
      </c>
      <c r="K139" s="492">
        <f t="shared" ref="K139:K202" si="3">16.1-4.64*($I139-J139)+0.09*($I139-J139)^2</f>
        <v>18.636199092825709</v>
      </c>
      <c r="L139" s="295" t="s">
        <v>689</v>
      </c>
      <c r="M139" s="296" t="s">
        <v>85</v>
      </c>
      <c r="N139" s="297" t="s">
        <v>192</v>
      </c>
      <c r="O139" s="298" t="s">
        <v>118</v>
      </c>
      <c r="P139" s="314" t="s">
        <v>91</v>
      </c>
      <c r="Q139" s="307" t="s">
        <v>492</v>
      </c>
      <c r="R139" s="299" t="s">
        <v>149</v>
      </c>
      <c r="S139" s="300"/>
    </row>
    <row r="140" spans="1:19">
      <c r="A140" s="167">
        <v>690</v>
      </c>
      <c r="B140" s="428"/>
      <c r="F140" s="657">
        <v>170.06</v>
      </c>
      <c r="G140" s="156" t="s">
        <v>20</v>
      </c>
      <c r="H140" s="244"/>
      <c r="I140" s="449">
        <v>-2.56</v>
      </c>
      <c r="J140" s="462">
        <v>-1.5490806770324701</v>
      </c>
      <c r="K140" s="492">
        <f t="shared" si="3"/>
        <v>20.88264186754876</v>
      </c>
      <c r="L140" s="295" t="s">
        <v>689</v>
      </c>
      <c r="M140" s="296" t="s">
        <v>85</v>
      </c>
      <c r="N140" s="297" t="s">
        <v>192</v>
      </c>
      <c r="O140" s="298" t="s">
        <v>118</v>
      </c>
      <c r="P140" s="314" t="s">
        <v>91</v>
      </c>
      <c r="Q140" s="307" t="s">
        <v>492</v>
      </c>
      <c r="R140" s="299" t="s">
        <v>149</v>
      </c>
      <c r="S140" s="300"/>
    </row>
    <row r="141" spans="1:19">
      <c r="A141" s="167">
        <v>690</v>
      </c>
      <c r="B141" s="428"/>
      <c r="F141" s="657">
        <v>170.06</v>
      </c>
      <c r="G141" s="156" t="s">
        <v>20</v>
      </c>
      <c r="H141" s="244"/>
      <c r="I141" s="449">
        <v>-2.77</v>
      </c>
      <c r="J141" s="462">
        <v>-1.5490806770324701</v>
      </c>
      <c r="K141" s="492">
        <f t="shared" si="3"/>
        <v>21.899223617956935</v>
      </c>
      <c r="L141" s="295" t="s">
        <v>689</v>
      </c>
      <c r="M141" s="296" t="s">
        <v>85</v>
      </c>
      <c r="N141" s="297" t="s">
        <v>192</v>
      </c>
      <c r="O141" s="298" t="s">
        <v>118</v>
      </c>
      <c r="P141" s="314" t="s">
        <v>91</v>
      </c>
      <c r="Q141" s="307" t="s">
        <v>492</v>
      </c>
      <c r="R141" s="299" t="s">
        <v>149</v>
      </c>
      <c r="S141" s="300"/>
    </row>
    <row r="142" spans="1:19">
      <c r="A142" s="167">
        <v>690</v>
      </c>
      <c r="B142" s="428"/>
      <c r="F142" s="657">
        <v>170.11</v>
      </c>
      <c r="G142" s="156" t="s">
        <v>20</v>
      </c>
      <c r="H142" s="244"/>
      <c r="I142" s="449">
        <v>-2.29</v>
      </c>
      <c r="J142" s="462">
        <v>-1.5490806770324701</v>
      </c>
      <c r="K142" s="492">
        <f t="shared" si="3"/>
        <v>19.587272188452541</v>
      </c>
      <c r="L142" s="295" t="s">
        <v>689</v>
      </c>
      <c r="M142" s="296" t="s">
        <v>85</v>
      </c>
      <c r="N142" s="297" t="s">
        <v>192</v>
      </c>
      <c r="O142" s="298" t="s">
        <v>118</v>
      </c>
      <c r="P142" s="314" t="s">
        <v>91</v>
      </c>
      <c r="Q142" s="307" t="s">
        <v>492</v>
      </c>
      <c r="R142" s="299" t="s">
        <v>149</v>
      </c>
      <c r="S142" s="300"/>
    </row>
    <row r="143" spans="1:19">
      <c r="A143" s="167">
        <v>690</v>
      </c>
      <c r="B143" s="428"/>
      <c r="F143" s="657">
        <v>170.11</v>
      </c>
      <c r="G143" s="156" t="s">
        <v>20</v>
      </c>
      <c r="H143" s="244"/>
      <c r="I143" s="449">
        <v>-2.34</v>
      </c>
      <c r="J143" s="462">
        <v>-1.5490806770324701</v>
      </c>
      <c r="K143" s="492">
        <f t="shared" si="3"/>
        <v>19.826165462359249</v>
      </c>
      <c r="L143" s="295" t="s">
        <v>689</v>
      </c>
      <c r="M143" s="296" t="s">
        <v>85</v>
      </c>
      <c r="N143" s="297" t="s">
        <v>192</v>
      </c>
      <c r="O143" s="298" t="s">
        <v>118</v>
      </c>
      <c r="P143" s="314" t="s">
        <v>91</v>
      </c>
      <c r="Q143" s="307" t="s">
        <v>492</v>
      </c>
      <c r="R143" s="299" t="s">
        <v>149</v>
      </c>
      <c r="S143" s="300"/>
    </row>
    <row r="144" spans="1:19">
      <c r="A144" s="167">
        <v>690</v>
      </c>
      <c r="B144" s="428"/>
      <c r="F144" s="657">
        <v>170.11</v>
      </c>
      <c r="G144" s="156" t="s">
        <v>20</v>
      </c>
      <c r="H144" s="244"/>
      <c r="I144" s="449">
        <v>-2.21</v>
      </c>
      <c r="J144" s="462">
        <v>-1.5490806770324701</v>
      </c>
      <c r="K144" s="492">
        <f t="shared" si="3"/>
        <v>19.205978950201807</v>
      </c>
      <c r="L144" s="295" t="s">
        <v>689</v>
      </c>
      <c r="M144" s="296" t="s">
        <v>85</v>
      </c>
      <c r="N144" s="297" t="s">
        <v>192</v>
      </c>
      <c r="O144" s="298" t="s">
        <v>118</v>
      </c>
      <c r="P144" s="314" t="s">
        <v>91</v>
      </c>
      <c r="Q144" s="307" t="s">
        <v>492</v>
      </c>
      <c r="R144" s="299" t="s">
        <v>149</v>
      </c>
      <c r="S144" s="300"/>
    </row>
    <row r="145" spans="1:19">
      <c r="A145" s="167">
        <v>690</v>
      </c>
      <c r="B145" s="428"/>
      <c r="F145" s="657">
        <v>170.11</v>
      </c>
      <c r="G145" s="156" t="s">
        <v>20</v>
      </c>
      <c r="H145" s="244"/>
      <c r="I145" s="449">
        <v>-2.35</v>
      </c>
      <c r="J145" s="462">
        <v>-1.5490806770324701</v>
      </c>
      <c r="K145" s="492">
        <f t="shared" si="3"/>
        <v>19.873998117140587</v>
      </c>
      <c r="L145" s="295" t="s">
        <v>689</v>
      </c>
      <c r="M145" s="296" t="s">
        <v>85</v>
      </c>
      <c r="N145" s="297" t="s">
        <v>192</v>
      </c>
      <c r="O145" s="298" t="s">
        <v>118</v>
      </c>
      <c r="P145" s="314" t="s">
        <v>91</v>
      </c>
      <c r="Q145" s="307" t="s">
        <v>492</v>
      </c>
      <c r="R145" s="299" t="s">
        <v>149</v>
      </c>
      <c r="S145" s="300"/>
    </row>
    <row r="146" spans="1:19">
      <c r="A146" s="167">
        <v>690</v>
      </c>
      <c r="B146" s="428"/>
      <c r="F146" s="657">
        <v>170.11</v>
      </c>
      <c r="G146" s="156" t="s">
        <v>20</v>
      </c>
      <c r="H146" s="244"/>
      <c r="I146" s="449">
        <v>-2.36</v>
      </c>
      <c r="J146" s="462">
        <v>-1.5490806770324701</v>
      </c>
      <c r="K146" s="492">
        <f t="shared" si="3"/>
        <v>19.921848771921933</v>
      </c>
      <c r="L146" s="295" t="s">
        <v>689</v>
      </c>
      <c r="M146" s="296" t="s">
        <v>85</v>
      </c>
      <c r="N146" s="297" t="s">
        <v>192</v>
      </c>
      <c r="O146" s="298" t="s">
        <v>118</v>
      </c>
      <c r="P146" s="314" t="s">
        <v>91</v>
      </c>
      <c r="Q146" s="307" t="s">
        <v>492</v>
      </c>
      <c r="R146" s="299" t="s">
        <v>149</v>
      </c>
      <c r="S146" s="300"/>
    </row>
    <row r="147" spans="1:19">
      <c r="A147" s="167">
        <v>690</v>
      </c>
      <c r="B147" s="428"/>
      <c r="F147" s="657">
        <v>170.11</v>
      </c>
      <c r="G147" s="156" t="s">
        <v>20</v>
      </c>
      <c r="H147" s="244"/>
      <c r="I147" s="449">
        <v>-2.57</v>
      </c>
      <c r="J147" s="462">
        <v>-1.5490806770324701</v>
      </c>
      <c r="K147" s="492">
        <f t="shared" si="3"/>
        <v>20.930870522330103</v>
      </c>
      <c r="L147" s="295" t="s">
        <v>689</v>
      </c>
      <c r="M147" s="296" t="s">
        <v>85</v>
      </c>
      <c r="N147" s="297" t="s">
        <v>192</v>
      </c>
      <c r="O147" s="298" t="s">
        <v>118</v>
      </c>
      <c r="P147" s="314" t="s">
        <v>91</v>
      </c>
      <c r="Q147" s="307" t="s">
        <v>492</v>
      </c>
      <c r="R147" s="299" t="s">
        <v>149</v>
      </c>
      <c r="S147" s="300"/>
    </row>
    <row r="148" spans="1:19">
      <c r="A148" s="167">
        <v>690</v>
      </c>
      <c r="B148" s="428"/>
      <c r="F148" s="657">
        <v>170.16</v>
      </c>
      <c r="G148" s="156" t="s">
        <v>20</v>
      </c>
      <c r="H148" s="244"/>
      <c r="I148" s="449">
        <v>-1.93</v>
      </c>
      <c r="J148" s="462">
        <v>-1.5490806770324701</v>
      </c>
      <c r="K148" s="492">
        <f t="shared" si="3"/>
        <v>17.880524616324244</v>
      </c>
      <c r="L148" s="295" t="s">
        <v>689</v>
      </c>
      <c r="M148" s="296" t="s">
        <v>85</v>
      </c>
      <c r="N148" s="297" t="s">
        <v>192</v>
      </c>
      <c r="O148" s="298" t="s">
        <v>118</v>
      </c>
      <c r="P148" s="314" t="s">
        <v>91</v>
      </c>
      <c r="Q148" s="307" t="s">
        <v>492</v>
      </c>
      <c r="R148" s="299" t="s">
        <v>149</v>
      </c>
      <c r="S148" s="300"/>
    </row>
    <row r="149" spans="1:19">
      <c r="A149" s="167">
        <v>690</v>
      </c>
      <c r="B149" s="428"/>
      <c r="F149" s="657">
        <v>170.16</v>
      </c>
      <c r="G149" s="156" t="s">
        <v>20</v>
      </c>
      <c r="H149" s="244"/>
      <c r="I149" s="449">
        <v>-2.37</v>
      </c>
      <c r="J149" s="462">
        <v>-1.5490806770324701</v>
      </c>
      <c r="K149" s="492">
        <f t="shared" si="3"/>
        <v>19.969717426703273</v>
      </c>
      <c r="L149" s="295" t="s">
        <v>689</v>
      </c>
      <c r="M149" s="296" t="s">
        <v>85</v>
      </c>
      <c r="N149" s="297" t="s">
        <v>192</v>
      </c>
      <c r="O149" s="298" t="s">
        <v>118</v>
      </c>
      <c r="P149" s="314" t="s">
        <v>91</v>
      </c>
      <c r="Q149" s="307" t="s">
        <v>492</v>
      </c>
      <c r="R149" s="299" t="s">
        <v>149</v>
      </c>
      <c r="S149" s="300"/>
    </row>
    <row r="150" spans="1:19">
      <c r="A150" s="167">
        <v>690</v>
      </c>
      <c r="B150" s="428"/>
      <c r="F150" s="657">
        <v>170.16</v>
      </c>
      <c r="G150" s="156" t="s">
        <v>20</v>
      </c>
      <c r="H150" s="244"/>
      <c r="I150" s="449">
        <v>-2.34</v>
      </c>
      <c r="J150" s="462">
        <v>-1.5490806770324701</v>
      </c>
      <c r="K150" s="492">
        <f t="shared" si="3"/>
        <v>19.826165462359249</v>
      </c>
      <c r="L150" s="295" t="s">
        <v>689</v>
      </c>
      <c r="M150" s="296" t="s">
        <v>85</v>
      </c>
      <c r="N150" s="297" t="s">
        <v>192</v>
      </c>
      <c r="O150" s="298" t="s">
        <v>118</v>
      </c>
      <c r="P150" s="314" t="s">
        <v>91</v>
      </c>
      <c r="Q150" s="307" t="s">
        <v>492</v>
      </c>
      <c r="R150" s="299" t="s">
        <v>149</v>
      </c>
      <c r="S150" s="300"/>
    </row>
    <row r="151" spans="1:19">
      <c r="A151" s="167">
        <v>690</v>
      </c>
      <c r="B151" s="428"/>
      <c r="F151" s="657">
        <v>170.16</v>
      </c>
      <c r="G151" s="156" t="s">
        <v>20</v>
      </c>
      <c r="H151" s="244"/>
      <c r="I151" s="449">
        <v>-2.38</v>
      </c>
      <c r="J151" s="462">
        <v>-1.5490806770324701</v>
      </c>
      <c r="K151" s="492">
        <f t="shared" si="3"/>
        <v>20.017604081484613</v>
      </c>
      <c r="L151" s="295" t="s">
        <v>689</v>
      </c>
      <c r="M151" s="296" t="s">
        <v>85</v>
      </c>
      <c r="N151" s="297" t="s">
        <v>192</v>
      </c>
      <c r="O151" s="298" t="s">
        <v>118</v>
      </c>
      <c r="P151" s="314" t="s">
        <v>91</v>
      </c>
      <c r="Q151" s="307" t="s">
        <v>492</v>
      </c>
      <c r="R151" s="299" t="s">
        <v>149</v>
      </c>
      <c r="S151" s="300"/>
    </row>
    <row r="152" spans="1:19">
      <c r="A152" s="167">
        <v>690</v>
      </c>
      <c r="B152" s="428"/>
      <c r="F152" s="657">
        <v>170.16</v>
      </c>
      <c r="G152" s="156" t="s">
        <v>20</v>
      </c>
      <c r="H152" s="244"/>
      <c r="I152" s="449">
        <v>-2.4500000000000002</v>
      </c>
      <c r="J152" s="462">
        <v>-1.5490806770324701</v>
      </c>
      <c r="K152" s="492">
        <f t="shared" si="3"/>
        <v>20.353314664954006</v>
      </c>
      <c r="L152" s="295" t="s">
        <v>689</v>
      </c>
      <c r="M152" s="296" t="s">
        <v>85</v>
      </c>
      <c r="N152" s="297" t="s">
        <v>192</v>
      </c>
      <c r="O152" s="298" t="s">
        <v>118</v>
      </c>
      <c r="P152" s="314" t="s">
        <v>91</v>
      </c>
      <c r="Q152" s="307" t="s">
        <v>492</v>
      </c>
      <c r="R152" s="299" t="s">
        <v>149</v>
      </c>
      <c r="S152" s="300"/>
    </row>
    <row r="153" spans="1:19">
      <c r="A153" s="167">
        <v>690</v>
      </c>
      <c r="B153" s="428"/>
      <c r="F153" s="657">
        <v>170.16</v>
      </c>
      <c r="G153" s="156" t="s">
        <v>20</v>
      </c>
      <c r="H153" s="244"/>
      <c r="I153" s="449">
        <v>-2.52</v>
      </c>
      <c r="J153" s="462">
        <v>-1.5490806770324701</v>
      </c>
      <c r="K153" s="492">
        <f t="shared" si="3"/>
        <v>20.689907248423395</v>
      </c>
      <c r="L153" s="295" t="s">
        <v>689</v>
      </c>
      <c r="M153" s="296" t="s">
        <v>85</v>
      </c>
      <c r="N153" s="297" t="s">
        <v>192</v>
      </c>
      <c r="O153" s="298" t="s">
        <v>118</v>
      </c>
      <c r="P153" s="314" t="s">
        <v>91</v>
      </c>
      <c r="Q153" s="307" t="s">
        <v>492</v>
      </c>
      <c r="R153" s="299" t="s">
        <v>149</v>
      </c>
      <c r="S153" s="300"/>
    </row>
    <row r="154" spans="1:19">
      <c r="A154" s="167">
        <v>690</v>
      </c>
      <c r="B154" s="428"/>
      <c r="F154" s="657">
        <v>170.21</v>
      </c>
      <c r="G154" s="156" t="s">
        <v>20</v>
      </c>
      <c r="H154" s="244"/>
      <c r="I154" s="449">
        <v>-2.21</v>
      </c>
      <c r="J154" s="462">
        <v>-1.5490806770324701</v>
      </c>
      <c r="K154" s="492">
        <f t="shared" si="3"/>
        <v>19.205978950201807</v>
      </c>
      <c r="L154" s="295" t="s">
        <v>689</v>
      </c>
      <c r="M154" s="296" t="s">
        <v>85</v>
      </c>
      <c r="N154" s="297" t="s">
        <v>192</v>
      </c>
      <c r="O154" s="298" t="s">
        <v>118</v>
      </c>
      <c r="P154" s="314" t="s">
        <v>91</v>
      </c>
      <c r="Q154" s="307" t="s">
        <v>492</v>
      </c>
      <c r="R154" s="299" t="s">
        <v>149</v>
      </c>
      <c r="S154" s="300"/>
    </row>
    <row r="155" spans="1:19">
      <c r="A155" s="167">
        <v>690</v>
      </c>
      <c r="B155" s="428"/>
      <c r="F155" s="657">
        <v>170.21</v>
      </c>
      <c r="G155" s="156" t="s">
        <v>20</v>
      </c>
      <c r="H155" s="244"/>
      <c r="I155" s="449">
        <v>-2.52</v>
      </c>
      <c r="J155" s="462">
        <v>-1.5490806770324701</v>
      </c>
      <c r="K155" s="492">
        <f t="shared" si="3"/>
        <v>20.689907248423395</v>
      </c>
      <c r="L155" s="295" t="s">
        <v>689</v>
      </c>
      <c r="M155" s="296" t="s">
        <v>85</v>
      </c>
      <c r="N155" s="297" t="s">
        <v>192</v>
      </c>
      <c r="O155" s="298" t="s">
        <v>118</v>
      </c>
      <c r="P155" s="314" t="s">
        <v>91</v>
      </c>
      <c r="Q155" s="307" t="s">
        <v>492</v>
      </c>
      <c r="R155" s="299" t="s">
        <v>149</v>
      </c>
      <c r="S155" s="300"/>
    </row>
    <row r="156" spans="1:19">
      <c r="A156" s="167">
        <v>690</v>
      </c>
      <c r="B156" s="428"/>
      <c r="F156" s="657">
        <v>170.21</v>
      </c>
      <c r="G156" s="156" t="s">
        <v>20</v>
      </c>
      <c r="H156" s="244"/>
      <c r="I156" s="449">
        <v>-2.4700000000000002</v>
      </c>
      <c r="J156" s="462">
        <v>-1.5490806770324701</v>
      </c>
      <c r="K156" s="492">
        <f t="shared" si="3"/>
        <v>20.449393974516688</v>
      </c>
      <c r="L156" s="295" t="s">
        <v>689</v>
      </c>
      <c r="M156" s="296" t="s">
        <v>85</v>
      </c>
      <c r="N156" s="297" t="s">
        <v>192</v>
      </c>
      <c r="O156" s="298" t="s">
        <v>118</v>
      </c>
      <c r="P156" s="314" t="s">
        <v>91</v>
      </c>
      <c r="Q156" s="307" t="s">
        <v>492</v>
      </c>
      <c r="R156" s="299" t="s">
        <v>149</v>
      </c>
      <c r="S156" s="300"/>
    </row>
    <row r="157" spans="1:19">
      <c r="A157" s="167">
        <v>690</v>
      </c>
      <c r="B157" s="428"/>
      <c r="F157" s="657">
        <v>170.21</v>
      </c>
      <c r="G157" s="156" t="s">
        <v>20</v>
      </c>
      <c r="H157" s="244"/>
      <c r="I157" s="449">
        <v>-2.2200000000000002</v>
      </c>
      <c r="J157" s="462">
        <v>-1.5490806770324701</v>
      </c>
      <c r="K157" s="492">
        <f t="shared" si="3"/>
        <v>19.25357760498315</v>
      </c>
      <c r="L157" s="295" t="s">
        <v>689</v>
      </c>
      <c r="M157" s="296" t="s">
        <v>85</v>
      </c>
      <c r="N157" s="297" t="s">
        <v>192</v>
      </c>
      <c r="O157" s="298" t="s">
        <v>118</v>
      </c>
      <c r="P157" s="314" t="s">
        <v>91</v>
      </c>
      <c r="Q157" s="307" t="s">
        <v>492</v>
      </c>
      <c r="R157" s="299" t="s">
        <v>149</v>
      </c>
      <c r="S157" s="300"/>
    </row>
    <row r="158" spans="1:19">
      <c r="A158" s="167">
        <v>690</v>
      </c>
      <c r="B158" s="428"/>
      <c r="F158" s="657">
        <v>170.21</v>
      </c>
      <c r="G158" s="156" t="s">
        <v>20</v>
      </c>
      <c r="H158" s="244"/>
      <c r="I158" s="449">
        <v>-2.67</v>
      </c>
      <c r="J158" s="462">
        <v>-1.5490806770324701</v>
      </c>
      <c r="K158" s="492">
        <f t="shared" si="3"/>
        <v>21.414147070143517</v>
      </c>
      <c r="L158" s="295" t="s">
        <v>689</v>
      </c>
      <c r="M158" s="296" t="s">
        <v>85</v>
      </c>
      <c r="N158" s="297" t="s">
        <v>192</v>
      </c>
      <c r="O158" s="298" t="s">
        <v>118</v>
      </c>
      <c r="P158" s="314" t="s">
        <v>91</v>
      </c>
      <c r="Q158" s="307" t="s">
        <v>492</v>
      </c>
      <c r="R158" s="299" t="s">
        <v>149</v>
      </c>
      <c r="S158" s="300"/>
    </row>
    <row r="159" spans="1:19">
      <c r="A159" s="167">
        <v>690</v>
      </c>
      <c r="B159" s="428"/>
      <c r="F159" s="657">
        <v>170.21</v>
      </c>
      <c r="G159" s="156" t="s">
        <v>20</v>
      </c>
      <c r="H159" s="244"/>
      <c r="I159" s="449">
        <v>-2.41</v>
      </c>
      <c r="J159" s="462">
        <v>-1.5490806770324701</v>
      </c>
      <c r="K159" s="492">
        <f t="shared" si="3"/>
        <v>20.161372045828639</v>
      </c>
      <c r="L159" s="295" t="s">
        <v>689</v>
      </c>
      <c r="M159" s="296" t="s">
        <v>85</v>
      </c>
      <c r="N159" s="297" t="s">
        <v>192</v>
      </c>
      <c r="O159" s="298" t="s">
        <v>118</v>
      </c>
      <c r="P159" s="314" t="s">
        <v>91</v>
      </c>
      <c r="Q159" s="307" t="s">
        <v>492</v>
      </c>
      <c r="R159" s="299" t="s">
        <v>149</v>
      </c>
      <c r="S159" s="300"/>
    </row>
    <row r="160" spans="1:19">
      <c r="A160" s="167">
        <v>690</v>
      </c>
      <c r="B160" s="428"/>
      <c r="F160" s="657">
        <v>170.26</v>
      </c>
      <c r="G160" s="156" t="s">
        <v>20</v>
      </c>
      <c r="H160" s="244"/>
      <c r="I160" s="449">
        <v>-1.66</v>
      </c>
      <c r="J160" s="462">
        <v>-1.5490806770324701</v>
      </c>
      <c r="K160" s="492">
        <f t="shared" si="3"/>
        <v>16.615772937228023</v>
      </c>
      <c r="L160" s="295" t="s">
        <v>689</v>
      </c>
      <c r="M160" s="296" t="s">
        <v>85</v>
      </c>
      <c r="N160" s="297" t="s">
        <v>192</v>
      </c>
      <c r="O160" s="298" t="s">
        <v>118</v>
      </c>
      <c r="P160" s="314" t="s">
        <v>91</v>
      </c>
      <c r="Q160" s="307" t="s">
        <v>492</v>
      </c>
      <c r="R160" s="299" t="s">
        <v>149</v>
      </c>
      <c r="S160" s="300"/>
    </row>
    <row r="161" spans="1:19">
      <c r="A161" s="167">
        <v>690</v>
      </c>
      <c r="B161" s="428"/>
      <c r="F161" s="657">
        <v>170.26</v>
      </c>
      <c r="G161" s="156" t="s">
        <v>20</v>
      </c>
      <c r="H161" s="244"/>
      <c r="I161" s="449">
        <v>-1.43</v>
      </c>
      <c r="J161" s="462">
        <v>-1.5490806770324701</v>
      </c>
      <c r="K161" s="492">
        <f t="shared" si="3"/>
        <v>15.548741877257166</v>
      </c>
      <c r="L161" s="295" t="s">
        <v>689</v>
      </c>
      <c r="M161" s="296" t="s">
        <v>85</v>
      </c>
      <c r="N161" s="297" t="s">
        <v>192</v>
      </c>
      <c r="O161" s="298" t="s">
        <v>118</v>
      </c>
      <c r="P161" s="314" t="s">
        <v>91</v>
      </c>
      <c r="Q161" s="307" t="s">
        <v>492</v>
      </c>
      <c r="R161" s="299" t="s">
        <v>149</v>
      </c>
      <c r="S161" s="300"/>
    </row>
    <row r="162" spans="1:19">
      <c r="A162" s="167">
        <v>690</v>
      </c>
      <c r="B162" s="428"/>
      <c r="F162" s="657">
        <v>170.26</v>
      </c>
      <c r="G162" s="156" t="s">
        <v>20</v>
      </c>
      <c r="H162" s="244"/>
      <c r="I162" s="449">
        <v>-2.6</v>
      </c>
      <c r="J162" s="462">
        <v>-1.5490806770324701</v>
      </c>
      <c r="K162" s="492">
        <f t="shared" si="3"/>
        <v>21.075664486674128</v>
      </c>
      <c r="L162" s="295" t="s">
        <v>689</v>
      </c>
      <c r="M162" s="296" t="s">
        <v>85</v>
      </c>
      <c r="N162" s="297" t="s">
        <v>192</v>
      </c>
      <c r="O162" s="298" t="s">
        <v>118</v>
      </c>
      <c r="P162" s="314" t="s">
        <v>91</v>
      </c>
      <c r="Q162" s="307" t="s">
        <v>492</v>
      </c>
      <c r="R162" s="299" t="s">
        <v>149</v>
      </c>
      <c r="S162" s="300"/>
    </row>
    <row r="163" spans="1:19">
      <c r="A163" s="167">
        <v>690</v>
      </c>
      <c r="B163" s="428"/>
      <c r="F163" s="657">
        <v>170.26</v>
      </c>
      <c r="G163" s="156" t="s">
        <v>20</v>
      </c>
      <c r="H163" s="244"/>
      <c r="I163" s="449">
        <v>-2.72</v>
      </c>
      <c r="J163" s="462">
        <v>-1.5490806770324701</v>
      </c>
      <c r="K163" s="492">
        <f t="shared" si="3"/>
        <v>21.656460344050227</v>
      </c>
      <c r="L163" s="295" t="s">
        <v>689</v>
      </c>
      <c r="M163" s="296" t="s">
        <v>85</v>
      </c>
      <c r="N163" s="297" t="s">
        <v>192</v>
      </c>
      <c r="O163" s="298" t="s">
        <v>118</v>
      </c>
      <c r="P163" s="314" t="s">
        <v>91</v>
      </c>
      <c r="Q163" s="307" t="s">
        <v>492</v>
      </c>
      <c r="R163" s="299" t="s">
        <v>149</v>
      </c>
      <c r="S163" s="300"/>
    </row>
    <row r="164" spans="1:19">
      <c r="A164" s="167">
        <v>690</v>
      </c>
      <c r="B164" s="428"/>
      <c r="F164" s="657">
        <v>170.26</v>
      </c>
      <c r="G164" s="156" t="s">
        <v>20</v>
      </c>
      <c r="H164" s="244"/>
      <c r="I164" s="449">
        <v>-2.4300000000000002</v>
      </c>
      <c r="J164" s="462">
        <v>-1.5490806770324701</v>
      </c>
      <c r="K164" s="492">
        <f t="shared" si="3"/>
        <v>20.257307355391323</v>
      </c>
      <c r="L164" s="295" t="s">
        <v>689</v>
      </c>
      <c r="M164" s="296" t="s">
        <v>85</v>
      </c>
      <c r="N164" s="297" t="s">
        <v>192</v>
      </c>
      <c r="O164" s="298" t="s">
        <v>118</v>
      </c>
      <c r="P164" s="314" t="s">
        <v>91</v>
      </c>
      <c r="Q164" s="307" t="s">
        <v>492</v>
      </c>
      <c r="R164" s="299" t="s">
        <v>149</v>
      </c>
      <c r="S164" s="300"/>
    </row>
    <row r="165" spans="1:19">
      <c r="A165" s="167">
        <v>690</v>
      </c>
      <c r="B165" s="428"/>
      <c r="F165" s="657">
        <v>170.26</v>
      </c>
      <c r="G165" s="156" t="s">
        <v>20</v>
      </c>
      <c r="H165" s="244"/>
      <c r="I165" s="449">
        <v>-2.6</v>
      </c>
      <c r="J165" s="462">
        <v>-1.5490806770324701</v>
      </c>
      <c r="K165" s="492">
        <f t="shared" si="3"/>
        <v>21.075664486674128</v>
      </c>
      <c r="L165" s="295" t="s">
        <v>689</v>
      </c>
      <c r="M165" s="296" t="s">
        <v>85</v>
      </c>
      <c r="N165" s="297" t="s">
        <v>192</v>
      </c>
      <c r="O165" s="298" t="s">
        <v>118</v>
      </c>
      <c r="P165" s="314" t="s">
        <v>91</v>
      </c>
      <c r="Q165" s="307" t="s">
        <v>492</v>
      </c>
      <c r="R165" s="299" t="s">
        <v>149</v>
      </c>
      <c r="S165" s="300"/>
    </row>
    <row r="166" spans="1:19">
      <c r="A166" s="167">
        <v>690</v>
      </c>
      <c r="B166" s="428"/>
      <c r="F166" s="657">
        <v>170.31</v>
      </c>
      <c r="G166" s="156" t="s">
        <v>20</v>
      </c>
      <c r="H166" s="244"/>
      <c r="I166" s="449">
        <v>-1.56</v>
      </c>
      <c r="J166" s="462">
        <v>-1.5490806770324701</v>
      </c>
      <c r="K166" s="492">
        <f t="shared" si="3"/>
        <v>16.150676389414606</v>
      </c>
      <c r="L166" s="295" t="s">
        <v>689</v>
      </c>
      <c r="M166" s="296" t="s">
        <v>85</v>
      </c>
      <c r="N166" s="297" t="s">
        <v>192</v>
      </c>
      <c r="O166" s="298" t="s">
        <v>118</v>
      </c>
      <c r="P166" s="314" t="s">
        <v>91</v>
      </c>
      <c r="Q166" s="307" t="s">
        <v>492</v>
      </c>
      <c r="R166" s="299" t="s">
        <v>149</v>
      </c>
      <c r="S166" s="300"/>
    </row>
    <row r="167" spans="1:19">
      <c r="A167" s="167">
        <v>690</v>
      </c>
      <c r="B167" s="428"/>
      <c r="F167" s="657">
        <v>170.31</v>
      </c>
      <c r="G167" s="156" t="s">
        <v>20</v>
      </c>
      <c r="H167" s="244"/>
      <c r="I167" s="449">
        <v>-1.1499999999999999</v>
      </c>
      <c r="J167" s="462">
        <v>-1.5490806770324701</v>
      </c>
      <c r="K167" s="492">
        <f t="shared" si="3"/>
        <v>14.262599543379602</v>
      </c>
      <c r="L167" s="295" t="s">
        <v>689</v>
      </c>
      <c r="M167" s="296" t="s">
        <v>85</v>
      </c>
      <c r="N167" s="297" t="s">
        <v>192</v>
      </c>
      <c r="O167" s="298" t="s">
        <v>118</v>
      </c>
      <c r="P167" s="314" t="s">
        <v>91</v>
      </c>
      <c r="Q167" s="307" t="s">
        <v>492</v>
      </c>
      <c r="R167" s="299" t="s">
        <v>149</v>
      </c>
      <c r="S167" s="300"/>
    </row>
    <row r="168" spans="1:19">
      <c r="A168" s="167">
        <v>690</v>
      </c>
      <c r="B168" s="428"/>
      <c r="F168" s="657">
        <v>170.31</v>
      </c>
      <c r="G168" s="156" t="s">
        <v>20</v>
      </c>
      <c r="H168" s="244"/>
      <c r="I168" s="449">
        <v>-1.45</v>
      </c>
      <c r="J168" s="462">
        <v>-1.5490806770324701</v>
      </c>
      <c r="K168" s="492">
        <f t="shared" si="3"/>
        <v>15.641149186819851</v>
      </c>
      <c r="L168" s="295" t="s">
        <v>689</v>
      </c>
      <c r="M168" s="296" t="s">
        <v>85</v>
      </c>
      <c r="N168" s="297" t="s">
        <v>192</v>
      </c>
      <c r="O168" s="298" t="s">
        <v>118</v>
      </c>
      <c r="P168" s="314" t="s">
        <v>91</v>
      </c>
      <c r="Q168" s="307" t="s">
        <v>492</v>
      </c>
      <c r="R168" s="299" t="s">
        <v>149</v>
      </c>
      <c r="S168" s="300"/>
    </row>
    <row r="169" spans="1:19">
      <c r="A169" s="167">
        <v>690</v>
      </c>
      <c r="B169" s="428"/>
      <c r="F169" s="657">
        <v>170.31</v>
      </c>
      <c r="G169" s="156" t="s">
        <v>20</v>
      </c>
      <c r="H169" s="244"/>
      <c r="I169" s="449">
        <v>-1.35</v>
      </c>
      <c r="J169" s="462">
        <v>-1.5490806770324701</v>
      </c>
      <c r="K169" s="492">
        <f t="shared" si="3"/>
        <v>15.179832639006435</v>
      </c>
      <c r="L169" s="295" t="s">
        <v>689</v>
      </c>
      <c r="M169" s="296" t="s">
        <v>85</v>
      </c>
      <c r="N169" s="297" t="s">
        <v>192</v>
      </c>
      <c r="O169" s="298" t="s">
        <v>118</v>
      </c>
      <c r="P169" s="314" t="s">
        <v>91</v>
      </c>
      <c r="Q169" s="307" t="s">
        <v>492</v>
      </c>
      <c r="R169" s="299" t="s">
        <v>149</v>
      </c>
      <c r="S169" s="300"/>
    </row>
    <row r="170" spans="1:19">
      <c r="A170" s="167">
        <v>690</v>
      </c>
      <c r="B170" s="428"/>
      <c r="F170" s="657">
        <v>170.31</v>
      </c>
      <c r="G170" s="156" t="s">
        <v>20</v>
      </c>
      <c r="H170" s="244"/>
      <c r="I170" s="449">
        <v>-1.34</v>
      </c>
      <c r="J170" s="462">
        <v>-1.5490806770324701</v>
      </c>
      <c r="K170" s="492">
        <f t="shared" si="3"/>
        <v>15.133799984225092</v>
      </c>
      <c r="L170" s="295" t="s">
        <v>689</v>
      </c>
      <c r="M170" s="296" t="s">
        <v>85</v>
      </c>
      <c r="N170" s="297" t="s">
        <v>192</v>
      </c>
      <c r="O170" s="298" t="s">
        <v>118</v>
      </c>
      <c r="P170" s="314" t="s">
        <v>91</v>
      </c>
      <c r="Q170" s="307" t="s">
        <v>492</v>
      </c>
      <c r="R170" s="299" t="s">
        <v>149</v>
      </c>
      <c r="S170" s="300"/>
    </row>
    <row r="171" spans="1:19">
      <c r="A171" s="167">
        <v>690</v>
      </c>
      <c r="B171" s="428"/>
      <c r="F171" s="657">
        <v>170.31</v>
      </c>
      <c r="G171" s="156" t="s">
        <v>20</v>
      </c>
      <c r="H171" s="244"/>
      <c r="I171" s="449">
        <v>-1.43</v>
      </c>
      <c r="J171" s="462">
        <v>-1.5490806770324701</v>
      </c>
      <c r="K171" s="492">
        <f t="shared" si="3"/>
        <v>15.548741877257166</v>
      </c>
      <c r="L171" s="295" t="s">
        <v>689</v>
      </c>
      <c r="M171" s="296" t="s">
        <v>85</v>
      </c>
      <c r="N171" s="297" t="s">
        <v>192</v>
      </c>
      <c r="O171" s="298" t="s">
        <v>118</v>
      </c>
      <c r="P171" s="314" t="s">
        <v>91</v>
      </c>
      <c r="Q171" s="307" t="s">
        <v>492</v>
      </c>
      <c r="R171" s="299" t="s">
        <v>149</v>
      </c>
      <c r="S171" s="300"/>
    </row>
    <row r="172" spans="1:19">
      <c r="A172" s="167">
        <v>690</v>
      </c>
      <c r="B172" s="428"/>
      <c r="F172" s="657">
        <v>170.34</v>
      </c>
      <c r="G172" s="156" t="s">
        <v>20</v>
      </c>
      <c r="H172" s="244"/>
      <c r="I172" s="449">
        <v>-1.55</v>
      </c>
      <c r="J172" s="462">
        <v>-1.5490806770324701</v>
      </c>
      <c r="K172" s="492">
        <f t="shared" si="3"/>
        <v>16.104265734633262</v>
      </c>
      <c r="L172" s="295" t="s">
        <v>689</v>
      </c>
      <c r="M172" s="296" t="s">
        <v>85</v>
      </c>
      <c r="N172" s="297" t="s">
        <v>192</v>
      </c>
      <c r="O172" s="298" t="s">
        <v>118</v>
      </c>
      <c r="P172" s="314" t="s">
        <v>91</v>
      </c>
      <c r="Q172" s="307" t="s">
        <v>492</v>
      </c>
      <c r="R172" s="299" t="s">
        <v>149</v>
      </c>
      <c r="S172" s="300"/>
    </row>
    <row r="173" spans="1:19">
      <c r="A173" s="167">
        <v>690</v>
      </c>
      <c r="B173" s="428"/>
      <c r="F173" s="657">
        <v>170.34</v>
      </c>
      <c r="G173" s="156" t="s">
        <v>20</v>
      </c>
      <c r="H173" s="244"/>
      <c r="I173" s="449">
        <v>-1.55</v>
      </c>
      <c r="J173" s="462">
        <v>-1.5490806770324701</v>
      </c>
      <c r="K173" s="492">
        <f t="shared" si="3"/>
        <v>16.104265734633262</v>
      </c>
      <c r="L173" s="295" t="s">
        <v>689</v>
      </c>
      <c r="M173" s="296" t="s">
        <v>85</v>
      </c>
      <c r="N173" s="297" t="s">
        <v>192</v>
      </c>
      <c r="O173" s="298" t="s">
        <v>118</v>
      </c>
      <c r="P173" s="314" t="s">
        <v>91</v>
      </c>
      <c r="Q173" s="307" t="s">
        <v>492</v>
      </c>
      <c r="R173" s="299" t="s">
        <v>149</v>
      </c>
      <c r="S173" s="300"/>
    </row>
    <row r="174" spans="1:19">
      <c r="A174" s="167">
        <v>690</v>
      </c>
      <c r="B174" s="428"/>
      <c r="F174" s="657">
        <v>170.34</v>
      </c>
      <c r="G174" s="156" t="s">
        <v>20</v>
      </c>
      <c r="H174" s="244"/>
      <c r="I174" s="449">
        <v>-1.45</v>
      </c>
      <c r="J174" s="462">
        <v>-1.5490806770324701</v>
      </c>
      <c r="K174" s="492">
        <f t="shared" si="3"/>
        <v>15.641149186819851</v>
      </c>
      <c r="L174" s="295" t="s">
        <v>689</v>
      </c>
      <c r="M174" s="296" t="s">
        <v>85</v>
      </c>
      <c r="N174" s="297" t="s">
        <v>192</v>
      </c>
      <c r="O174" s="298" t="s">
        <v>118</v>
      </c>
      <c r="P174" s="314" t="s">
        <v>91</v>
      </c>
      <c r="Q174" s="307" t="s">
        <v>492</v>
      </c>
      <c r="R174" s="299" t="s">
        <v>149</v>
      </c>
      <c r="S174" s="300"/>
    </row>
    <row r="175" spans="1:19">
      <c r="A175" s="167">
        <v>690</v>
      </c>
      <c r="B175" s="428"/>
      <c r="F175" s="657">
        <v>170.34</v>
      </c>
      <c r="G175" s="156" t="s">
        <v>20</v>
      </c>
      <c r="H175" s="244"/>
      <c r="I175" s="449">
        <v>-1.56</v>
      </c>
      <c r="J175" s="462">
        <v>-1.5490806770324701</v>
      </c>
      <c r="K175" s="492">
        <f t="shared" si="3"/>
        <v>16.150676389414606</v>
      </c>
      <c r="L175" s="295" t="s">
        <v>689</v>
      </c>
      <c r="M175" s="296" t="s">
        <v>85</v>
      </c>
      <c r="N175" s="297" t="s">
        <v>192</v>
      </c>
      <c r="O175" s="298" t="s">
        <v>118</v>
      </c>
      <c r="P175" s="314" t="s">
        <v>91</v>
      </c>
      <c r="Q175" s="307" t="s">
        <v>492</v>
      </c>
      <c r="R175" s="299" t="s">
        <v>149</v>
      </c>
      <c r="S175" s="300"/>
    </row>
    <row r="176" spans="1:19">
      <c r="A176" s="167">
        <v>690</v>
      </c>
      <c r="B176" s="428"/>
      <c r="F176" s="657">
        <v>170.34</v>
      </c>
      <c r="G176" s="156" t="s">
        <v>20</v>
      </c>
      <c r="H176" s="244"/>
      <c r="I176" s="449">
        <v>-2.31</v>
      </c>
      <c r="J176" s="462">
        <v>-1.5490806770324701</v>
      </c>
      <c r="K176" s="492">
        <f t="shared" si="3"/>
        <v>19.682775498015225</v>
      </c>
      <c r="L176" s="295" t="s">
        <v>689</v>
      </c>
      <c r="M176" s="296" t="s">
        <v>85</v>
      </c>
      <c r="N176" s="297" t="s">
        <v>192</v>
      </c>
      <c r="O176" s="298" t="s">
        <v>118</v>
      </c>
      <c r="P176" s="314" t="s">
        <v>91</v>
      </c>
      <c r="Q176" s="307" t="s">
        <v>492</v>
      </c>
      <c r="R176" s="299" t="s">
        <v>149</v>
      </c>
      <c r="S176" s="300"/>
    </row>
    <row r="177" spans="1:19">
      <c r="A177" s="167">
        <v>690</v>
      </c>
      <c r="B177" s="428"/>
      <c r="F177" s="657">
        <v>170.37</v>
      </c>
      <c r="G177" s="156" t="s">
        <v>20</v>
      </c>
      <c r="H177" s="244"/>
      <c r="I177" s="449">
        <v>-1.37</v>
      </c>
      <c r="J177" s="462">
        <v>-1.5490806770324701</v>
      </c>
      <c r="K177" s="492">
        <f t="shared" si="3"/>
        <v>15.271951948569118</v>
      </c>
      <c r="L177" s="295" t="s">
        <v>689</v>
      </c>
      <c r="M177" s="296" t="s">
        <v>85</v>
      </c>
      <c r="N177" s="297" t="s">
        <v>192</v>
      </c>
      <c r="O177" s="298" t="s">
        <v>118</v>
      </c>
      <c r="P177" s="314" t="s">
        <v>91</v>
      </c>
      <c r="Q177" s="307" t="s">
        <v>492</v>
      </c>
      <c r="R177" s="299" t="s">
        <v>149</v>
      </c>
      <c r="S177" s="300"/>
    </row>
    <row r="178" spans="1:19">
      <c r="A178" s="167">
        <v>690</v>
      </c>
      <c r="B178" s="428"/>
      <c r="F178" s="657">
        <v>170.37</v>
      </c>
      <c r="G178" s="156" t="s">
        <v>20</v>
      </c>
      <c r="H178" s="244"/>
      <c r="I178" s="449">
        <v>-1.59</v>
      </c>
      <c r="J178" s="462">
        <v>-1.5490806770324701</v>
      </c>
      <c r="K178" s="492">
        <f t="shared" si="3"/>
        <v>16.290016353758631</v>
      </c>
      <c r="L178" s="295" t="s">
        <v>689</v>
      </c>
      <c r="M178" s="296" t="s">
        <v>85</v>
      </c>
      <c r="N178" s="297" t="s">
        <v>192</v>
      </c>
      <c r="O178" s="298" t="s">
        <v>118</v>
      </c>
      <c r="P178" s="314" t="s">
        <v>91</v>
      </c>
      <c r="Q178" s="307" t="s">
        <v>492</v>
      </c>
      <c r="R178" s="299" t="s">
        <v>149</v>
      </c>
      <c r="S178" s="300"/>
    </row>
    <row r="179" spans="1:19">
      <c r="A179" s="167">
        <v>690</v>
      </c>
      <c r="B179" s="428"/>
      <c r="F179" s="657">
        <v>170.37</v>
      </c>
      <c r="G179" s="156" t="s">
        <v>20</v>
      </c>
      <c r="H179" s="244"/>
      <c r="I179" s="449">
        <v>-1.36</v>
      </c>
      <c r="J179" s="462">
        <v>-1.5490806770324701</v>
      </c>
      <c r="K179" s="492">
        <f t="shared" si="3"/>
        <v>15.225883293787776</v>
      </c>
      <c r="L179" s="295" t="s">
        <v>689</v>
      </c>
      <c r="M179" s="296" t="s">
        <v>85</v>
      </c>
      <c r="N179" s="297" t="s">
        <v>192</v>
      </c>
      <c r="O179" s="298" t="s">
        <v>118</v>
      </c>
      <c r="P179" s="314" t="s">
        <v>91</v>
      </c>
      <c r="Q179" s="307" t="s">
        <v>492</v>
      </c>
      <c r="R179" s="299" t="s">
        <v>149</v>
      </c>
      <c r="S179" s="300"/>
    </row>
    <row r="180" spans="1:19">
      <c r="A180" s="167">
        <v>690</v>
      </c>
      <c r="B180" s="428"/>
      <c r="F180" s="657">
        <v>170.37</v>
      </c>
      <c r="G180" s="156" t="s">
        <v>20</v>
      </c>
      <c r="H180" s="244"/>
      <c r="I180" s="449">
        <v>-1.35</v>
      </c>
      <c r="J180" s="462">
        <v>-1.5490806770324701</v>
      </c>
      <c r="K180" s="492">
        <f t="shared" si="3"/>
        <v>15.179832639006435</v>
      </c>
      <c r="L180" s="295" t="s">
        <v>689</v>
      </c>
      <c r="M180" s="296" t="s">
        <v>85</v>
      </c>
      <c r="N180" s="297" t="s">
        <v>192</v>
      </c>
      <c r="O180" s="298" t="s">
        <v>118</v>
      </c>
      <c r="P180" s="314" t="s">
        <v>91</v>
      </c>
      <c r="Q180" s="307" t="s">
        <v>492</v>
      </c>
      <c r="R180" s="299" t="s">
        <v>149</v>
      </c>
      <c r="S180" s="300"/>
    </row>
    <row r="181" spans="1:19">
      <c r="A181" s="167">
        <v>690</v>
      </c>
      <c r="B181" s="428"/>
      <c r="F181" s="657">
        <v>170.37</v>
      </c>
      <c r="G181" s="156" t="s">
        <v>20</v>
      </c>
      <c r="H181" s="244"/>
      <c r="I181" s="449">
        <v>-1.4</v>
      </c>
      <c r="J181" s="462">
        <v>-1.5490806770324701</v>
      </c>
      <c r="K181" s="492">
        <f t="shared" si="3"/>
        <v>15.410265912913141</v>
      </c>
      <c r="L181" s="295" t="s">
        <v>689</v>
      </c>
      <c r="M181" s="296" t="s">
        <v>85</v>
      </c>
      <c r="N181" s="297" t="s">
        <v>192</v>
      </c>
      <c r="O181" s="298" t="s">
        <v>118</v>
      </c>
      <c r="P181" s="314" t="s">
        <v>91</v>
      </c>
      <c r="Q181" s="307" t="s">
        <v>492</v>
      </c>
      <c r="R181" s="299" t="s">
        <v>149</v>
      </c>
      <c r="S181" s="300"/>
    </row>
    <row r="182" spans="1:19">
      <c r="A182" s="167">
        <v>690</v>
      </c>
      <c r="B182" s="428"/>
      <c r="F182" s="657">
        <v>170.37</v>
      </c>
      <c r="G182" s="156" t="s">
        <v>20</v>
      </c>
      <c r="H182" s="244"/>
      <c r="I182" s="449">
        <v>-1.37</v>
      </c>
      <c r="J182" s="462">
        <v>-1.5490806770324701</v>
      </c>
      <c r="K182" s="492">
        <f t="shared" si="3"/>
        <v>15.271951948569118</v>
      </c>
      <c r="L182" s="295" t="s">
        <v>689</v>
      </c>
      <c r="M182" s="296" t="s">
        <v>85</v>
      </c>
      <c r="N182" s="297" t="s">
        <v>192</v>
      </c>
      <c r="O182" s="298" t="s">
        <v>118</v>
      </c>
      <c r="P182" s="314" t="s">
        <v>91</v>
      </c>
      <c r="Q182" s="307" t="s">
        <v>492</v>
      </c>
      <c r="R182" s="299" t="s">
        <v>149</v>
      </c>
      <c r="S182" s="300"/>
    </row>
    <row r="183" spans="1:19">
      <c r="A183" s="167">
        <v>690</v>
      </c>
      <c r="B183" s="428"/>
      <c r="F183" s="657">
        <v>170.42</v>
      </c>
      <c r="G183" s="156" t="s">
        <v>20</v>
      </c>
      <c r="H183" s="244"/>
      <c r="I183" s="449">
        <v>-1.43</v>
      </c>
      <c r="J183" s="462">
        <v>-1.5490806770324701</v>
      </c>
      <c r="K183" s="492">
        <f t="shared" si="3"/>
        <v>15.548741877257166</v>
      </c>
      <c r="L183" s="295" t="s">
        <v>689</v>
      </c>
      <c r="M183" s="296" t="s">
        <v>85</v>
      </c>
      <c r="N183" s="297" t="s">
        <v>192</v>
      </c>
      <c r="O183" s="298" t="s">
        <v>118</v>
      </c>
      <c r="P183" s="314" t="s">
        <v>91</v>
      </c>
      <c r="Q183" s="307" t="s">
        <v>492</v>
      </c>
      <c r="R183" s="299" t="s">
        <v>149</v>
      </c>
      <c r="S183" s="300"/>
    </row>
    <row r="184" spans="1:19">
      <c r="A184" s="167">
        <v>690</v>
      </c>
      <c r="B184" s="428"/>
      <c r="F184" s="657">
        <v>170.42</v>
      </c>
      <c r="G184" s="156" t="s">
        <v>20</v>
      </c>
      <c r="H184" s="244"/>
      <c r="I184" s="449">
        <v>-1.46</v>
      </c>
      <c r="J184" s="462">
        <v>-1.5490806770324701</v>
      </c>
      <c r="K184" s="492">
        <f t="shared" si="3"/>
        <v>15.68737984160119</v>
      </c>
      <c r="L184" s="295" t="s">
        <v>689</v>
      </c>
      <c r="M184" s="296" t="s">
        <v>85</v>
      </c>
      <c r="N184" s="297" t="s">
        <v>192</v>
      </c>
      <c r="O184" s="298" t="s">
        <v>118</v>
      </c>
      <c r="P184" s="314" t="s">
        <v>91</v>
      </c>
      <c r="Q184" s="307" t="s">
        <v>492</v>
      </c>
      <c r="R184" s="299" t="s">
        <v>149</v>
      </c>
      <c r="S184" s="300"/>
    </row>
    <row r="185" spans="1:19">
      <c r="A185" s="167">
        <v>690</v>
      </c>
      <c r="B185" s="428"/>
      <c r="F185" s="657">
        <v>170.42</v>
      </c>
      <c r="G185" s="156" t="s">
        <v>20</v>
      </c>
      <c r="H185" s="244"/>
      <c r="I185" s="449">
        <v>-1.31</v>
      </c>
      <c r="J185" s="462">
        <v>-1.5490806770324701</v>
      </c>
      <c r="K185" s="492">
        <f t="shared" si="3"/>
        <v>14.995810019881068</v>
      </c>
      <c r="L185" s="295" t="s">
        <v>689</v>
      </c>
      <c r="M185" s="296" t="s">
        <v>85</v>
      </c>
      <c r="N185" s="297" t="s">
        <v>192</v>
      </c>
      <c r="O185" s="298" t="s">
        <v>118</v>
      </c>
      <c r="P185" s="314" t="s">
        <v>91</v>
      </c>
      <c r="Q185" s="307" t="s">
        <v>492</v>
      </c>
      <c r="R185" s="299" t="s">
        <v>149</v>
      </c>
      <c r="S185" s="300"/>
    </row>
    <row r="186" spans="1:19">
      <c r="A186" s="167">
        <v>690</v>
      </c>
      <c r="B186" s="428"/>
      <c r="F186" s="657">
        <v>170.42</v>
      </c>
      <c r="G186" s="156" t="s">
        <v>20</v>
      </c>
      <c r="H186" s="244"/>
      <c r="I186" s="449">
        <v>-1.22</v>
      </c>
      <c r="J186" s="462">
        <v>-1.5490806770324701</v>
      </c>
      <c r="K186" s="492">
        <f t="shared" si="3"/>
        <v>14.582812126848994</v>
      </c>
      <c r="L186" s="295" t="s">
        <v>689</v>
      </c>
      <c r="M186" s="296" t="s">
        <v>85</v>
      </c>
      <c r="N186" s="297" t="s">
        <v>192</v>
      </c>
      <c r="O186" s="298" t="s">
        <v>118</v>
      </c>
      <c r="P186" s="314" t="s">
        <v>91</v>
      </c>
      <c r="Q186" s="307" t="s">
        <v>492</v>
      </c>
      <c r="R186" s="299" t="s">
        <v>149</v>
      </c>
      <c r="S186" s="300"/>
    </row>
    <row r="187" spans="1:19">
      <c r="A187" s="167">
        <v>690</v>
      </c>
      <c r="B187" s="428"/>
      <c r="F187" s="657">
        <v>170.44</v>
      </c>
      <c r="G187" s="156" t="s">
        <v>20</v>
      </c>
      <c r="H187" s="244"/>
      <c r="I187" s="449">
        <v>-1.47</v>
      </c>
      <c r="J187" s="462">
        <v>-1.5490806770324701</v>
      </c>
      <c r="K187" s="492">
        <f t="shared" si="3"/>
        <v>15.733628496382531</v>
      </c>
      <c r="L187" s="295" t="s">
        <v>689</v>
      </c>
      <c r="M187" s="296" t="s">
        <v>85</v>
      </c>
      <c r="N187" s="297" t="s">
        <v>192</v>
      </c>
      <c r="O187" s="298" t="s">
        <v>118</v>
      </c>
      <c r="P187" s="314" t="s">
        <v>91</v>
      </c>
      <c r="Q187" s="307" t="s">
        <v>492</v>
      </c>
      <c r="R187" s="299" t="s">
        <v>149</v>
      </c>
      <c r="S187" s="300"/>
    </row>
    <row r="188" spans="1:19">
      <c r="A188" s="167">
        <v>690</v>
      </c>
      <c r="B188" s="428"/>
      <c r="F188" s="657">
        <v>170.44</v>
      </c>
      <c r="G188" s="156" t="s">
        <v>20</v>
      </c>
      <c r="H188" s="244"/>
      <c r="I188" s="449">
        <v>-1.89</v>
      </c>
      <c r="J188" s="462">
        <v>-1.5490806770324701</v>
      </c>
      <c r="K188" s="492">
        <f t="shared" si="3"/>
        <v>17.692325997198878</v>
      </c>
      <c r="L188" s="295" t="s">
        <v>689</v>
      </c>
      <c r="M188" s="296" t="s">
        <v>85</v>
      </c>
      <c r="N188" s="297" t="s">
        <v>192</v>
      </c>
      <c r="O188" s="298" t="s">
        <v>118</v>
      </c>
      <c r="P188" s="314" t="s">
        <v>91</v>
      </c>
      <c r="Q188" s="307" t="s">
        <v>492</v>
      </c>
      <c r="R188" s="299" t="s">
        <v>149</v>
      </c>
      <c r="S188" s="300"/>
    </row>
    <row r="189" spans="1:19">
      <c r="A189" s="167">
        <v>690</v>
      </c>
      <c r="B189" s="428"/>
      <c r="F189" s="657">
        <v>170.44</v>
      </c>
      <c r="G189" s="156" t="s">
        <v>20</v>
      </c>
      <c r="H189" s="244"/>
      <c r="I189" s="449">
        <v>-1.56</v>
      </c>
      <c r="J189" s="462">
        <v>-1.5490806770324701</v>
      </c>
      <c r="K189" s="492">
        <f t="shared" si="3"/>
        <v>16.150676389414606</v>
      </c>
      <c r="L189" s="295" t="s">
        <v>689</v>
      </c>
      <c r="M189" s="296" t="s">
        <v>85</v>
      </c>
      <c r="N189" s="297" t="s">
        <v>192</v>
      </c>
      <c r="O189" s="298" t="s">
        <v>118</v>
      </c>
      <c r="P189" s="314" t="s">
        <v>91</v>
      </c>
      <c r="Q189" s="307" t="s">
        <v>492</v>
      </c>
      <c r="R189" s="299" t="s">
        <v>149</v>
      </c>
      <c r="S189" s="300"/>
    </row>
    <row r="190" spans="1:19">
      <c r="A190" s="167">
        <v>690</v>
      </c>
      <c r="B190" s="428"/>
      <c r="F190" s="657">
        <v>170.44</v>
      </c>
      <c r="G190" s="156" t="s">
        <v>20</v>
      </c>
      <c r="H190" s="244"/>
      <c r="I190" s="449">
        <v>-1.23</v>
      </c>
      <c r="J190" s="462">
        <v>-1.5490806770324701</v>
      </c>
      <c r="K190" s="492">
        <f t="shared" si="3"/>
        <v>14.628628781630335</v>
      </c>
      <c r="L190" s="295" t="s">
        <v>689</v>
      </c>
      <c r="M190" s="296" t="s">
        <v>85</v>
      </c>
      <c r="N190" s="297" t="s">
        <v>192</v>
      </c>
      <c r="O190" s="298" t="s">
        <v>118</v>
      </c>
      <c r="P190" s="314" t="s">
        <v>91</v>
      </c>
      <c r="Q190" s="307" t="s">
        <v>492</v>
      </c>
      <c r="R190" s="299" t="s">
        <v>149</v>
      </c>
      <c r="S190" s="300"/>
    </row>
    <row r="191" spans="1:19">
      <c r="A191" s="167">
        <v>690</v>
      </c>
      <c r="B191" s="428"/>
      <c r="F191" s="657">
        <v>170.46</v>
      </c>
      <c r="G191" s="156" t="s">
        <v>20</v>
      </c>
      <c r="H191" s="244"/>
      <c r="I191" s="449">
        <v>-1.25</v>
      </c>
      <c r="J191" s="462">
        <v>-1.5490806770324701</v>
      </c>
      <c r="K191" s="492">
        <f t="shared" si="3"/>
        <v>14.720316091193018</v>
      </c>
      <c r="L191" s="295" t="s">
        <v>689</v>
      </c>
      <c r="M191" s="296" t="s">
        <v>85</v>
      </c>
      <c r="N191" s="297" t="s">
        <v>192</v>
      </c>
      <c r="O191" s="298" t="s">
        <v>118</v>
      </c>
      <c r="P191" s="314" t="s">
        <v>91</v>
      </c>
      <c r="Q191" s="307" t="s">
        <v>492</v>
      </c>
      <c r="R191" s="299" t="s">
        <v>149</v>
      </c>
      <c r="S191" s="300"/>
    </row>
    <row r="192" spans="1:19">
      <c r="A192" s="167">
        <v>690</v>
      </c>
      <c r="B192" s="428"/>
      <c r="F192" s="657">
        <v>170.46</v>
      </c>
      <c r="G192" s="156" t="s">
        <v>20</v>
      </c>
      <c r="H192" s="244"/>
      <c r="I192" s="449">
        <v>-1.51</v>
      </c>
      <c r="J192" s="462">
        <v>-1.5490806770324701</v>
      </c>
      <c r="K192" s="492">
        <f t="shared" si="3"/>
        <v>15.918803115507899</v>
      </c>
      <c r="L192" s="295" t="s">
        <v>689</v>
      </c>
      <c r="M192" s="296" t="s">
        <v>85</v>
      </c>
      <c r="N192" s="297" t="s">
        <v>192</v>
      </c>
      <c r="O192" s="298" t="s">
        <v>118</v>
      </c>
      <c r="P192" s="314" t="s">
        <v>91</v>
      </c>
      <c r="Q192" s="307" t="s">
        <v>492</v>
      </c>
      <c r="R192" s="299" t="s">
        <v>149</v>
      </c>
      <c r="S192" s="300"/>
    </row>
    <row r="193" spans="1:19">
      <c r="A193" s="167">
        <v>690</v>
      </c>
      <c r="B193" s="428"/>
      <c r="F193" s="657">
        <v>170.46</v>
      </c>
      <c r="G193" s="156" t="s">
        <v>20</v>
      </c>
      <c r="H193" s="244"/>
      <c r="I193" s="449">
        <v>-1.1399999999999999</v>
      </c>
      <c r="J193" s="462">
        <v>-1.5490806770324701</v>
      </c>
      <c r="K193" s="492">
        <f t="shared" si="3"/>
        <v>14.216926888598261</v>
      </c>
      <c r="L193" s="295" t="s">
        <v>689</v>
      </c>
      <c r="M193" s="296" t="s">
        <v>85</v>
      </c>
      <c r="N193" s="297" t="s">
        <v>192</v>
      </c>
      <c r="O193" s="298" t="s">
        <v>118</v>
      </c>
      <c r="P193" s="314" t="s">
        <v>91</v>
      </c>
      <c r="Q193" s="307" t="s">
        <v>492</v>
      </c>
      <c r="R193" s="299" t="s">
        <v>149</v>
      </c>
      <c r="S193" s="300"/>
    </row>
    <row r="194" spans="1:19">
      <c r="A194" s="167">
        <v>690</v>
      </c>
      <c r="B194" s="428"/>
      <c r="F194" s="657">
        <v>170.46</v>
      </c>
      <c r="G194" s="156" t="s">
        <v>20</v>
      </c>
      <c r="H194" s="244"/>
      <c r="I194" s="449">
        <v>-1.02</v>
      </c>
      <c r="J194" s="462">
        <v>-1.5490806770324701</v>
      </c>
      <c r="K194" s="492">
        <f t="shared" si="3"/>
        <v>13.670259031222162</v>
      </c>
      <c r="L194" s="295" t="s">
        <v>689</v>
      </c>
      <c r="M194" s="296" t="s">
        <v>85</v>
      </c>
      <c r="N194" s="297" t="s">
        <v>192</v>
      </c>
      <c r="O194" s="298" t="s">
        <v>118</v>
      </c>
      <c r="P194" s="314" t="s">
        <v>91</v>
      </c>
      <c r="Q194" s="307" t="s">
        <v>492</v>
      </c>
      <c r="R194" s="299" t="s">
        <v>149</v>
      </c>
      <c r="S194" s="300"/>
    </row>
    <row r="195" spans="1:19">
      <c r="A195" s="167">
        <v>690</v>
      </c>
      <c r="B195" s="428"/>
      <c r="F195" s="657">
        <v>170.46</v>
      </c>
      <c r="G195" s="156" t="s">
        <v>20</v>
      </c>
      <c r="H195" s="244"/>
      <c r="I195" s="449">
        <v>-1.25</v>
      </c>
      <c r="J195" s="462">
        <v>-1.5490806770324701</v>
      </c>
      <c r="K195" s="492">
        <f t="shared" si="3"/>
        <v>14.720316091193018</v>
      </c>
      <c r="L195" s="295" t="s">
        <v>689</v>
      </c>
      <c r="M195" s="296" t="s">
        <v>85</v>
      </c>
      <c r="N195" s="297" t="s">
        <v>192</v>
      </c>
      <c r="O195" s="298" t="s">
        <v>118</v>
      </c>
      <c r="P195" s="314" t="s">
        <v>91</v>
      </c>
      <c r="Q195" s="307" t="s">
        <v>492</v>
      </c>
      <c r="R195" s="299" t="s">
        <v>149</v>
      </c>
      <c r="S195" s="300"/>
    </row>
    <row r="196" spans="1:19">
      <c r="A196" s="167">
        <v>690</v>
      </c>
      <c r="B196" s="428"/>
      <c r="F196" s="657">
        <v>170.48</v>
      </c>
      <c r="G196" s="156" t="s">
        <v>20</v>
      </c>
      <c r="H196" s="244"/>
      <c r="I196" s="449">
        <v>-1.78</v>
      </c>
      <c r="J196" s="462">
        <v>-1.5490806770324701</v>
      </c>
      <c r="K196" s="492">
        <f t="shared" si="3"/>
        <v>17.176264794604119</v>
      </c>
      <c r="L196" s="295" t="s">
        <v>689</v>
      </c>
      <c r="M196" s="296" t="s">
        <v>85</v>
      </c>
      <c r="N196" s="297" t="s">
        <v>192</v>
      </c>
      <c r="O196" s="298" t="s">
        <v>118</v>
      </c>
      <c r="P196" s="314" t="s">
        <v>91</v>
      </c>
      <c r="Q196" s="307" t="s">
        <v>492</v>
      </c>
      <c r="R196" s="299" t="s">
        <v>149</v>
      </c>
      <c r="S196" s="300"/>
    </row>
    <row r="197" spans="1:19">
      <c r="A197" s="167">
        <v>690</v>
      </c>
      <c r="B197" s="428"/>
      <c r="F197" s="657">
        <v>170.48</v>
      </c>
      <c r="G197" s="156" t="s">
        <v>20</v>
      </c>
      <c r="H197" s="244"/>
      <c r="I197" s="449">
        <v>-1.27</v>
      </c>
      <c r="J197" s="462">
        <v>-1.5490806770324701</v>
      </c>
      <c r="K197" s="492">
        <f t="shared" si="3"/>
        <v>14.812075400755701</v>
      </c>
      <c r="L197" s="295" t="s">
        <v>689</v>
      </c>
      <c r="M197" s="296" t="s">
        <v>85</v>
      </c>
      <c r="N197" s="297" t="s">
        <v>192</v>
      </c>
      <c r="O197" s="298" t="s">
        <v>118</v>
      </c>
      <c r="P197" s="314" t="s">
        <v>91</v>
      </c>
      <c r="Q197" s="307" t="s">
        <v>492</v>
      </c>
      <c r="R197" s="299" t="s">
        <v>149</v>
      </c>
      <c r="S197" s="300"/>
    </row>
    <row r="198" spans="1:19">
      <c r="A198" s="167">
        <v>690</v>
      </c>
      <c r="B198" s="428"/>
      <c r="F198" s="657">
        <v>170.48</v>
      </c>
      <c r="G198" s="156" t="s">
        <v>20</v>
      </c>
      <c r="H198" s="244"/>
      <c r="I198" s="449">
        <v>-1.1200000000000001</v>
      </c>
      <c r="J198" s="462">
        <v>-1.5490806770324701</v>
      </c>
      <c r="K198" s="492">
        <f t="shared" si="3"/>
        <v>14.125635579035578</v>
      </c>
      <c r="L198" s="295" t="s">
        <v>689</v>
      </c>
      <c r="M198" s="296" t="s">
        <v>85</v>
      </c>
      <c r="N198" s="297" t="s">
        <v>192</v>
      </c>
      <c r="O198" s="298" t="s">
        <v>118</v>
      </c>
      <c r="P198" s="314" t="s">
        <v>91</v>
      </c>
      <c r="Q198" s="307" t="s">
        <v>492</v>
      </c>
      <c r="R198" s="299" t="s">
        <v>149</v>
      </c>
      <c r="S198" s="300"/>
    </row>
    <row r="199" spans="1:19">
      <c r="A199" s="167">
        <v>690</v>
      </c>
      <c r="B199" s="428"/>
      <c r="F199" s="657">
        <v>170.48</v>
      </c>
      <c r="G199" s="156" t="s">
        <v>20</v>
      </c>
      <c r="H199" s="244"/>
      <c r="I199" s="449">
        <v>-1.33</v>
      </c>
      <c r="J199" s="462">
        <v>-1.5490806770324701</v>
      </c>
      <c r="K199" s="492">
        <f t="shared" si="3"/>
        <v>15.087785329443751</v>
      </c>
      <c r="L199" s="295" t="s">
        <v>689</v>
      </c>
      <c r="M199" s="296" t="s">
        <v>85</v>
      </c>
      <c r="N199" s="297" t="s">
        <v>192</v>
      </c>
      <c r="O199" s="298" t="s">
        <v>118</v>
      </c>
      <c r="P199" s="314" t="s">
        <v>91</v>
      </c>
      <c r="Q199" s="307" t="s">
        <v>492</v>
      </c>
      <c r="R199" s="299" t="s">
        <v>149</v>
      </c>
      <c r="S199" s="300"/>
    </row>
    <row r="200" spans="1:19">
      <c r="A200" s="167">
        <v>690</v>
      </c>
      <c r="B200" s="428"/>
      <c r="F200" s="657">
        <v>170.48</v>
      </c>
      <c r="G200" s="156" t="s">
        <v>20</v>
      </c>
      <c r="H200" s="244"/>
      <c r="I200" s="449">
        <v>-1.38</v>
      </c>
      <c r="J200" s="462">
        <v>-1.5490806770324701</v>
      </c>
      <c r="K200" s="492">
        <f t="shared" si="3"/>
        <v>15.318038603350457</v>
      </c>
      <c r="L200" s="295" t="s">
        <v>689</v>
      </c>
      <c r="M200" s="296" t="s">
        <v>85</v>
      </c>
      <c r="N200" s="297" t="s">
        <v>192</v>
      </c>
      <c r="O200" s="298" t="s">
        <v>118</v>
      </c>
      <c r="P200" s="314" t="s">
        <v>91</v>
      </c>
      <c r="Q200" s="307" t="s">
        <v>492</v>
      </c>
      <c r="R200" s="299" t="s">
        <v>149</v>
      </c>
      <c r="S200" s="300"/>
    </row>
    <row r="201" spans="1:19">
      <c r="A201" s="167">
        <v>690</v>
      </c>
      <c r="B201" s="428"/>
      <c r="F201" s="657">
        <v>170.5</v>
      </c>
      <c r="G201" s="156" t="s">
        <v>20</v>
      </c>
      <c r="H201" s="244"/>
      <c r="I201" s="449">
        <v>-1.53</v>
      </c>
      <c r="J201" s="462">
        <v>-1.5490806770324701</v>
      </c>
      <c r="K201" s="492">
        <f t="shared" si="3"/>
        <v>16.011498425070581</v>
      </c>
      <c r="L201" s="295" t="s">
        <v>689</v>
      </c>
      <c r="M201" s="296" t="s">
        <v>85</v>
      </c>
      <c r="N201" s="297" t="s">
        <v>192</v>
      </c>
      <c r="O201" s="298" t="s">
        <v>118</v>
      </c>
      <c r="P201" s="314" t="s">
        <v>91</v>
      </c>
      <c r="Q201" s="307" t="s">
        <v>492</v>
      </c>
      <c r="R201" s="299" t="s">
        <v>149</v>
      </c>
      <c r="S201" s="300"/>
    </row>
    <row r="202" spans="1:19">
      <c r="A202" s="167">
        <v>690</v>
      </c>
      <c r="B202" s="428"/>
      <c r="F202" s="657">
        <v>170.5</v>
      </c>
      <c r="G202" s="156" t="s">
        <v>20</v>
      </c>
      <c r="H202" s="244"/>
      <c r="I202" s="449">
        <v>-1.43</v>
      </c>
      <c r="J202" s="462">
        <v>-1.5490806770324701</v>
      </c>
      <c r="K202" s="492">
        <f t="shared" si="3"/>
        <v>15.548741877257166</v>
      </c>
      <c r="L202" s="295" t="s">
        <v>689</v>
      </c>
      <c r="M202" s="296" t="s">
        <v>85</v>
      </c>
      <c r="N202" s="297" t="s">
        <v>192</v>
      </c>
      <c r="O202" s="298" t="s">
        <v>118</v>
      </c>
      <c r="P202" s="314" t="s">
        <v>91</v>
      </c>
      <c r="Q202" s="307" t="s">
        <v>492</v>
      </c>
      <c r="R202" s="299" t="s">
        <v>149</v>
      </c>
      <c r="S202" s="300"/>
    </row>
    <row r="203" spans="1:19">
      <c r="A203" s="167">
        <v>690</v>
      </c>
      <c r="B203" s="428"/>
      <c r="F203" s="657">
        <v>170.5</v>
      </c>
      <c r="G203" s="156" t="s">
        <v>20</v>
      </c>
      <c r="H203" s="244"/>
      <c r="I203" s="449">
        <v>-1.1299999999999999</v>
      </c>
      <c r="J203" s="462">
        <v>-1.5490806770324701</v>
      </c>
      <c r="K203" s="492">
        <f t="shared" ref="K203:K266" si="4">16.1-4.64*($I203-J203)+0.09*($I203-J203)^2</f>
        <v>14.171272233816918</v>
      </c>
      <c r="L203" s="295" t="s">
        <v>689</v>
      </c>
      <c r="M203" s="296" t="s">
        <v>85</v>
      </c>
      <c r="N203" s="297" t="s">
        <v>192</v>
      </c>
      <c r="O203" s="298" t="s">
        <v>118</v>
      </c>
      <c r="P203" s="314" t="s">
        <v>91</v>
      </c>
      <c r="Q203" s="307" t="s">
        <v>492</v>
      </c>
      <c r="R203" s="299" t="s">
        <v>149</v>
      </c>
      <c r="S203" s="300"/>
    </row>
    <row r="204" spans="1:19">
      <c r="A204" s="167">
        <v>690</v>
      </c>
      <c r="B204" s="428"/>
      <c r="F204" s="657">
        <v>170.5</v>
      </c>
      <c r="G204" s="156" t="s">
        <v>20</v>
      </c>
      <c r="H204" s="244"/>
      <c r="I204" s="449">
        <v>-1.33</v>
      </c>
      <c r="J204" s="462">
        <v>-1.5490806770324701</v>
      </c>
      <c r="K204" s="492">
        <f t="shared" si="4"/>
        <v>15.087785329443751</v>
      </c>
      <c r="L204" s="295" t="s">
        <v>689</v>
      </c>
      <c r="M204" s="296" t="s">
        <v>85</v>
      </c>
      <c r="N204" s="297" t="s">
        <v>192</v>
      </c>
      <c r="O204" s="298" t="s">
        <v>118</v>
      </c>
      <c r="P204" s="314" t="s">
        <v>91</v>
      </c>
      <c r="Q204" s="307" t="s">
        <v>492</v>
      </c>
      <c r="R204" s="299" t="s">
        <v>149</v>
      </c>
      <c r="S204" s="300"/>
    </row>
    <row r="205" spans="1:19">
      <c r="A205" s="167">
        <v>690</v>
      </c>
      <c r="B205" s="428"/>
      <c r="F205" s="657">
        <v>170.52</v>
      </c>
      <c r="G205" s="156" t="s">
        <v>20</v>
      </c>
      <c r="H205" s="244"/>
      <c r="I205" s="449">
        <v>-1.29</v>
      </c>
      <c r="J205" s="462">
        <v>-1.5490806770324701</v>
      </c>
      <c r="K205" s="492">
        <f t="shared" si="4"/>
        <v>14.903906710318385</v>
      </c>
      <c r="L205" s="295" t="s">
        <v>689</v>
      </c>
      <c r="M205" s="296" t="s">
        <v>85</v>
      </c>
      <c r="N205" s="297" t="s">
        <v>192</v>
      </c>
      <c r="O205" s="298" t="s">
        <v>118</v>
      </c>
      <c r="P205" s="314" t="s">
        <v>91</v>
      </c>
      <c r="Q205" s="307" t="s">
        <v>492</v>
      </c>
      <c r="R205" s="299" t="s">
        <v>149</v>
      </c>
      <c r="S205" s="300"/>
    </row>
    <row r="206" spans="1:19">
      <c r="A206" s="167">
        <v>690</v>
      </c>
      <c r="B206" s="428"/>
      <c r="F206" s="657">
        <v>170.52</v>
      </c>
      <c r="G206" s="156" t="s">
        <v>20</v>
      </c>
      <c r="H206" s="244"/>
      <c r="I206" s="449">
        <v>-1.29</v>
      </c>
      <c r="J206" s="462">
        <v>-1.5490806770324701</v>
      </c>
      <c r="K206" s="492">
        <f t="shared" si="4"/>
        <v>14.903906710318385</v>
      </c>
      <c r="L206" s="295" t="s">
        <v>689</v>
      </c>
      <c r="M206" s="296" t="s">
        <v>85</v>
      </c>
      <c r="N206" s="297" t="s">
        <v>192</v>
      </c>
      <c r="O206" s="298" t="s">
        <v>118</v>
      </c>
      <c r="P206" s="314" t="s">
        <v>91</v>
      </c>
      <c r="Q206" s="307" t="s">
        <v>492</v>
      </c>
      <c r="R206" s="299" t="s">
        <v>149</v>
      </c>
      <c r="S206" s="300"/>
    </row>
    <row r="207" spans="1:19">
      <c r="A207" s="167">
        <v>690</v>
      </c>
      <c r="B207" s="428"/>
      <c r="F207" s="657">
        <v>170.52</v>
      </c>
      <c r="G207" s="156" t="s">
        <v>20</v>
      </c>
      <c r="H207" s="244"/>
      <c r="I207" s="449">
        <v>-1.33</v>
      </c>
      <c r="J207" s="462">
        <v>-1.5490806770324701</v>
      </c>
      <c r="K207" s="492">
        <f t="shared" si="4"/>
        <v>15.087785329443751</v>
      </c>
      <c r="L207" s="295" t="s">
        <v>689</v>
      </c>
      <c r="M207" s="296" t="s">
        <v>85</v>
      </c>
      <c r="N207" s="297" t="s">
        <v>192</v>
      </c>
      <c r="O207" s="298" t="s">
        <v>118</v>
      </c>
      <c r="P207" s="314" t="s">
        <v>91</v>
      </c>
      <c r="Q207" s="307" t="s">
        <v>492</v>
      </c>
      <c r="R207" s="299" t="s">
        <v>149</v>
      </c>
      <c r="S207" s="300"/>
    </row>
    <row r="208" spans="1:19">
      <c r="A208" s="167">
        <v>690</v>
      </c>
      <c r="B208" s="428"/>
      <c r="F208" s="657">
        <v>170.52</v>
      </c>
      <c r="G208" s="156" t="s">
        <v>20</v>
      </c>
      <c r="H208" s="244"/>
      <c r="I208" s="449">
        <v>-1.25</v>
      </c>
      <c r="J208" s="462">
        <v>-1.5490806770324701</v>
      </c>
      <c r="K208" s="492">
        <f t="shared" si="4"/>
        <v>14.720316091193018</v>
      </c>
      <c r="L208" s="295" t="s">
        <v>689</v>
      </c>
      <c r="M208" s="296" t="s">
        <v>85</v>
      </c>
      <c r="N208" s="297" t="s">
        <v>192</v>
      </c>
      <c r="O208" s="298" t="s">
        <v>118</v>
      </c>
      <c r="P208" s="314" t="s">
        <v>91</v>
      </c>
      <c r="Q208" s="307" t="s">
        <v>492</v>
      </c>
      <c r="R208" s="299" t="s">
        <v>149</v>
      </c>
      <c r="S208" s="300"/>
    </row>
    <row r="209" spans="1:19">
      <c r="A209" s="167">
        <v>690</v>
      </c>
      <c r="B209" s="428"/>
      <c r="F209" s="657">
        <v>170.52</v>
      </c>
      <c r="G209" s="156" t="s">
        <v>20</v>
      </c>
      <c r="H209" s="244"/>
      <c r="I209" s="449">
        <v>-0.98</v>
      </c>
      <c r="J209" s="462">
        <v>-1.5490806770324701</v>
      </c>
      <c r="K209" s="492">
        <f t="shared" si="4"/>
        <v>13.488612412096796</v>
      </c>
      <c r="L209" s="295" t="s">
        <v>689</v>
      </c>
      <c r="M209" s="296" t="s">
        <v>85</v>
      </c>
      <c r="N209" s="297" t="s">
        <v>192</v>
      </c>
      <c r="O209" s="298" t="s">
        <v>118</v>
      </c>
      <c r="P209" s="314" t="s">
        <v>91</v>
      </c>
      <c r="Q209" s="307" t="s">
        <v>492</v>
      </c>
      <c r="R209" s="299" t="s">
        <v>149</v>
      </c>
      <c r="S209" s="300"/>
    </row>
    <row r="210" spans="1:19">
      <c r="A210" s="167">
        <v>690</v>
      </c>
      <c r="B210" s="428"/>
      <c r="F210" s="657">
        <v>170.52</v>
      </c>
      <c r="G210" s="156" t="s">
        <v>20</v>
      </c>
      <c r="H210" s="244"/>
      <c r="I210" s="449">
        <v>-1.08</v>
      </c>
      <c r="J210" s="462">
        <v>-1.5490806770324701</v>
      </c>
      <c r="K210" s="492">
        <f t="shared" si="4"/>
        <v>13.943268959910213</v>
      </c>
      <c r="L210" s="295" t="s">
        <v>689</v>
      </c>
      <c r="M210" s="296" t="s">
        <v>85</v>
      </c>
      <c r="N210" s="297" t="s">
        <v>192</v>
      </c>
      <c r="O210" s="298" t="s">
        <v>118</v>
      </c>
      <c r="P210" s="314" t="s">
        <v>91</v>
      </c>
      <c r="Q210" s="307" t="s">
        <v>492</v>
      </c>
      <c r="R210" s="299" t="s">
        <v>149</v>
      </c>
      <c r="S210" s="300"/>
    </row>
    <row r="211" spans="1:19">
      <c r="A211" s="167">
        <v>690</v>
      </c>
      <c r="B211" s="428"/>
      <c r="F211" s="657">
        <v>170.54</v>
      </c>
      <c r="G211" s="156" t="s">
        <v>20</v>
      </c>
      <c r="H211" s="244"/>
      <c r="I211" s="449">
        <v>-1.36</v>
      </c>
      <c r="J211" s="462">
        <v>-1.5490806770324701</v>
      </c>
      <c r="K211" s="492">
        <f t="shared" si="4"/>
        <v>15.225883293787776</v>
      </c>
      <c r="L211" s="295" t="s">
        <v>689</v>
      </c>
      <c r="M211" s="296" t="s">
        <v>85</v>
      </c>
      <c r="N211" s="297" t="s">
        <v>192</v>
      </c>
      <c r="O211" s="298" t="s">
        <v>118</v>
      </c>
      <c r="P211" s="314" t="s">
        <v>91</v>
      </c>
      <c r="Q211" s="307" t="s">
        <v>492</v>
      </c>
      <c r="R211" s="299" t="s">
        <v>149</v>
      </c>
      <c r="S211" s="300"/>
    </row>
    <row r="212" spans="1:19">
      <c r="A212" s="167">
        <v>690</v>
      </c>
      <c r="B212" s="428"/>
      <c r="F212" s="657">
        <v>170.54</v>
      </c>
      <c r="G212" s="156" t="s">
        <v>20</v>
      </c>
      <c r="H212" s="244"/>
      <c r="I212" s="449">
        <v>-1.4</v>
      </c>
      <c r="J212" s="462">
        <v>-1.5490806770324701</v>
      </c>
      <c r="K212" s="492">
        <f t="shared" si="4"/>
        <v>15.410265912913141</v>
      </c>
      <c r="L212" s="295" t="s">
        <v>689</v>
      </c>
      <c r="M212" s="296" t="s">
        <v>85</v>
      </c>
      <c r="N212" s="297" t="s">
        <v>192</v>
      </c>
      <c r="O212" s="298" t="s">
        <v>118</v>
      </c>
      <c r="P212" s="314" t="s">
        <v>91</v>
      </c>
      <c r="Q212" s="307" t="s">
        <v>492</v>
      </c>
      <c r="R212" s="299" t="s">
        <v>149</v>
      </c>
      <c r="S212" s="300"/>
    </row>
    <row r="213" spans="1:19">
      <c r="A213" s="167">
        <v>690</v>
      </c>
      <c r="B213" s="428"/>
      <c r="F213" s="657">
        <v>170.54</v>
      </c>
      <c r="G213" s="156" t="s">
        <v>20</v>
      </c>
      <c r="H213" s="244"/>
      <c r="I213" s="449">
        <v>-1.39</v>
      </c>
      <c r="J213" s="462">
        <v>-1.5490806770324701</v>
      </c>
      <c r="K213" s="492">
        <f t="shared" si="4"/>
        <v>15.364143258131799</v>
      </c>
      <c r="L213" s="295" t="s">
        <v>689</v>
      </c>
      <c r="M213" s="296" t="s">
        <v>85</v>
      </c>
      <c r="N213" s="297" t="s">
        <v>192</v>
      </c>
      <c r="O213" s="298" t="s">
        <v>118</v>
      </c>
      <c r="P213" s="314" t="s">
        <v>91</v>
      </c>
      <c r="Q213" s="307" t="s">
        <v>492</v>
      </c>
      <c r="R213" s="299" t="s">
        <v>149</v>
      </c>
      <c r="S213" s="300"/>
    </row>
    <row r="214" spans="1:19">
      <c r="A214" s="167">
        <v>690</v>
      </c>
      <c r="B214" s="428"/>
      <c r="F214" s="657">
        <v>170.54</v>
      </c>
      <c r="G214" s="156" t="s">
        <v>20</v>
      </c>
      <c r="H214" s="244"/>
      <c r="I214" s="449">
        <v>-1.71</v>
      </c>
      <c r="J214" s="462">
        <v>-1.5490806770324701</v>
      </c>
      <c r="K214" s="492">
        <f t="shared" si="4"/>
        <v>16.848996211134729</v>
      </c>
      <c r="L214" s="295" t="s">
        <v>689</v>
      </c>
      <c r="M214" s="296" t="s">
        <v>85</v>
      </c>
      <c r="N214" s="297" t="s">
        <v>192</v>
      </c>
      <c r="O214" s="298" t="s">
        <v>118</v>
      </c>
      <c r="P214" s="314" t="s">
        <v>91</v>
      </c>
      <c r="Q214" s="307" t="s">
        <v>492</v>
      </c>
      <c r="R214" s="299" t="s">
        <v>149</v>
      </c>
      <c r="S214" s="300"/>
    </row>
    <row r="215" spans="1:19">
      <c r="A215" s="167">
        <v>690</v>
      </c>
      <c r="B215" s="428"/>
      <c r="F215" s="391">
        <v>170.56</v>
      </c>
      <c r="H215" s="244"/>
      <c r="I215" s="449">
        <v>-1.34</v>
      </c>
      <c r="J215" s="462">
        <v>-1.5490806770324701</v>
      </c>
      <c r="K215" s="491">
        <f t="shared" si="4"/>
        <v>15.133799984225092</v>
      </c>
      <c r="L215" s="295" t="s">
        <v>689</v>
      </c>
      <c r="M215" s="296" t="s">
        <v>85</v>
      </c>
      <c r="N215" s="297" t="s">
        <v>192</v>
      </c>
      <c r="O215" s="298" t="s">
        <v>118</v>
      </c>
      <c r="P215" s="314" t="s">
        <v>91</v>
      </c>
      <c r="Q215" s="307" t="s">
        <v>492</v>
      </c>
      <c r="R215" s="299" t="s">
        <v>149</v>
      </c>
      <c r="S215" s="300"/>
    </row>
    <row r="216" spans="1:19">
      <c r="A216" s="167">
        <v>690</v>
      </c>
      <c r="B216" s="428"/>
      <c r="F216" s="391">
        <v>170.56</v>
      </c>
      <c r="H216" s="244"/>
      <c r="I216" s="449">
        <v>-1.35</v>
      </c>
      <c r="J216" s="462">
        <v>-1.5490806770324701</v>
      </c>
      <c r="K216" s="491">
        <f t="shared" si="4"/>
        <v>15.179832639006435</v>
      </c>
      <c r="L216" s="295" t="s">
        <v>689</v>
      </c>
      <c r="M216" s="296" t="s">
        <v>85</v>
      </c>
      <c r="N216" s="297" t="s">
        <v>192</v>
      </c>
      <c r="O216" s="298" t="s">
        <v>118</v>
      </c>
      <c r="P216" s="314" t="s">
        <v>91</v>
      </c>
      <c r="Q216" s="307" t="s">
        <v>492</v>
      </c>
      <c r="R216" s="299" t="s">
        <v>149</v>
      </c>
      <c r="S216" s="300"/>
    </row>
    <row r="217" spans="1:19">
      <c r="A217" s="167">
        <v>690</v>
      </c>
      <c r="B217" s="428"/>
      <c r="F217" s="391">
        <v>170.56</v>
      </c>
      <c r="H217" s="244"/>
      <c r="I217" s="449">
        <v>-1.92</v>
      </c>
      <c r="J217" s="462">
        <v>-1.5490806770324701</v>
      </c>
      <c r="K217" s="491">
        <f t="shared" si="4"/>
        <v>17.833447961542902</v>
      </c>
      <c r="L217" s="295" t="s">
        <v>689</v>
      </c>
      <c r="M217" s="296" t="s">
        <v>85</v>
      </c>
      <c r="N217" s="297" t="s">
        <v>192</v>
      </c>
      <c r="O217" s="298" t="s">
        <v>118</v>
      </c>
      <c r="P217" s="314" t="s">
        <v>91</v>
      </c>
      <c r="Q217" s="307" t="s">
        <v>492</v>
      </c>
      <c r="R217" s="299" t="s">
        <v>149</v>
      </c>
      <c r="S217" s="300"/>
    </row>
    <row r="218" spans="1:19">
      <c r="A218" s="167">
        <v>690</v>
      </c>
      <c r="B218" s="428"/>
      <c r="F218" s="391">
        <v>170.56</v>
      </c>
      <c r="H218" s="244"/>
      <c r="I218" s="449">
        <v>-1.47</v>
      </c>
      <c r="J218" s="462">
        <v>-1.5490806770324701</v>
      </c>
      <c r="K218" s="491">
        <f t="shared" si="4"/>
        <v>15.733628496382531</v>
      </c>
      <c r="L218" s="295" t="s">
        <v>689</v>
      </c>
      <c r="M218" s="296" t="s">
        <v>85</v>
      </c>
      <c r="N218" s="297" t="s">
        <v>192</v>
      </c>
      <c r="O218" s="298" t="s">
        <v>118</v>
      </c>
      <c r="P218" s="314" t="s">
        <v>91</v>
      </c>
      <c r="Q218" s="307" t="s">
        <v>492</v>
      </c>
      <c r="R218" s="299" t="s">
        <v>149</v>
      </c>
      <c r="S218" s="300"/>
    </row>
    <row r="219" spans="1:19">
      <c r="A219" s="167">
        <v>690</v>
      </c>
      <c r="B219" s="428"/>
      <c r="F219" s="391">
        <v>170.56</v>
      </c>
      <c r="H219" s="244"/>
      <c r="I219" s="449">
        <v>-1.34</v>
      </c>
      <c r="J219" s="462">
        <v>-1.5490806770324701</v>
      </c>
      <c r="K219" s="491">
        <f t="shared" si="4"/>
        <v>15.133799984225092</v>
      </c>
      <c r="L219" s="295" t="s">
        <v>689</v>
      </c>
      <c r="M219" s="296" t="s">
        <v>85</v>
      </c>
      <c r="N219" s="297" t="s">
        <v>192</v>
      </c>
      <c r="O219" s="298" t="s">
        <v>118</v>
      </c>
      <c r="P219" s="314" t="s">
        <v>91</v>
      </c>
      <c r="Q219" s="307" t="s">
        <v>492</v>
      </c>
      <c r="R219" s="299" t="s">
        <v>149</v>
      </c>
      <c r="S219" s="300"/>
    </row>
    <row r="220" spans="1:19">
      <c r="A220" s="167">
        <v>690</v>
      </c>
      <c r="B220" s="428"/>
      <c r="F220" s="391">
        <v>170.58</v>
      </c>
      <c r="H220" s="244"/>
      <c r="I220" s="449">
        <v>-1.48</v>
      </c>
      <c r="J220" s="462">
        <v>-1.5490806770324701</v>
      </c>
      <c r="K220" s="491">
        <f t="shared" si="4"/>
        <v>15.779895151163874</v>
      </c>
      <c r="L220" s="295" t="s">
        <v>689</v>
      </c>
      <c r="M220" s="296" t="s">
        <v>85</v>
      </c>
      <c r="N220" s="297" t="s">
        <v>192</v>
      </c>
      <c r="O220" s="298" t="s">
        <v>118</v>
      </c>
      <c r="P220" s="314" t="s">
        <v>91</v>
      </c>
      <c r="Q220" s="307" t="s">
        <v>492</v>
      </c>
      <c r="R220" s="299" t="s">
        <v>149</v>
      </c>
      <c r="S220" s="300"/>
    </row>
    <row r="221" spans="1:19">
      <c r="A221" s="167">
        <v>690</v>
      </c>
      <c r="B221" s="428"/>
      <c r="F221" s="391">
        <v>170.58</v>
      </c>
      <c r="H221" s="244"/>
      <c r="I221" s="449">
        <v>-1.45</v>
      </c>
      <c r="J221" s="462">
        <v>-1.5490806770324701</v>
      </c>
      <c r="K221" s="491">
        <f t="shared" si="4"/>
        <v>15.641149186819851</v>
      </c>
      <c r="L221" s="295" t="s">
        <v>689</v>
      </c>
      <c r="M221" s="296" t="s">
        <v>85</v>
      </c>
      <c r="N221" s="297" t="s">
        <v>192</v>
      </c>
      <c r="O221" s="298" t="s">
        <v>118</v>
      </c>
      <c r="P221" s="314" t="s">
        <v>91</v>
      </c>
      <c r="Q221" s="307" t="s">
        <v>492</v>
      </c>
      <c r="R221" s="299" t="s">
        <v>149</v>
      </c>
      <c r="S221" s="300"/>
    </row>
    <row r="222" spans="1:19">
      <c r="A222" s="167">
        <v>690</v>
      </c>
      <c r="B222" s="428"/>
      <c r="F222" s="391">
        <v>170.58</v>
      </c>
      <c r="H222" s="244"/>
      <c r="I222" s="449">
        <v>-1.1000000000000001</v>
      </c>
      <c r="J222" s="462">
        <v>-1.5490806770324701</v>
      </c>
      <c r="K222" s="491">
        <f t="shared" si="4"/>
        <v>14.034416269472896</v>
      </c>
      <c r="L222" s="295" t="s">
        <v>689</v>
      </c>
      <c r="M222" s="296" t="s">
        <v>85</v>
      </c>
      <c r="N222" s="297" t="s">
        <v>192</v>
      </c>
      <c r="O222" s="298" t="s">
        <v>118</v>
      </c>
      <c r="P222" s="314" t="s">
        <v>91</v>
      </c>
      <c r="Q222" s="307" t="s">
        <v>492</v>
      </c>
      <c r="R222" s="299" t="s">
        <v>149</v>
      </c>
      <c r="S222" s="300"/>
    </row>
    <row r="223" spans="1:19">
      <c r="A223" s="167">
        <v>690</v>
      </c>
      <c r="B223" s="428"/>
      <c r="F223" s="391">
        <v>170.6</v>
      </c>
      <c r="H223" s="244"/>
      <c r="I223" s="449">
        <v>-1.82</v>
      </c>
      <c r="J223" s="462">
        <v>-1.5490806770324701</v>
      </c>
      <c r="K223" s="491">
        <f t="shared" si="4"/>
        <v>17.363671413729488</v>
      </c>
      <c r="L223" s="295" t="s">
        <v>689</v>
      </c>
      <c r="M223" s="296" t="s">
        <v>85</v>
      </c>
      <c r="N223" s="297" t="s">
        <v>192</v>
      </c>
      <c r="O223" s="298" t="s">
        <v>118</v>
      </c>
      <c r="P223" s="314" t="s">
        <v>91</v>
      </c>
      <c r="Q223" s="307" t="s">
        <v>492</v>
      </c>
      <c r="R223" s="299" t="s">
        <v>149</v>
      </c>
      <c r="S223" s="300"/>
    </row>
    <row r="224" spans="1:19">
      <c r="A224" s="167">
        <v>690</v>
      </c>
      <c r="B224" s="428"/>
      <c r="F224" s="391">
        <v>170.6</v>
      </c>
      <c r="H224" s="244"/>
      <c r="I224" s="449">
        <v>-1.54</v>
      </c>
      <c r="J224" s="462">
        <v>-1.5490806770324701</v>
      </c>
      <c r="K224" s="491">
        <f t="shared" si="4"/>
        <v>16.057873079851923</v>
      </c>
      <c r="L224" s="295" t="s">
        <v>689</v>
      </c>
      <c r="M224" s="296" t="s">
        <v>85</v>
      </c>
      <c r="N224" s="297" t="s">
        <v>192</v>
      </c>
      <c r="O224" s="298" t="s">
        <v>118</v>
      </c>
      <c r="P224" s="314" t="s">
        <v>91</v>
      </c>
      <c r="Q224" s="307" t="s">
        <v>492</v>
      </c>
      <c r="R224" s="299" t="s">
        <v>149</v>
      </c>
      <c r="S224" s="300"/>
    </row>
    <row r="225" spans="1:19">
      <c r="A225" s="167">
        <v>690</v>
      </c>
      <c r="B225" s="428"/>
      <c r="F225" s="391">
        <v>170.6</v>
      </c>
      <c r="H225" s="244"/>
      <c r="I225" s="449">
        <v>-1.54</v>
      </c>
      <c r="J225" s="462">
        <v>-1.5490806770324701</v>
      </c>
      <c r="K225" s="491">
        <f t="shared" si="4"/>
        <v>16.057873079851923</v>
      </c>
      <c r="L225" s="295" t="s">
        <v>689</v>
      </c>
      <c r="M225" s="296" t="s">
        <v>85</v>
      </c>
      <c r="N225" s="297" t="s">
        <v>192</v>
      </c>
      <c r="O225" s="298" t="s">
        <v>118</v>
      </c>
      <c r="P225" s="314" t="s">
        <v>91</v>
      </c>
      <c r="Q225" s="307" t="s">
        <v>492</v>
      </c>
      <c r="R225" s="299" t="s">
        <v>149</v>
      </c>
      <c r="S225" s="300"/>
    </row>
    <row r="226" spans="1:19">
      <c r="A226" s="167">
        <v>690</v>
      </c>
      <c r="B226" s="428"/>
      <c r="F226" s="391">
        <v>170.6</v>
      </c>
      <c r="H226" s="244"/>
      <c r="I226" s="449">
        <v>-1.46</v>
      </c>
      <c r="J226" s="462">
        <v>-1.5490806770324701</v>
      </c>
      <c r="K226" s="491">
        <f t="shared" si="4"/>
        <v>15.68737984160119</v>
      </c>
      <c r="L226" s="295" t="s">
        <v>689</v>
      </c>
      <c r="M226" s="296" t="s">
        <v>85</v>
      </c>
      <c r="N226" s="297" t="s">
        <v>192</v>
      </c>
      <c r="O226" s="298" t="s">
        <v>118</v>
      </c>
      <c r="P226" s="314" t="s">
        <v>91</v>
      </c>
      <c r="Q226" s="307" t="s">
        <v>492</v>
      </c>
      <c r="R226" s="299" t="s">
        <v>149</v>
      </c>
      <c r="S226" s="300"/>
    </row>
    <row r="227" spans="1:19">
      <c r="A227" s="167">
        <v>690</v>
      </c>
      <c r="B227" s="428"/>
      <c r="F227" s="391">
        <v>170.6</v>
      </c>
      <c r="H227" s="244"/>
      <c r="I227" s="449">
        <v>-1.4</v>
      </c>
      <c r="J227" s="462">
        <v>-1.5490806770324701</v>
      </c>
      <c r="K227" s="491">
        <f t="shared" si="4"/>
        <v>15.410265912913141</v>
      </c>
      <c r="L227" s="295" t="s">
        <v>689</v>
      </c>
      <c r="M227" s="296" t="s">
        <v>85</v>
      </c>
      <c r="N227" s="297" t="s">
        <v>192</v>
      </c>
      <c r="O227" s="298" t="s">
        <v>118</v>
      </c>
      <c r="P227" s="314" t="s">
        <v>91</v>
      </c>
      <c r="Q227" s="307" t="s">
        <v>492</v>
      </c>
      <c r="R227" s="299" t="s">
        <v>149</v>
      </c>
      <c r="S227" s="300"/>
    </row>
    <row r="228" spans="1:19">
      <c r="A228" s="167">
        <v>690</v>
      </c>
      <c r="B228" s="428"/>
      <c r="F228" s="391">
        <v>170.61</v>
      </c>
      <c r="H228" s="244"/>
      <c r="I228" s="449">
        <v>-1.6</v>
      </c>
      <c r="J228" s="462">
        <v>-1.5490806770324701</v>
      </c>
      <c r="K228" s="491">
        <f t="shared" si="4"/>
        <v>16.336499008539974</v>
      </c>
      <c r="L228" s="295" t="s">
        <v>689</v>
      </c>
      <c r="M228" s="296" t="s">
        <v>85</v>
      </c>
      <c r="N228" s="297" t="s">
        <v>192</v>
      </c>
      <c r="O228" s="298" t="s">
        <v>118</v>
      </c>
      <c r="P228" s="314" t="s">
        <v>91</v>
      </c>
      <c r="Q228" s="307" t="s">
        <v>492</v>
      </c>
      <c r="R228" s="299" t="s">
        <v>149</v>
      </c>
      <c r="S228" s="300"/>
    </row>
    <row r="229" spans="1:19">
      <c r="A229" s="167">
        <v>690</v>
      </c>
      <c r="B229" s="428"/>
      <c r="F229" s="391">
        <v>170.61</v>
      </c>
      <c r="H229" s="244"/>
      <c r="I229" s="449">
        <v>-1.42</v>
      </c>
      <c r="J229" s="462">
        <v>-1.5490806770324701</v>
      </c>
      <c r="K229" s="491">
        <f t="shared" si="4"/>
        <v>15.502565222475825</v>
      </c>
      <c r="L229" s="295" t="s">
        <v>689</v>
      </c>
      <c r="M229" s="296" t="s">
        <v>85</v>
      </c>
      <c r="N229" s="297" t="s">
        <v>192</v>
      </c>
      <c r="O229" s="298" t="s">
        <v>118</v>
      </c>
      <c r="P229" s="314" t="s">
        <v>91</v>
      </c>
      <c r="Q229" s="307" t="s">
        <v>492</v>
      </c>
      <c r="R229" s="299" t="s">
        <v>149</v>
      </c>
      <c r="S229" s="300"/>
    </row>
    <row r="230" spans="1:19">
      <c r="A230" s="167">
        <v>690</v>
      </c>
      <c r="B230" s="428"/>
      <c r="F230" s="391">
        <v>170.61</v>
      </c>
      <c r="H230" s="244"/>
      <c r="I230" s="449">
        <v>-1.83</v>
      </c>
      <c r="J230" s="462">
        <v>-1.5490806770324701</v>
      </c>
      <c r="K230" s="491">
        <f t="shared" si="4"/>
        <v>17.41056806851083</v>
      </c>
      <c r="L230" s="295" t="s">
        <v>689</v>
      </c>
      <c r="M230" s="296" t="s">
        <v>85</v>
      </c>
      <c r="N230" s="297" t="s">
        <v>192</v>
      </c>
      <c r="O230" s="298" t="s">
        <v>118</v>
      </c>
      <c r="P230" s="314" t="s">
        <v>91</v>
      </c>
      <c r="Q230" s="307" t="s">
        <v>492</v>
      </c>
      <c r="R230" s="299" t="s">
        <v>149</v>
      </c>
      <c r="S230" s="300"/>
    </row>
    <row r="231" spans="1:19">
      <c r="A231" s="167">
        <v>690</v>
      </c>
      <c r="B231" s="428"/>
      <c r="F231" s="391">
        <v>170.61</v>
      </c>
      <c r="H231" s="244"/>
      <c r="I231" s="449">
        <v>-1.56</v>
      </c>
      <c r="J231" s="462">
        <v>-1.5490806770324701</v>
      </c>
      <c r="K231" s="491">
        <f t="shared" si="4"/>
        <v>16.150676389414606</v>
      </c>
      <c r="L231" s="295" t="s">
        <v>689</v>
      </c>
      <c r="M231" s="296" t="s">
        <v>85</v>
      </c>
      <c r="N231" s="297" t="s">
        <v>192</v>
      </c>
      <c r="O231" s="298" t="s">
        <v>118</v>
      </c>
      <c r="P231" s="314" t="s">
        <v>91</v>
      </c>
      <c r="Q231" s="307" t="s">
        <v>492</v>
      </c>
      <c r="R231" s="299" t="s">
        <v>149</v>
      </c>
      <c r="S231" s="300"/>
    </row>
    <row r="232" spans="1:19">
      <c r="A232" s="167">
        <v>690</v>
      </c>
      <c r="B232" s="428"/>
      <c r="F232" s="391">
        <v>170.61</v>
      </c>
      <c r="H232" s="244"/>
      <c r="I232" s="449">
        <v>-1.41</v>
      </c>
      <c r="J232" s="462">
        <v>-1.5490806770324701</v>
      </c>
      <c r="K232" s="491">
        <f t="shared" si="4"/>
        <v>15.456406567694483</v>
      </c>
      <c r="L232" s="295" t="s">
        <v>689</v>
      </c>
      <c r="M232" s="296" t="s">
        <v>85</v>
      </c>
      <c r="N232" s="297" t="s">
        <v>192</v>
      </c>
      <c r="O232" s="298" t="s">
        <v>118</v>
      </c>
      <c r="P232" s="314" t="s">
        <v>91</v>
      </c>
      <c r="Q232" s="307" t="s">
        <v>492</v>
      </c>
      <c r="R232" s="299" t="s">
        <v>149</v>
      </c>
      <c r="S232" s="300"/>
    </row>
    <row r="233" spans="1:19">
      <c r="A233" s="167">
        <v>690</v>
      </c>
      <c r="B233" s="428"/>
      <c r="F233" s="391">
        <v>170.62</v>
      </c>
      <c r="H233" s="244"/>
      <c r="I233" s="449">
        <v>-1.52</v>
      </c>
      <c r="J233" s="462">
        <v>-1.5490806770324701</v>
      </c>
      <c r="K233" s="491">
        <f t="shared" si="4"/>
        <v>15.965141770289241</v>
      </c>
      <c r="L233" s="295" t="s">
        <v>689</v>
      </c>
      <c r="M233" s="296" t="s">
        <v>85</v>
      </c>
      <c r="N233" s="297" t="s">
        <v>192</v>
      </c>
      <c r="O233" s="298" t="s">
        <v>118</v>
      </c>
      <c r="P233" s="314" t="s">
        <v>91</v>
      </c>
      <c r="Q233" s="307" t="s">
        <v>492</v>
      </c>
      <c r="R233" s="299" t="s">
        <v>149</v>
      </c>
      <c r="S233" s="300"/>
    </row>
    <row r="234" spans="1:19">
      <c r="A234" s="167">
        <v>690</v>
      </c>
      <c r="B234" s="428"/>
      <c r="F234" s="391">
        <v>170.62</v>
      </c>
      <c r="H234" s="244"/>
      <c r="I234" s="449">
        <v>-1.57</v>
      </c>
      <c r="J234" s="462">
        <v>-1.5490806770324701</v>
      </c>
      <c r="K234" s="491">
        <f t="shared" si="4"/>
        <v>16.197105044195947</v>
      </c>
      <c r="L234" s="295" t="s">
        <v>689</v>
      </c>
      <c r="M234" s="296" t="s">
        <v>85</v>
      </c>
      <c r="N234" s="297" t="s">
        <v>192</v>
      </c>
      <c r="O234" s="298" t="s">
        <v>118</v>
      </c>
      <c r="P234" s="314" t="s">
        <v>91</v>
      </c>
      <c r="Q234" s="307" t="s">
        <v>492</v>
      </c>
      <c r="R234" s="299" t="s">
        <v>149</v>
      </c>
      <c r="S234" s="300"/>
    </row>
    <row r="235" spans="1:19">
      <c r="A235" s="167">
        <v>690</v>
      </c>
      <c r="B235" s="428"/>
      <c r="F235" s="391">
        <v>170.62</v>
      </c>
      <c r="H235" s="244"/>
      <c r="I235" s="449">
        <v>-1.55</v>
      </c>
      <c r="J235" s="462">
        <v>-1.5490806770324701</v>
      </c>
      <c r="K235" s="491">
        <f t="shared" si="4"/>
        <v>16.104265734633262</v>
      </c>
      <c r="L235" s="295" t="s">
        <v>689</v>
      </c>
      <c r="M235" s="296" t="s">
        <v>85</v>
      </c>
      <c r="N235" s="297" t="s">
        <v>192</v>
      </c>
      <c r="O235" s="298" t="s">
        <v>118</v>
      </c>
      <c r="P235" s="314" t="s">
        <v>91</v>
      </c>
      <c r="Q235" s="307" t="s">
        <v>492</v>
      </c>
      <c r="R235" s="299" t="s">
        <v>149</v>
      </c>
      <c r="S235" s="300"/>
    </row>
    <row r="236" spans="1:19">
      <c r="A236" s="167">
        <v>690</v>
      </c>
      <c r="B236" s="428"/>
      <c r="F236" s="391">
        <v>170.63</v>
      </c>
      <c r="H236" s="244"/>
      <c r="I236" s="449">
        <v>-1.58</v>
      </c>
      <c r="J236" s="462">
        <v>-1.5490806770324701</v>
      </c>
      <c r="K236" s="491">
        <f t="shared" si="4"/>
        <v>16.243551698977292</v>
      </c>
      <c r="L236" s="295" t="s">
        <v>689</v>
      </c>
      <c r="M236" s="296" t="s">
        <v>85</v>
      </c>
      <c r="N236" s="297" t="s">
        <v>192</v>
      </c>
      <c r="O236" s="298" t="s">
        <v>118</v>
      </c>
      <c r="P236" s="314" t="s">
        <v>91</v>
      </c>
      <c r="Q236" s="307" t="s">
        <v>492</v>
      </c>
      <c r="R236" s="299" t="s">
        <v>149</v>
      </c>
      <c r="S236" s="300"/>
    </row>
    <row r="237" spans="1:19">
      <c r="A237" s="167">
        <v>690</v>
      </c>
      <c r="B237" s="428"/>
      <c r="F237" s="391">
        <v>170.63</v>
      </c>
      <c r="H237" s="244"/>
      <c r="I237" s="449">
        <v>-1.33</v>
      </c>
      <c r="J237" s="462">
        <v>-1.5490806770324701</v>
      </c>
      <c r="K237" s="491">
        <f t="shared" si="4"/>
        <v>15.087785329443751</v>
      </c>
      <c r="L237" s="295" t="s">
        <v>689</v>
      </c>
      <c r="M237" s="296" t="s">
        <v>85</v>
      </c>
      <c r="N237" s="297" t="s">
        <v>192</v>
      </c>
      <c r="O237" s="298" t="s">
        <v>118</v>
      </c>
      <c r="P237" s="314" t="s">
        <v>91</v>
      </c>
      <c r="Q237" s="307" t="s">
        <v>492</v>
      </c>
      <c r="R237" s="299" t="s">
        <v>149</v>
      </c>
      <c r="S237" s="300"/>
    </row>
    <row r="238" spans="1:19">
      <c r="A238" s="167">
        <v>690</v>
      </c>
      <c r="B238" s="428"/>
      <c r="F238" s="391">
        <v>170.63</v>
      </c>
      <c r="H238" s="244"/>
      <c r="I238" s="449">
        <v>-1.52</v>
      </c>
      <c r="J238" s="462">
        <v>-1.5490806770324701</v>
      </c>
      <c r="K238" s="491">
        <f t="shared" si="4"/>
        <v>15.965141770289241</v>
      </c>
      <c r="L238" s="295" t="s">
        <v>689</v>
      </c>
      <c r="M238" s="296" t="s">
        <v>85</v>
      </c>
      <c r="N238" s="297" t="s">
        <v>192</v>
      </c>
      <c r="O238" s="298" t="s">
        <v>118</v>
      </c>
      <c r="P238" s="314" t="s">
        <v>91</v>
      </c>
      <c r="Q238" s="307" t="s">
        <v>492</v>
      </c>
      <c r="R238" s="299" t="s">
        <v>149</v>
      </c>
      <c r="S238" s="300"/>
    </row>
    <row r="239" spans="1:19">
      <c r="A239" s="167">
        <v>690</v>
      </c>
      <c r="B239" s="428"/>
      <c r="F239" s="391">
        <v>170.63</v>
      </c>
      <c r="H239" s="244"/>
      <c r="I239" s="449">
        <v>-1.64</v>
      </c>
      <c r="J239" s="462">
        <v>-1.5490806770324701</v>
      </c>
      <c r="K239" s="491">
        <f t="shared" si="4"/>
        <v>16.522609627665339</v>
      </c>
      <c r="L239" s="295" t="s">
        <v>689</v>
      </c>
      <c r="M239" s="296" t="s">
        <v>85</v>
      </c>
      <c r="N239" s="297" t="s">
        <v>192</v>
      </c>
      <c r="O239" s="298" t="s">
        <v>118</v>
      </c>
      <c r="P239" s="314" t="s">
        <v>91</v>
      </c>
      <c r="Q239" s="307" t="s">
        <v>492</v>
      </c>
      <c r="R239" s="299" t="s">
        <v>149</v>
      </c>
      <c r="S239" s="300"/>
    </row>
    <row r="240" spans="1:19">
      <c r="A240" s="167">
        <v>690</v>
      </c>
      <c r="B240" s="428"/>
      <c r="F240" s="391">
        <v>170.64</v>
      </c>
      <c r="H240" s="244"/>
      <c r="I240" s="449">
        <v>-1.3</v>
      </c>
      <c r="J240" s="462">
        <v>-1.5490806770324701</v>
      </c>
      <c r="K240" s="491">
        <f t="shared" si="4"/>
        <v>14.949849365099727</v>
      </c>
      <c r="L240" s="295" t="s">
        <v>689</v>
      </c>
      <c r="M240" s="296" t="s">
        <v>85</v>
      </c>
      <c r="N240" s="297" t="s">
        <v>192</v>
      </c>
      <c r="O240" s="298" t="s">
        <v>118</v>
      </c>
      <c r="P240" s="314" t="s">
        <v>91</v>
      </c>
      <c r="Q240" s="307" t="s">
        <v>492</v>
      </c>
      <c r="R240" s="299" t="s">
        <v>149</v>
      </c>
      <c r="S240" s="300"/>
    </row>
    <row r="241" spans="1:19">
      <c r="A241" s="167">
        <v>690</v>
      </c>
      <c r="B241" s="428"/>
      <c r="F241" s="391">
        <v>170.64</v>
      </c>
      <c r="H241" s="244"/>
      <c r="I241" s="449">
        <v>-1.44</v>
      </c>
      <c r="J241" s="462">
        <v>-1.5490806770324701</v>
      </c>
      <c r="K241" s="491">
        <f t="shared" si="4"/>
        <v>15.594936532038508</v>
      </c>
      <c r="L241" s="295" t="s">
        <v>689</v>
      </c>
      <c r="M241" s="296" t="s">
        <v>85</v>
      </c>
      <c r="N241" s="297" t="s">
        <v>192</v>
      </c>
      <c r="O241" s="298" t="s">
        <v>118</v>
      </c>
      <c r="P241" s="314" t="s">
        <v>91</v>
      </c>
      <c r="Q241" s="307" t="s">
        <v>492</v>
      </c>
      <c r="R241" s="299" t="s">
        <v>149</v>
      </c>
      <c r="S241" s="300"/>
    </row>
    <row r="242" spans="1:19">
      <c r="A242" s="167">
        <v>690</v>
      </c>
      <c r="B242" s="428"/>
      <c r="F242" s="391">
        <v>170.64</v>
      </c>
      <c r="H242" s="244"/>
      <c r="I242" s="449">
        <v>-1.55</v>
      </c>
      <c r="J242" s="462">
        <v>-1.5490806770324701</v>
      </c>
      <c r="K242" s="491">
        <f t="shared" si="4"/>
        <v>16.104265734633262</v>
      </c>
      <c r="L242" s="295" t="s">
        <v>689</v>
      </c>
      <c r="M242" s="296" t="s">
        <v>85</v>
      </c>
      <c r="N242" s="297" t="s">
        <v>192</v>
      </c>
      <c r="O242" s="298" t="s">
        <v>118</v>
      </c>
      <c r="P242" s="314" t="s">
        <v>91</v>
      </c>
      <c r="Q242" s="307" t="s">
        <v>492</v>
      </c>
      <c r="R242" s="299" t="s">
        <v>149</v>
      </c>
      <c r="S242" s="300"/>
    </row>
    <row r="243" spans="1:19">
      <c r="A243" s="167">
        <v>690</v>
      </c>
      <c r="B243" s="428"/>
      <c r="F243" s="391">
        <v>170.64</v>
      </c>
      <c r="H243" s="244"/>
      <c r="I243" s="449">
        <v>-1.51</v>
      </c>
      <c r="J243" s="462">
        <v>-1.5490806770324701</v>
      </c>
      <c r="K243" s="491">
        <f t="shared" si="4"/>
        <v>15.918803115507899</v>
      </c>
      <c r="L243" s="295" t="s">
        <v>689</v>
      </c>
      <c r="M243" s="296" t="s">
        <v>85</v>
      </c>
      <c r="N243" s="297" t="s">
        <v>192</v>
      </c>
      <c r="O243" s="298" t="s">
        <v>118</v>
      </c>
      <c r="P243" s="314" t="s">
        <v>91</v>
      </c>
      <c r="Q243" s="307" t="s">
        <v>492</v>
      </c>
      <c r="R243" s="299" t="s">
        <v>149</v>
      </c>
      <c r="S243" s="300"/>
    </row>
    <row r="244" spans="1:19">
      <c r="A244" s="167">
        <v>690</v>
      </c>
      <c r="B244" s="428"/>
      <c r="F244" s="391">
        <v>170.64</v>
      </c>
      <c r="H244" s="244"/>
      <c r="I244" s="449">
        <v>-1.5</v>
      </c>
      <c r="J244" s="462">
        <v>-1.5490806770324701</v>
      </c>
      <c r="K244" s="491">
        <f t="shared" si="4"/>
        <v>15.872482460726557</v>
      </c>
      <c r="L244" s="295" t="s">
        <v>689</v>
      </c>
      <c r="M244" s="296" t="s">
        <v>85</v>
      </c>
      <c r="N244" s="297" t="s">
        <v>192</v>
      </c>
      <c r="O244" s="298" t="s">
        <v>118</v>
      </c>
      <c r="P244" s="314" t="s">
        <v>91</v>
      </c>
      <c r="Q244" s="307" t="s">
        <v>492</v>
      </c>
      <c r="R244" s="299" t="s">
        <v>149</v>
      </c>
      <c r="S244" s="300"/>
    </row>
    <row r="245" spans="1:19">
      <c r="A245" s="167">
        <v>690</v>
      </c>
      <c r="B245" s="428"/>
      <c r="F245" s="391">
        <v>170.65</v>
      </c>
      <c r="H245" s="244"/>
      <c r="I245" s="449">
        <v>-1.87</v>
      </c>
      <c r="J245" s="462">
        <v>-1.5490806770324701</v>
      </c>
      <c r="K245" s="491">
        <f t="shared" si="4"/>
        <v>17.598334687636193</v>
      </c>
      <c r="L245" s="295" t="s">
        <v>689</v>
      </c>
      <c r="M245" s="296" t="s">
        <v>85</v>
      </c>
      <c r="N245" s="297" t="s">
        <v>192</v>
      </c>
      <c r="O245" s="298" t="s">
        <v>118</v>
      </c>
      <c r="P245" s="314" t="s">
        <v>91</v>
      </c>
      <c r="Q245" s="307" t="s">
        <v>492</v>
      </c>
      <c r="R245" s="299" t="s">
        <v>149</v>
      </c>
      <c r="S245" s="300"/>
    </row>
    <row r="246" spans="1:19">
      <c r="A246" s="167">
        <v>690</v>
      </c>
      <c r="B246" s="428"/>
      <c r="F246" s="391">
        <v>170.65</v>
      </c>
      <c r="H246" s="244"/>
      <c r="I246" s="449">
        <v>-1.45</v>
      </c>
      <c r="J246" s="462">
        <v>-1.5490806770324701</v>
      </c>
      <c r="K246" s="491">
        <f t="shared" si="4"/>
        <v>15.641149186819851</v>
      </c>
      <c r="L246" s="295" t="s">
        <v>689</v>
      </c>
      <c r="M246" s="296" t="s">
        <v>85</v>
      </c>
      <c r="N246" s="297" t="s">
        <v>192</v>
      </c>
      <c r="O246" s="298" t="s">
        <v>118</v>
      </c>
      <c r="P246" s="314" t="s">
        <v>91</v>
      </c>
      <c r="Q246" s="307" t="s">
        <v>492</v>
      </c>
      <c r="R246" s="299" t="s">
        <v>149</v>
      </c>
      <c r="S246" s="300"/>
    </row>
    <row r="247" spans="1:19">
      <c r="A247" s="167">
        <v>690</v>
      </c>
      <c r="B247" s="428"/>
      <c r="F247" s="391">
        <v>170.65</v>
      </c>
      <c r="H247" s="244"/>
      <c r="I247" s="449">
        <v>-1.51</v>
      </c>
      <c r="J247" s="462">
        <v>-1.5490806770324701</v>
      </c>
      <c r="K247" s="491">
        <f t="shared" si="4"/>
        <v>15.918803115507899</v>
      </c>
      <c r="L247" s="295" t="s">
        <v>689</v>
      </c>
      <c r="M247" s="296" t="s">
        <v>85</v>
      </c>
      <c r="N247" s="297" t="s">
        <v>192</v>
      </c>
      <c r="O247" s="298" t="s">
        <v>118</v>
      </c>
      <c r="P247" s="314" t="s">
        <v>91</v>
      </c>
      <c r="Q247" s="307" t="s">
        <v>492</v>
      </c>
      <c r="R247" s="299" t="s">
        <v>149</v>
      </c>
      <c r="S247" s="300"/>
    </row>
    <row r="248" spans="1:19">
      <c r="A248" s="167">
        <v>690</v>
      </c>
      <c r="B248" s="428"/>
      <c r="F248" s="391">
        <v>170.65</v>
      </c>
      <c r="H248" s="244"/>
      <c r="I248" s="449">
        <v>-1.44</v>
      </c>
      <c r="J248" s="462">
        <v>-1.5490806770324701</v>
      </c>
      <c r="K248" s="491">
        <f t="shared" si="4"/>
        <v>15.594936532038508</v>
      </c>
      <c r="L248" s="295" t="s">
        <v>689</v>
      </c>
      <c r="M248" s="296" t="s">
        <v>85</v>
      </c>
      <c r="N248" s="297" t="s">
        <v>192</v>
      </c>
      <c r="O248" s="298" t="s">
        <v>118</v>
      </c>
      <c r="P248" s="314" t="s">
        <v>91</v>
      </c>
      <c r="Q248" s="307" t="s">
        <v>492</v>
      </c>
      <c r="R248" s="299" t="s">
        <v>149</v>
      </c>
      <c r="S248" s="300"/>
    </row>
    <row r="249" spans="1:19">
      <c r="A249" s="167">
        <v>690</v>
      </c>
      <c r="B249" s="428"/>
      <c r="F249" s="391">
        <v>170.65</v>
      </c>
      <c r="H249" s="244"/>
      <c r="I249" s="449">
        <v>-1.58</v>
      </c>
      <c r="J249" s="462">
        <v>-1.5490806770324701</v>
      </c>
      <c r="K249" s="491">
        <f t="shared" si="4"/>
        <v>16.243551698977292</v>
      </c>
      <c r="L249" s="295" t="s">
        <v>689</v>
      </c>
      <c r="M249" s="296" t="s">
        <v>85</v>
      </c>
      <c r="N249" s="297" t="s">
        <v>192</v>
      </c>
      <c r="O249" s="298" t="s">
        <v>118</v>
      </c>
      <c r="P249" s="314" t="s">
        <v>91</v>
      </c>
      <c r="Q249" s="307" t="s">
        <v>492</v>
      </c>
      <c r="R249" s="299" t="s">
        <v>149</v>
      </c>
      <c r="S249" s="300"/>
    </row>
    <row r="250" spans="1:19">
      <c r="A250" s="167">
        <v>690</v>
      </c>
      <c r="B250" s="428"/>
      <c r="F250" s="391">
        <v>170.65</v>
      </c>
      <c r="H250" s="244"/>
      <c r="I250" s="449">
        <v>-1.78</v>
      </c>
      <c r="J250" s="462">
        <v>-1.5490806770324701</v>
      </c>
      <c r="K250" s="491">
        <f t="shared" si="4"/>
        <v>17.176264794604119</v>
      </c>
      <c r="L250" s="295" t="s">
        <v>689</v>
      </c>
      <c r="M250" s="296" t="s">
        <v>85</v>
      </c>
      <c r="N250" s="297" t="s">
        <v>192</v>
      </c>
      <c r="O250" s="298" t="s">
        <v>118</v>
      </c>
      <c r="P250" s="314" t="s">
        <v>91</v>
      </c>
      <c r="Q250" s="307" t="s">
        <v>492</v>
      </c>
      <c r="R250" s="299" t="s">
        <v>149</v>
      </c>
      <c r="S250" s="300"/>
    </row>
    <row r="251" spans="1:19">
      <c r="A251" s="167">
        <v>690</v>
      </c>
      <c r="B251" s="428"/>
      <c r="F251" s="391">
        <v>170.65</v>
      </c>
      <c r="H251" s="244"/>
      <c r="I251" s="449">
        <v>-1.5</v>
      </c>
      <c r="J251" s="462">
        <v>-1.5490806770324701</v>
      </c>
      <c r="K251" s="491">
        <f t="shared" si="4"/>
        <v>15.872482460726557</v>
      </c>
      <c r="L251" s="295" t="s">
        <v>689</v>
      </c>
      <c r="M251" s="296" t="s">
        <v>85</v>
      </c>
      <c r="N251" s="297" t="s">
        <v>192</v>
      </c>
      <c r="O251" s="298" t="s">
        <v>118</v>
      </c>
      <c r="P251" s="314" t="s">
        <v>91</v>
      </c>
      <c r="Q251" s="307" t="s">
        <v>492</v>
      </c>
      <c r="R251" s="299" t="s">
        <v>149</v>
      </c>
      <c r="S251" s="300"/>
    </row>
    <row r="252" spans="1:19">
      <c r="A252" s="167">
        <v>690</v>
      </c>
      <c r="B252" s="428"/>
      <c r="F252" s="391">
        <v>170.65</v>
      </c>
      <c r="H252" s="244"/>
      <c r="I252" s="449">
        <v>-1.58</v>
      </c>
      <c r="J252" s="462">
        <v>-1.5490806770324701</v>
      </c>
      <c r="K252" s="491">
        <f t="shared" si="4"/>
        <v>16.243551698977292</v>
      </c>
      <c r="L252" s="295" t="s">
        <v>689</v>
      </c>
      <c r="M252" s="296" t="s">
        <v>85</v>
      </c>
      <c r="N252" s="297" t="s">
        <v>192</v>
      </c>
      <c r="O252" s="298" t="s">
        <v>118</v>
      </c>
      <c r="P252" s="314" t="s">
        <v>91</v>
      </c>
      <c r="Q252" s="307" t="s">
        <v>492</v>
      </c>
      <c r="R252" s="299" t="s">
        <v>149</v>
      </c>
      <c r="S252" s="300"/>
    </row>
    <row r="253" spans="1:19">
      <c r="A253" s="167">
        <v>690</v>
      </c>
      <c r="B253" s="428"/>
      <c r="F253" s="391">
        <v>170.65</v>
      </c>
      <c r="H253" s="244"/>
      <c r="I253" s="449">
        <v>-1.54</v>
      </c>
      <c r="J253" s="462">
        <v>-1.5490806770324701</v>
      </c>
      <c r="K253" s="491">
        <f t="shared" si="4"/>
        <v>16.057873079851923</v>
      </c>
      <c r="L253" s="295" t="s">
        <v>689</v>
      </c>
      <c r="M253" s="296" t="s">
        <v>85</v>
      </c>
      <c r="N253" s="297" t="s">
        <v>192</v>
      </c>
      <c r="O253" s="298" t="s">
        <v>118</v>
      </c>
      <c r="P253" s="314" t="s">
        <v>91</v>
      </c>
      <c r="Q253" s="307" t="s">
        <v>492</v>
      </c>
      <c r="R253" s="299" t="s">
        <v>149</v>
      </c>
      <c r="S253" s="300"/>
    </row>
    <row r="254" spans="1:19">
      <c r="A254" s="167">
        <v>690</v>
      </c>
      <c r="B254" s="428"/>
      <c r="F254" s="391">
        <v>170.66</v>
      </c>
      <c r="H254" s="244"/>
      <c r="I254" s="449">
        <v>-1.49</v>
      </c>
      <c r="J254" s="462">
        <v>-1.5490806770324701</v>
      </c>
      <c r="K254" s="491">
        <f t="shared" si="4"/>
        <v>15.826179805945214</v>
      </c>
      <c r="L254" s="295" t="s">
        <v>689</v>
      </c>
      <c r="M254" s="296" t="s">
        <v>85</v>
      </c>
      <c r="N254" s="297" t="s">
        <v>192</v>
      </c>
      <c r="O254" s="298" t="s">
        <v>118</v>
      </c>
      <c r="P254" s="314" t="s">
        <v>91</v>
      </c>
      <c r="Q254" s="307" t="s">
        <v>492</v>
      </c>
      <c r="R254" s="299" t="s">
        <v>149</v>
      </c>
      <c r="S254" s="300"/>
    </row>
    <row r="255" spans="1:19">
      <c r="A255" s="167">
        <v>690</v>
      </c>
      <c r="B255" s="428"/>
      <c r="F255" s="391">
        <v>170.66</v>
      </c>
      <c r="H255" s="244"/>
      <c r="I255" s="449">
        <v>-1.64</v>
      </c>
      <c r="J255" s="462">
        <v>-1.5490806770324701</v>
      </c>
      <c r="K255" s="491">
        <f t="shared" si="4"/>
        <v>16.522609627665339</v>
      </c>
      <c r="L255" s="295" t="s">
        <v>689</v>
      </c>
      <c r="M255" s="296" t="s">
        <v>85</v>
      </c>
      <c r="N255" s="297" t="s">
        <v>192</v>
      </c>
      <c r="O255" s="298" t="s">
        <v>118</v>
      </c>
      <c r="P255" s="314" t="s">
        <v>91</v>
      </c>
      <c r="Q255" s="307" t="s">
        <v>492</v>
      </c>
      <c r="R255" s="299" t="s">
        <v>149</v>
      </c>
      <c r="S255" s="300"/>
    </row>
    <row r="256" spans="1:19">
      <c r="A256" s="167">
        <v>690</v>
      </c>
      <c r="B256" s="428"/>
      <c r="F256" s="391">
        <v>170.66</v>
      </c>
      <c r="H256" s="244"/>
      <c r="I256" s="449">
        <v>-1.59</v>
      </c>
      <c r="J256" s="462">
        <v>-1.5490806770324701</v>
      </c>
      <c r="K256" s="491">
        <f t="shared" si="4"/>
        <v>16.290016353758631</v>
      </c>
      <c r="L256" s="295" t="s">
        <v>689</v>
      </c>
      <c r="M256" s="296" t="s">
        <v>85</v>
      </c>
      <c r="N256" s="297" t="s">
        <v>192</v>
      </c>
      <c r="O256" s="298" t="s">
        <v>118</v>
      </c>
      <c r="P256" s="314" t="s">
        <v>91</v>
      </c>
      <c r="Q256" s="307" t="s">
        <v>492</v>
      </c>
      <c r="R256" s="299" t="s">
        <v>149</v>
      </c>
      <c r="S256" s="300"/>
    </row>
    <row r="257" spans="1:19">
      <c r="A257" s="167">
        <v>690</v>
      </c>
      <c r="B257" s="428"/>
      <c r="F257" s="391">
        <v>170.66</v>
      </c>
      <c r="H257" s="244"/>
      <c r="I257" s="449">
        <v>-1.55</v>
      </c>
      <c r="J257" s="462">
        <v>-1.5490806770324701</v>
      </c>
      <c r="K257" s="491">
        <f t="shared" si="4"/>
        <v>16.104265734633262</v>
      </c>
      <c r="L257" s="295" t="s">
        <v>689</v>
      </c>
      <c r="M257" s="296" t="s">
        <v>85</v>
      </c>
      <c r="N257" s="297" t="s">
        <v>192</v>
      </c>
      <c r="O257" s="298" t="s">
        <v>118</v>
      </c>
      <c r="P257" s="314" t="s">
        <v>91</v>
      </c>
      <c r="Q257" s="307" t="s">
        <v>492</v>
      </c>
      <c r="R257" s="299" t="s">
        <v>149</v>
      </c>
      <c r="S257" s="300"/>
    </row>
    <row r="258" spans="1:19">
      <c r="A258" s="167">
        <v>690</v>
      </c>
      <c r="B258" s="428"/>
      <c r="F258" s="391">
        <v>170.66</v>
      </c>
      <c r="H258" s="244"/>
      <c r="I258" s="449">
        <v>-1.3</v>
      </c>
      <c r="J258" s="462">
        <v>-1.5490806770324701</v>
      </c>
      <c r="K258" s="491">
        <f t="shared" si="4"/>
        <v>14.949849365099727</v>
      </c>
      <c r="L258" s="295" t="s">
        <v>689</v>
      </c>
      <c r="M258" s="296" t="s">
        <v>85</v>
      </c>
      <c r="N258" s="297" t="s">
        <v>192</v>
      </c>
      <c r="O258" s="298" t="s">
        <v>118</v>
      </c>
      <c r="P258" s="314" t="s">
        <v>91</v>
      </c>
      <c r="Q258" s="307" t="s">
        <v>492</v>
      </c>
      <c r="R258" s="299" t="s">
        <v>149</v>
      </c>
      <c r="S258" s="300"/>
    </row>
    <row r="259" spans="1:19">
      <c r="A259" s="167">
        <v>690</v>
      </c>
      <c r="B259" s="428"/>
      <c r="F259" s="391">
        <v>170.66</v>
      </c>
      <c r="H259" s="244"/>
      <c r="I259" s="449">
        <v>-1.51</v>
      </c>
      <c r="J259" s="462">
        <v>-1.5490806770324701</v>
      </c>
      <c r="K259" s="491">
        <f t="shared" si="4"/>
        <v>15.918803115507899</v>
      </c>
      <c r="L259" s="295" t="s">
        <v>689</v>
      </c>
      <c r="M259" s="296" t="s">
        <v>85</v>
      </c>
      <c r="N259" s="297" t="s">
        <v>192</v>
      </c>
      <c r="O259" s="298" t="s">
        <v>118</v>
      </c>
      <c r="P259" s="314" t="s">
        <v>91</v>
      </c>
      <c r="Q259" s="307" t="s">
        <v>492</v>
      </c>
      <c r="R259" s="299" t="s">
        <v>149</v>
      </c>
      <c r="S259" s="300"/>
    </row>
    <row r="260" spans="1:19">
      <c r="A260" s="167">
        <v>690</v>
      </c>
      <c r="B260" s="428"/>
      <c r="F260" s="391">
        <v>170.66</v>
      </c>
      <c r="H260" s="244"/>
      <c r="I260" s="449">
        <v>-1.45</v>
      </c>
      <c r="J260" s="462">
        <v>-1.5490806770324701</v>
      </c>
      <c r="K260" s="491">
        <f t="shared" si="4"/>
        <v>15.641149186819851</v>
      </c>
      <c r="L260" s="295" t="s">
        <v>689</v>
      </c>
      <c r="M260" s="296" t="s">
        <v>85</v>
      </c>
      <c r="N260" s="297" t="s">
        <v>192</v>
      </c>
      <c r="O260" s="298" t="s">
        <v>118</v>
      </c>
      <c r="P260" s="314" t="s">
        <v>91</v>
      </c>
      <c r="Q260" s="307" t="s">
        <v>492</v>
      </c>
      <c r="R260" s="299" t="s">
        <v>149</v>
      </c>
      <c r="S260" s="300"/>
    </row>
    <row r="261" spans="1:19">
      <c r="A261" s="167">
        <v>690</v>
      </c>
      <c r="B261" s="428"/>
      <c r="F261" s="391">
        <v>170.66</v>
      </c>
      <c r="H261" s="244"/>
      <c r="I261" s="449">
        <v>-1.53</v>
      </c>
      <c r="J261" s="462">
        <v>-1.5490806770324701</v>
      </c>
      <c r="K261" s="491">
        <f t="shared" si="4"/>
        <v>16.011498425070581</v>
      </c>
      <c r="L261" s="295" t="s">
        <v>689</v>
      </c>
      <c r="M261" s="296" t="s">
        <v>85</v>
      </c>
      <c r="N261" s="297" t="s">
        <v>192</v>
      </c>
      <c r="O261" s="298" t="s">
        <v>118</v>
      </c>
      <c r="P261" s="314" t="s">
        <v>91</v>
      </c>
      <c r="Q261" s="307" t="s">
        <v>492</v>
      </c>
      <c r="R261" s="299" t="s">
        <v>149</v>
      </c>
      <c r="S261" s="300"/>
    </row>
    <row r="262" spans="1:19">
      <c r="A262" s="167">
        <v>690</v>
      </c>
      <c r="B262" s="428"/>
      <c r="F262" s="391">
        <v>170.66</v>
      </c>
      <c r="H262" s="244"/>
      <c r="I262" s="449">
        <v>-1.6</v>
      </c>
      <c r="J262" s="462">
        <v>-1.5490806770324701</v>
      </c>
      <c r="K262" s="491">
        <f t="shared" si="4"/>
        <v>16.336499008539974</v>
      </c>
      <c r="L262" s="295" t="s">
        <v>689</v>
      </c>
      <c r="M262" s="296" t="s">
        <v>85</v>
      </c>
      <c r="N262" s="297" t="s">
        <v>192</v>
      </c>
      <c r="O262" s="298" t="s">
        <v>118</v>
      </c>
      <c r="P262" s="314" t="s">
        <v>91</v>
      </c>
      <c r="Q262" s="307" t="s">
        <v>492</v>
      </c>
      <c r="R262" s="299" t="s">
        <v>149</v>
      </c>
      <c r="S262" s="300"/>
    </row>
    <row r="263" spans="1:19">
      <c r="A263" s="167">
        <v>690</v>
      </c>
      <c r="B263" s="428"/>
      <c r="F263" s="391">
        <v>170.66</v>
      </c>
      <c r="H263" s="244"/>
      <c r="I263" s="449">
        <v>-1.78</v>
      </c>
      <c r="J263" s="462">
        <v>-1.5490806770324701</v>
      </c>
      <c r="K263" s="491">
        <f t="shared" si="4"/>
        <v>17.176264794604119</v>
      </c>
      <c r="L263" s="295" t="s">
        <v>689</v>
      </c>
      <c r="M263" s="296" t="s">
        <v>85</v>
      </c>
      <c r="N263" s="297" t="s">
        <v>192</v>
      </c>
      <c r="O263" s="298" t="s">
        <v>118</v>
      </c>
      <c r="P263" s="314" t="s">
        <v>91</v>
      </c>
      <c r="Q263" s="307" t="s">
        <v>492</v>
      </c>
      <c r="R263" s="299" t="s">
        <v>149</v>
      </c>
      <c r="S263" s="300"/>
    </row>
    <row r="264" spans="1:19">
      <c r="A264" s="167">
        <v>690</v>
      </c>
      <c r="B264" s="428"/>
      <c r="F264" s="391">
        <v>170.67</v>
      </c>
      <c r="H264" s="244"/>
      <c r="I264" s="449">
        <v>-1.42</v>
      </c>
      <c r="J264" s="462">
        <v>-1.5490806770324701</v>
      </c>
      <c r="K264" s="491">
        <f t="shared" si="4"/>
        <v>15.502565222475825</v>
      </c>
      <c r="L264" s="295" t="s">
        <v>689</v>
      </c>
      <c r="M264" s="296" t="s">
        <v>85</v>
      </c>
      <c r="N264" s="297" t="s">
        <v>192</v>
      </c>
      <c r="O264" s="298" t="s">
        <v>118</v>
      </c>
      <c r="P264" s="314" t="s">
        <v>91</v>
      </c>
      <c r="Q264" s="307" t="s">
        <v>492</v>
      </c>
      <c r="R264" s="299" t="s">
        <v>149</v>
      </c>
      <c r="S264" s="300"/>
    </row>
    <row r="265" spans="1:19">
      <c r="A265" s="167">
        <v>690</v>
      </c>
      <c r="B265" s="428"/>
      <c r="F265" s="391">
        <v>170.67</v>
      </c>
      <c r="H265" s="244"/>
      <c r="I265" s="449">
        <v>-1.49</v>
      </c>
      <c r="J265" s="462">
        <v>-1.5490806770324701</v>
      </c>
      <c r="K265" s="491">
        <f t="shared" si="4"/>
        <v>15.826179805945214</v>
      </c>
      <c r="L265" s="295" t="s">
        <v>689</v>
      </c>
      <c r="M265" s="296" t="s">
        <v>85</v>
      </c>
      <c r="N265" s="297" t="s">
        <v>192</v>
      </c>
      <c r="O265" s="298" t="s">
        <v>118</v>
      </c>
      <c r="P265" s="314" t="s">
        <v>91</v>
      </c>
      <c r="Q265" s="307" t="s">
        <v>492</v>
      </c>
      <c r="R265" s="299" t="s">
        <v>149</v>
      </c>
      <c r="S265" s="300"/>
    </row>
    <row r="266" spans="1:19">
      <c r="A266" s="167">
        <v>690</v>
      </c>
      <c r="B266" s="428"/>
      <c r="F266" s="391">
        <v>170.67</v>
      </c>
      <c r="H266" s="244"/>
      <c r="I266" s="449">
        <v>-1.44</v>
      </c>
      <c r="J266" s="462">
        <v>-1.5490806770324701</v>
      </c>
      <c r="K266" s="491">
        <f t="shared" si="4"/>
        <v>15.594936532038508</v>
      </c>
      <c r="L266" s="295" t="s">
        <v>689</v>
      </c>
      <c r="M266" s="296" t="s">
        <v>85</v>
      </c>
      <c r="N266" s="297" t="s">
        <v>192</v>
      </c>
      <c r="O266" s="298" t="s">
        <v>118</v>
      </c>
      <c r="P266" s="314" t="s">
        <v>91</v>
      </c>
      <c r="Q266" s="307" t="s">
        <v>492</v>
      </c>
      <c r="R266" s="299" t="s">
        <v>149</v>
      </c>
      <c r="S266" s="300"/>
    </row>
    <row r="267" spans="1:19">
      <c r="A267" s="167">
        <v>690</v>
      </c>
      <c r="B267" s="428"/>
      <c r="F267" s="391">
        <v>170.67</v>
      </c>
      <c r="H267" s="244"/>
      <c r="I267" s="449">
        <v>-1.66</v>
      </c>
      <c r="J267" s="462">
        <v>-1.5490806770324701</v>
      </c>
      <c r="K267" s="491">
        <f t="shared" ref="K267:K330" si="5">16.1-4.64*($I267-J267)+0.09*($I267-J267)^2</f>
        <v>16.615772937228023</v>
      </c>
      <c r="L267" s="295" t="s">
        <v>689</v>
      </c>
      <c r="M267" s="296" t="s">
        <v>85</v>
      </c>
      <c r="N267" s="297" t="s">
        <v>192</v>
      </c>
      <c r="O267" s="298" t="s">
        <v>118</v>
      </c>
      <c r="P267" s="314" t="s">
        <v>91</v>
      </c>
      <c r="Q267" s="307" t="s">
        <v>492</v>
      </c>
      <c r="R267" s="299" t="s">
        <v>149</v>
      </c>
      <c r="S267" s="300"/>
    </row>
    <row r="268" spans="1:19">
      <c r="A268" s="167">
        <v>690</v>
      </c>
      <c r="B268" s="428"/>
      <c r="F268" s="391">
        <v>170.67</v>
      </c>
      <c r="H268" s="244"/>
      <c r="I268" s="449">
        <v>-1.45</v>
      </c>
      <c r="J268" s="462">
        <v>-1.5490806770324701</v>
      </c>
      <c r="K268" s="491">
        <f t="shared" si="5"/>
        <v>15.641149186819851</v>
      </c>
      <c r="L268" s="295" t="s">
        <v>689</v>
      </c>
      <c r="M268" s="296" t="s">
        <v>85</v>
      </c>
      <c r="N268" s="297" t="s">
        <v>192</v>
      </c>
      <c r="O268" s="298" t="s">
        <v>118</v>
      </c>
      <c r="P268" s="314" t="s">
        <v>91</v>
      </c>
      <c r="Q268" s="307" t="s">
        <v>492</v>
      </c>
      <c r="R268" s="299" t="s">
        <v>149</v>
      </c>
      <c r="S268" s="300"/>
    </row>
    <row r="269" spans="1:19">
      <c r="A269" s="167">
        <v>690</v>
      </c>
      <c r="B269" s="428"/>
      <c r="F269" s="391">
        <v>170.67</v>
      </c>
      <c r="H269" s="244"/>
      <c r="I269" s="449">
        <v>-1.63</v>
      </c>
      <c r="J269" s="462">
        <v>-1.5490806770324701</v>
      </c>
      <c r="K269" s="491">
        <f t="shared" si="5"/>
        <v>16.476054972883997</v>
      </c>
      <c r="L269" s="295" t="s">
        <v>689</v>
      </c>
      <c r="M269" s="296" t="s">
        <v>85</v>
      </c>
      <c r="N269" s="297" t="s">
        <v>192</v>
      </c>
      <c r="O269" s="298" t="s">
        <v>118</v>
      </c>
      <c r="P269" s="314" t="s">
        <v>91</v>
      </c>
      <c r="Q269" s="307" t="s">
        <v>492</v>
      </c>
      <c r="R269" s="299" t="s">
        <v>149</v>
      </c>
      <c r="S269" s="300"/>
    </row>
    <row r="270" spans="1:19">
      <c r="A270" s="167">
        <v>690</v>
      </c>
      <c r="B270" s="428"/>
      <c r="F270" s="391">
        <v>170.67</v>
      </c>
      <c r="H270" s="244"/>
      <c r="I270" s="449">
        <v>-1.45</v>
      </c>
      <c r="J270" s="462">
        <v>-1.5490806770324701</v>
      </c>
      <c r="K270" s="491">
        <f t="shared" si="5"/>
        <v>15.641149186819851</v>
      </c>
      <c r="L270" s="295" t="s">
        <v>689</v>
      </c>
      <c r="M270" s="296" t="s">
        <v>85</v>
      </c>
      <c r="N270" s="297" t="s">
        <v>192</v>
      </c>
      <c r="O270" s="298" t="s">
        <v>118</v>
      </c>
      <c r="P270" s="314" t="s">
        <v>91</v>
      </c>
      <c r="Q270" s="307" t="s">
        <v>492</v>
      </c>
      <c r="R270" s="299" t="s">
        <v>149</v>
      </c>
      <c r="S270" s="300"/>
    </row>
    <row r="271" spans="1:19">
      <c r="A271" s="167">
        <v>690</v>
      </c>
      <c r="B271" s="428"/>
      <c r="F271" s="391">
        <v>170.67</v>
      </c>
      <c r="H271" s="244"/>
      <c r="I271" s="449">
        <v>-1.37</v>
      </c>
      <c r="J271" s="462">
        <v>-1.5490806770324701</v>
      </c>
      <c r="K271" s="491">
        <f t="shared" si="5"/>
        <v>15.271951948569118</v>
      </c>
      <c r="L271" s="295" t="s">
        <v>689</v>
      </c>
      <c r="M271" s="296" t="s">
        <v>85</v>
      </c>
      <c r="N271" s="297" t="s">
        <v>192</v>
      </c>
      <c r="O271" s="298" t="s">
        <v>118</v>
      </c>
      <c r="P271" s="314" t="s">
        <v>91</v>
      </c>
      <c r="Q271" s="307" t="s">
        <v>492</v>
      </c>
      <c r="R271" s="299" t="s">
        <v>149</v>
      </c>
      <c r="S271" s="300"/>
    </row>
    <row r="272" spans="1:19">
      <c r="A272" s="167">
        <v>690</v>
      </c>
      <c r="B272" s="428"/>
      <c r="F272" s="391">
        <v>170.67</v>
      </c>
      <c r="H272" s="244"/>
      <c r="I272" s="449">
        <v>-1.37</v>
      </c>
      <c r="J272" s="462">
        <v>-1.5490806770324701</v>
      </c>
      <c r="K272" s="491">
        <f t="shared" si="5"/>
        <v>15.271951948569118</v>
      </c>
      <c r="L272" s="295" t="s">
        <v>689</v>
      </c>
      <c r="M272" s="296" t="s">
        <v>85</v>
      </c>
      <c r="N272" s="297" t="s">
        <v>192</v>
      </c>
      <c r="O272" s="298" t="s">
        <v>118</v>
      </c>
      <c r="P272" s="314" t="s">
        <v>91</v>
      </c>
      <c r="Q272" s="307" t="s">
        <v>492</v>
      </c>
      <c r="R272" s="299" t="s">
        <v>149</v>
      </c>
      <c r="S272" s="300"/>
    </row>
    <row r="273" spans="1:19">
      <c r="A273" s="167">
        <v>690</v>
      </c>
      <c r="B273" s="428"/>
      <c r="F273" s="391">
        <v>170.67</v>
      </c>
      <c r="H273" s="244"/>
      <c r="I273" s="449">
        <v>-2.29</v>
      </c>
      <c r="J273" s="462">
        <v>-1.5490806770324701</v>
      </c>
      <c r="K273" s="491">
        <f t="shared" si="5"/>
        <v>19.587272188452541</v>
      </c>
      <c r="L273" s="295" t="s">
        <v>689</v>
      </c>
      <c r="M273" s="296" t="s">
        <v>85</v>
      </c>
      <c r="N273" s="297" t="s">
        <v>192</v>
      </c>
      <c r="O273" s="298" t="s">
        <v>118</v>
      </c>
      <c r="P273" s="314" t="s">
        <v>91</v>
      </c>
      <c r="Q273" s="307" t="s">
        <v>492</v>
      </c>
      <c r="R273" s="299" t="s">
        <v>149</v>
      </c>
      <c r="S273" s="300"/>
    </row>
    <row r="274" spans="1:19">
      <c r="A274" s="167">
        <v>690</v>
      </c>
      <c r="B274" s="428"/>
      <c r="F274" s="391">
        <v>170.68</v>
      </c>
      <c r="H274" s="244"/>
      <c r="I274" s="449">
        <v>-1.54</v>
      </c>
      <c r="J274" s="462">
        <v>-1.5490806770324701</v>
      </c>
      <c r="K274" s="491">
        <f t="shared" si="5"/>
        <v>16.057873079851923</v>
      </c>
      <c r="L274" s="295" t="s">
        <v>689</v>
      </c>
      <c r="M274" s="296" t="s">
        <v>85</v>
      </c>
      <c r="N274" s="297" t="s">
        <v>192</v>
      </c>
      <c r="O274" s="298" t="s">
        <v>118</v>
      </c>
      <c r="P274" s="314" t="s">
        <v>91</v>
      </c>
      <c r="Q274" s="307" t="s">
        <v>492</v>
      </c>
      <c r="R274" s="299" t="s">
        <v>149</v>
      </c>
      <c r="S274" s="300"/>
    </row>
    <row r="275" spans="1:19">
      <c r="A275" s="167">
        <v>690</v>
      </c>
      <c r="B275" s="428"/>
      <c r="F275" s="391">
        <v>170.68</v>
      </c>
      <c r="H275" s="244"/>
      <c r="I275" s="449">
        <v>-1.49</v>
      </c>
      <c r="J275" s="462">
        <v>-1.5490806770324701</v>
      </c>
      <c r="K275" s="491">
        <f t="shared" si="5"/>
        <v>15.826179805945214</v>
      </c>
      <c r="L275" s="295" t="s">
        <v>689</v>
      </c>
      <c r="M275" s="296" t="s">
        <v>85</v>
      </c>
      <c r="N275" s="297" t="s">
        <v>192</v>
      </c>
      <c r="O275" s="298" t="s">
        <v>118</v>
      </c>
      <c r="P275" s="314" t="s">
        <v>91</v>
      </c>
      <c r="Q275" s="307" t="s">
        <v>492</v>
      </c>
      <c r="R275" s="299" t="s">
        <v>149</v>
      </c>
      <c r="S275" s="300"/>
    </row>
    <row r="276" spans="1:19">
      <c r="A276" s="167">
        <v>690</v>
      </c>
      <c r="B276" s="428"/>
      <c r="F276" s="391">
        <v>170.68</v>
      </c>
      <c r="H276" s="244"/>
      <c r="I276" s="449">
        <v>-1.45</v>
      </c>
      <c r="J276" s="462">
        <v>-1.5490806770324701</v>
      </c>
      <c r="K276" s="491">
        <f t="shared" si="5"/>
        <v>15.641149186819851</v>
      </c>
      <c r="L276" s="295" t="s">
        <v>689</v>
      </c>
      <c r="M276" s="296" t="s">
        <v>85</v>
      </c>
      <c r="N276" s="297" t="s">
        <v>192</v>
      </c>
      <c r="O276" s="298" t="s">
        <v>118</v>
      </c>
      <c r="P276" s="314" t="s">
        <v>91</v>
      </c>
      <c r="Q276" s="307" t="s">
        <v>492</v>
      </c>
      <c r="R276" s="299" t="s">
        <v>149</v>
      </c>
      <c r="S276" s="300"/>
    </row>
    <row r="277" spans="1:19">
      <c r="A277" s="167">
        <v>690</v>
      </c>
      <c r="B277" s="428"/>
      <c r="F277" s="391">
        <v>170.68</v>
      </c>
      <c r="H277" s="244"/>
      <c r="I277" s="449">
        <v>-1.46</v>
      </c>
      <c r="J277" s="462">
        <v>-1.5490806770324701</v>
      </c>
      <c r="K277" s="491">
        <f t="shared" si="5"/>
        <v>15.68737984160119</v>
      </c>
      <c r="L277" s="295" t="s">
        <v>689</v>
      </c>
      <c r="M277" s="296" t="s">
        <v>85</v>
      </c>
      <c r="N277" s="297" t="s">
        <v>192</v>
      </c>
      <c r="O277" s="298" t="s">
        <v>118</v>
      </c>
      <c r="P277" s="314" t="s">
        <v>91</v>
      </c>
      <c r="Q277" s="307" t="s">
        <v>492</v>
      </c>
      <c r="R277" s="299" t="s">
        <v>149</v>
      </c>
      <c r="S277" s="300"/>
    </row>
    <row r="278" spans="1:19">
      <c r="A278" s="167">
        <v>690</v>
      </c>
      <c r="B278" s="428"/>
      <c r="F278" s="391">
        <v>170.68</v>
      </c>
      <c r="H278" s="244"/>
      <c r="I278" s="449">
        <v>-1.46</v>
      </c>
      <c r="J278" s="462">
        <v>-1.5490806770324701</v>
      </c>
      <c r="K278" s="491">
        <f t="shared" si="5"/>
        <v>15.68737984160119</v>
      </c>
      <c r="L278" s="295" t="s">
        <v>689</v>
      </c>
      <c r="M278" s="296" t="s">
        <v>85</v>
      </c>
      <c r="N278" s="297" t="s">
        <v>192</v>
      </c>
      <c r="O278" s="298" t="s">
        <v>118</v>
      </c>
      <c r="P278" s="314" t="s">
        <v>91</v>
      </c>
      <c r="Q278" s="307" t="s">
        <v>492</v>
      </c>
      <c r="R278" s="299" t="s">
        <v>149</v>
      </c>
      <c r="S278" s="300"/>
    </row>
    <row r="279" spans="1:19">
      <c r="A279" s="167">
        <v>690</v>
      </c>
      <c r="B279" s="428"/>
      <c r="F279" s="391">
        <v>170.68</v>
      </c>
      <c r="H279" s="244"/>
      <c r="I279" s="449">
        <v>-1.38</v>
      </c>
      <c r="J279" s="462">
        <v>-1.5490806770324701</v>
      </c>
      <c r="K279" s="491">
        <f t="shared" si="5"/>
        <v>15.318038603350457</v>
      </c>
      <c r="L279" s="295" t="s">
        <v>689</v>
      </c>
      <c r="M279" s="296" t="s">
        <v>85</v>
      </c>
      <c r="N279" s="297" t="s">
        <v>192</v>
      </c>
      <c r="O279" s="298" t="s">
        <v>118</v>
      </c>
      <c r="P279" s="314" t="s">
        <v>91</v>
      </c>
      <c r="Q279" s="307" t="s">
        <v>492</v>
      </c>
      <c r="R279" s="299" t="s">
        <v>149</v>
      </c>
      <c r="S279" s="300"/>
    </row>
    <row r="280" spans="1:19">
      <c r="A280" s="167">
        <v>690</v>
      </c>
      <c r="B280" s="428"/>
      <c r="F280" s="391">
        <v>170.68</v>
      </c>
      <c r="H280" s="244"/>
      <c r="I280" s="449">
        <v>-1.56</v>
      </c>
      <c r="J280" s="462">
        <v>-1.5490806770324701</v>
      </c>
      <c r="K280" s="491">
        <f t="shared" si="5"/>
        <v>16.150676389414606</v>
      </c>
      <c r="L280" s="295" t="s">
        <v>689</v>
      </c>
      <c r="M280" s="296" t="s">
        <v>85</v>
      </c>
      <c r="N280" s="297" t="s">
        <v>192</v>
      </c>
      <c r="O280" s="298" t="s">
        <v>118</v>
      </c>
      <c r="P280" s="314" t="s">
        <v>91</v>
      </c>
      <c r="Q280" s="307" t="s">
        <v>492</v>
      </c>
      <c r="R280" s="299" t="s">
        <v>149</v>
      </c>
      <c r="S280" s="300"/>
    </row>
    <row r="281" spans="1:19">
      <c r="A281" s="167">
        <v>690</v>
      </c>
      <c r="B281" s="428"/>
      <c r="F281" s="391">
        <v>170.68</v>
      </c>
      <c r="H281" s="244"/>
      <c r="I281" s="449">
        <v>-1.41</v>
      </c>
      <c r="J281" s="462">
        <v>-1.5490806770324701</v>
      </c>
      <c r="K281" s="491">
        <f t="shared" si="5"/>
        <v>15.456406567694483</v>
      </c>
      <c r="L281" s="295" t="s">
        <v>689</v>
      </c>
      <c r="M281" s="296" t="s">
        <v>85</v>
      </c>
      <c r="N281" s="297" t="s">
        <v>192</v>
      </c>
      <c r="O281" s="298" t="s">
        <v>118</v>
      </c>
      <c r="P281" s="314" t="s">
        <v>91</v>
      </c>
      <c r="Q281" s="307" t="s">
        <v>492</v>
      </c>
      <c r="R281" s="299" t="s">
        <v>149</v>
      </c>
      <c r="S281" s="300"/>
    </row>
    <row r="282" spans="1:19">
      <c r="A282" s="167">
        <v>690</v>
      </c>
      <c r="B282" s="428"/>
      <c r="F282" s="391">
        <v>170.7</v>
      </c>
      <c r="H282" s="244"/>
      <c r="I282" s="449">
        <v>-1.53</v>
      </c>
      <c r="J282" s="462">
        <v>-1.5490806770324701</v>
      </c>
      <c r="K282" s="491">
        <f t="shared" si="5"/>
        <v>16.011498425070581</v>
      </c>
      <c r="L282" s="295" t="s">
        <v>689</v>
      </c>
      <c r="M282" s="296" t="s">
        <v>85</v>
      </c>
      <c r="N282" s="297" t="s">
        <v>192</v>
      </c>
      <c r="O282" s="298" t="s">
        <v>118</v>
      </c>
      <c r="P282" s="314" t="s">
        <v>91</v>
      </c>
      <c r="Q282" s="307" t="s">
        <v>492</v>
      </c>
      <c r="R282" s="299" t="s">
        <v>149</v>
      </c>
      <c r="S282" s="300"/>
    </row>
    <row r="283" spans="1:19">
      <c r="A283" s="167">
        <v>690</v>
      </c>
      <c r="B283" s="428"/>
      <c r="F283" s="391">
        <v>170.7</v>
      </c>
      <c r="H283" s="244"/>
      <c r="I283" s="449">
        <v>-1.4</v>
      </c>
      <c r="J283" s="462">
        <v>-1.5490806770324701</v>
      </c>
      <c r="K283" s="491">
        <f t="shared" si="5"/>
        <v>15.410265912913141</v>
      </c>
      <c r="L283" s="295" t="s">
        <v>689</v>
      </c>
      <c r="M283" s="296" t="s">
        <v>85</v>
      </c>
      <c r="N283" s="297" t="s">
        <v>192</v>
      </c>
      <c r="O283" s="298" t="s">
        <v>118</v>
      </c>
      <c r="P283" s="314" t="s">
        <v>91</v>
      </c>
      <c r="Q283" s="307" t="s">
        <v>492</v>
      </c>
      <c r="R283" s="299" t="s">
        <v>149</v>
      </c>
      <c r="S283" s="300"/>
    </row>
    <row r="284" spans="1:19">
      <c r="A284" s="167">
        <v>690</v>
      </c>
      <c r="B284" s="428"/>
      <c r="F284" s="391">
        <v>170.7</v>
      </c>
      <c r="H284" s="244"/>
      <c r="I284" s="449">
        <v>-1.45</v>
      </c>
      <c r="J284" s="462">
        <v>-1.5490806770324701</v>
      </c>
      <c r="K284" s="491">
        <f t="shared" si="5"/>
        <v>15.641149186819851</v>
      </c>
      <c r="L284" s="295" t="s">
        <v>689</v>
      </c>
      <c r="M284" s="296" t="s">
        <v>85</v>
      </c>
      <c r="N284" s="297" t="s">
        <v>192</v>
      </c>
      <c r="O284" s="298" t="s">
        <v>118</v>
      </c>
      <c r="P284" s="314" t="s">
        <v>91</v>
      </c>
      <c r="Q284" s="307" t="s">
        <v>492</v>
      </c>
      <c r="R284" s="299" t="s">
        <v>149</v>
      </c>
      <c r="S284" s="300"/>
    </row>
    <row r="285" spans="1:19">
      <c r="A285" s="167">
        <v>690</v>
      </c>
      <c r="B285" s="428"/>
      <c r="F285" s="391">
        <v>170.7</v>
      </c>
      <c r="H285" s="244"/>
      <c r="I285" s="449">
        <v>-1.55</v>
      </c>
      <c r="J285" s="462">
        <v>-1.5490806770324701</v>
      </c>
      <c r="K285" s="491">
        <f t="shared" si="5"/>
        <v>16.104265734633262</v>
      </c>
      <c r="L285" s="295" t="s">
        <v>689</v>
      </c>
      <c r="M285" s="296" t="s">
        <v>85</v>
      </c>
      <c r="N285" s="297" t="s">
        <v>192</v>
      </c>
      <c r="O285" s="298" t="s">
        <v>118</v>
      </c>
      <c r="P285" s="314" t="s">
        <v>91</v>
      </c>
      <c r="Q285" s="307" t="s">
        <v>492</v>
      </c>
      <c r="R285" s="299" t="s">
        <v>149</v>
      </c>
      <c r="S285" s="300"/>
    </row>
    <row r="286" spans="1:19">
      <c r="A286" s="167">
        <v>690</v>
      </c>
      <c r="B286" s="428"/>
      <c r="F286" s="391">
        <v>170.7</v>
      </c>
      <c r="H286" s="244"/>
      <c r="I286" s="449">
        <v>-1.46</v>
      </c>
      <c r="J286" s="462">
        <v>-1.5490806770324701</v>
      </c>
      <c r="K286" s="491">
        <f t="shared" si="5"/>
        <v>15.68737984160119</v>
      </c>
      <c r="L286" s="295" t="s">
        <v>689</v>
      </c>
      <c r="M286" s="296" t="s">
        <v>85</v>
      </c>
      <c r="N286" s="297" t="s">
        <v>192</v>
      </c>
      <c r="O286" s="298" t="s">
        <v>118</v>
      </c>
      <c r="P286" s="314" t="s">
        <v>91</v>
      </c>
      <c r="Q286" s="307" t="s">
        <v>492</v>
      </c>
      <c r="R286" s="299" t="s">
        <v>149</v>
      </c>
      <c r="S286" s="300"/>
    </row>
    <row r="287" spans="1:19">
      <c r="A287" s="167">
        <v>690</v>
      </c>
      <c r="B287" s="428"/>
      <c r="F287" s="391">
        <v>170.71</v>
      </c>
      <c r="H287" s="244"/>
      <c r="I287" s="449">
        <v>-1.7</v>
      </c>
      <c r="J287" s="462">
        <v>-1.5490806770324701</v>
      </c>
      <c r="K287" s="491">
        <f t="shared" si="5"/>
        <v>16.802315556353388</v>
      </c>
      <c r="L287" s="295" t="s">
        <v>689</v>
      </c>
      <c r="M287" s="296" t="s">
        <v>85</v>
      </c>
      <c r="N287" s="297" t="s">
        <v>192</v>
      </c>
      <c r="O287" s="298" t="s">
        <v>118</v>
      </c>
      <c r="P287" s="314" t="s">
        <v>91</v>
      </c>
      <c r="Q287" s="307" t="s">
        <v>492</v>
      </c>
      <c r="R287" s="299" t="s">
        <v>149</v>
      </c>
      <c r="S287" s="300"/>
    </row>
    <row r="288" spans="1:19">
      <c r="A288" s="167">
        <v>690</v>
      </c>
      <c r="B288" s="428"/>
      <c r="F288" s="391">
        <v>170.71</v>
      </c>
      <c r="H288" s="244"/>
      <c r="I288" s="449">
        <v>-1.38</v>
      </c>
      <c r="J288" s="462">
        <v>-1.5490806770324701</v>
      </c>
      <c r="K288" s="491">
        <f t="shared" si="5"/>
        <v>15.318038603350457</v>
      </c>
      <c r="L288" s="295" t="s">
        <v>689</v>
      </c>
      <c r="M288" s="296" t="s">
        <v>85</v>
      </c>
      <c r="N288" s="297" t="s">
        <v>192</v>
      </c>
      <c r="O288" s="298" t="s">
        <v>118</v>
      </c>
      <c r="P288" s="314" t="s">
        <v>91</v>
      </c>
      <c r="Q288" s="307" t="s">
        <v>492</v>
      </c>
      <c r="R288" s="299" t="s">
        <v>149</v>
      </c>
      <c r="S288" s="300"/>
    </row>
    <row r="289" spans="1:19">
      <c r="A289" s="167">
        <v>690</v>
      </c>
      <c r="B289" s="428"/>
      <c r="F289" s="391">
        <v>170.72</v>
      </c>
      <c r="H289" s="244"/>
      <c r="I289" s="449">
        <v>-1.31</v>
      </c>
      <c r="J289" s="462">
        <v>-1.5490806770324701</v>
      </c>
      <c r="K289" s="491">
        <f t="shared" si="5"/>
        <v>14.995810019881068</v>
      </c>
      <c r="L289" s="295" t="s">
        <v>689</v>
      </c>
      <c r="M289" s="296" t="s">
        <v>85</v>
      </c>
      <c r="N289" s="297" t="s">
        <v>192</v>
      </c>
      <c r="O289" s="298" t="s">
        <v>118</v>
      </c>
      <c r="P289" s="314" t="s">
        <v>91</v>
      </c>
      <c r="Q289" s="307" t="s">
        <v>492</v>
      </c>
      <c r="R289" s="299" t="s">
        <v>149</v>
      </c>
      <c r="S289" s="300"/>
    </row>
    <row r="290" spans="1:19">
      <c r="A290" s="167">
        <v>690</v>
      </c>
      <c r="B290" s="428"/>
      <c r="F290" s="391">
        <v>170.72</v>
      </c>
      <c r="H290" s="244"/>
      <c r="I290" s="449">
        <v>-1.54</v>
      </c>
      <c r="J290" s="462">
        <v>-1.5490806770324701</v>
      </c>
      <c r="K290" s="491">
        <f t="shared" si="5"/>
        <v>16.057873079851923</v>
      </c>
      <c r="L290" s="295" t="s">
        <v>689</v>
      </c>
      <c r="M290" s="296" t="s">
        <v>85</v>
      </c>
      <c r="N290" s="297" t="s">
        <v>192</v>
      </c>
      <c r="O290" s="298" t="s">
        <v>118</v>
      </c>
      <c r="P290" s="314" t="s">
        <v>91</v>
      </c>
      <c r="Q290" s="307" t="s">
        <v>492</v>
      </c>
      <c r="R290" s="299" t="s">
        <v>149</v>
      </c>
      <c r="S290" s="300"/>
    </row>
    <row r="291" spans="1:19">
      <c r="A291" s="167">
        <v>690</v>
      </c>
      <c r="B291" s="428"/>
      <c r="F291" s="391">
        <v>170.72</v>
      </c>
      <c r="H291" s="244"/>
      <c r="I291" s="449">
        <v>-1.41</v>
      </c>
      <c r="J291" s="462">
        <v>-1.5490806770324701</v>
      </c>
      <c r="K291" s="491">
        <f t="shared" si="5"/>
        <v>15.456406567694483</v>
      </c>
      <c r="L291" s="295" t="s">
        <v>689</v>
      </c>
      <c r="M291" s="296" t="s">
        <v>85</v>
      </c>
      <c r="N291" s="297" t="s">
        <v>192</v>
      </c>
      <c r="O291" s="298" t="s">
        <v>118</v>
      </c>
      <c r="P291" s="314" t="s">
        <v>91</v>
      </c>
      <c r="Q291" s="307" t="s">
        <v>492</v>
      </c>
      <c r="R291" s="299" t="s">
        <v>149</v>
      </c>
      <c r="S291" s="300"/>
    </row>
    <row r="292" spans="1:19">
      <c r="A292" s="167">
        <v>690</v>
      </c>
      <c r="B292" s="428"/>
      <c r="F292" s="391">
        <v>170.72</v>
      </c>
      <c r="H292" s="244"/>
      <c r="I292" s="449">
        <v>-1.49</v>
      </c>
      <c r="J292" s="462">
        <v>-1.5490806770324701</v>
      </c>
      <c r="K292" s="491">
        <f t="shared" si="5"/>
        <v>15.826179805945214</v>
      </c>
      <c r="L292" s="295" t="s">
        <v>689</v>
      </c>
      <c r="M292" s="296" t="s">
        <v>85</v>
      </c>
      <c r="N292" s="297" t="s">
        <v>192</v>
      </c>
      <c r="O292" s="298" t="s">
        <v>118</v>
      </c>
      <c r="P292" s="314" t="s">
        <v>91</v>
      </c>
      <c r="Q292" s="307" t="s">
        <v>492</v>
      </c>
      <c r="R292" s="299" t="s">
        <v>149</v>
      </c>
      <c r="S292" s="300"/>
    </row>
    <row r="293" spans="1:19">
      <c r="A293" s="167">
        <v>690</v>
      </c>
      <c r="B293" s="428"/>
      <c r="F293" s="391">
        <v>170.72</v>
      </c>
      <c r="H293" s="244"/>
      <c r="I293" s="449">
        <v>-1.44</v>
      </c>
      <c r="J293" s="462">
        <v>-1.5490806770324701</v>
      </c>
      <c r="K293" s="491">
        <f t="shared" si="5"/>
        <v>15.594936532038508</v>
      </c>
      <c r="L293" s="295" t="s">
        <v>689</v>
      </c>
      <c r="M293" s="296" t="s">
        <v>85</v>
      </c>
      <c r="N293" s="297" t="s">
        <v>192</v>
      </c>
      <c r="O293" s="298" t="s">
        <v>118</v>
      </c>
      <c r="P293" s="314" t="s">
        <v>91</v>
      </c>
      <c r="Q293" s="307" t="s">
        <v>492</v>
      </c>
      <c r="R293" s="299" t="s">
        <v>149</v>
      </c>
      <c r="S293" s="300"/>
    </row>
    <row r="294" spans="1:19">
      <c r="A294" s="167">
        <v>690</v>
      </c>
      <c r="B294" s="428"/>
      <c r="F294" s="391">
        <v>170.73</v>
      </c>
      <c r="H294" s="244"/>
      <c r="I294" s="449">
        <v>-1.52</v>
      </c>
      <c r="J294" s="462">
        <v>-1.5490806770324701</v>
      </c>
      <c r="K294" s="491">
        <f t="shared" si="5"/>
        <v>15.965141770289241</v>
      </c>
      <c r="L294" s="295" t="s">
        <v>689</v>
      </c>
      <c r="M294" s="296" t="s">
        <v>85</v>
      </c>
      <c r="N294" s="297" t="s">
        <v>192</v>
      </c>
      <c r="O294" s="298" t="s">
        <v>118</v>
      </c>
      <c r="P294" s="314" t="s">
        <v>91</v>
      </c>
      <c r="Q294" s="307" t="s">
        <v>492</v>
      </c>
      <c r="R294" s="299" t="s">
        <v>149</v>
      </c>
      <c r="S294" s="300"/>
    </row>
    <row r="295" spans="1:19">
      <c r="A295" s="167">
        <v>690</v>
      </c>
      <c r="B295" s="428"/>
      <c r="F295" s="391">
        <v>170.73</v>
      </c>
      <c r="H295" s="244"/>
      <c r="I295" s="449">
        <v>-1.41</v>
      </c>
      <c r="J295" s="462">
        <v>-1.5490806770324701</v>
      </c>
      <c r="K295" s="491">
        <f t="shared" si="5"/>
        <v>15.456406567694483</v>
      </c>
      <c r="L295" s="295" t="s">
        <v>689</v>
      </c>
      <c r="M295" s="296" t="s">
        <v>85</v>
      </c>
      <c r="N295" s="297" t="s">
        <v>192</v>
      </c>
      <c r="O295" s="298" t="s">
        <v>118</v>
      </c>
      <c r="P295" s="314" t="s">
        <v>91</v>
      </c>
      <c r="Q295" s="307" t="s">
        <v>492</v>
      </c>
      <c r="R295" s="299" t="s">
        <v>149</v>
      </c>
      <c r="S295" s="300"/>
    </row>
    <row r="296" spans="1:19">
      <c r="A296" s="167">
        <v>690</v>
      </c>
      <c r="B296" s="428"/>
      <c r="F296" s="391">
        <v>170.73</v>
      </c>
      <c r="H296" s="244"/>
      <c r="I296" s="449">
        <v>-1.61</v>
      </c>
      <c r="J296" s="462">
        <v>-1.5490806770324701</v>
      </c>
      <c r="K296" s="491">
        <f t="shared" si="5"/>
        <v>16.382999663321314</v>
      </c>
      <c r="L296" s="295" t="s">
        <v>689</v>
      </c>
      <c r="M296" s="296" t="s">
        <v>85</v>
      </c>
      <c r="N296" s="297" t="s">
        <v>192</v>
      </c>
      <c r="O296" s="298" t="s">
        <v>118</v>
      </c>
      <c r="P296" s="314" t="s">
        <v>91</v>
      </c>
      <c r="Q296" s="307" t="s">
        <v>492</v>
      </c>
      <c r="R296" s="299" t="s">
        <v>149</v>
      </c>
      <c r="S296" s="300"/>
    </row>
    <row r="297" spans="1:19">
      <c r="A297" s="167">
        <v>690</v>
      </c>
      <c r="B297" s="428"/>
      <c r="F297" s="391">
        <v>170.73</v>
      </c>
      <c r="H297" s="244"/>
      <c r="I297" s="449">
        <v>-1.44</v>
      </c>
      <c r="J297" s="462">
        <v>-1.5490806770324701</v>
      </c>
      <c r="K297" s="491">
        <f t="shared" si="5"/>
        <v>15.594936532038508</v>
      </c>
      <c r="L297" s="295" t="s">
        <v>689</v>
      </c>
      <c r="M297" s="296" t="s">
        <v>85</v>
      </c>
      <c r="N297" s="297" t="s">
        <v>192</v>
      </c>
      <c r="O297" s="298" t="s">
        <v>118</v>
      </c>
      <c r="P297" s="314" t="s">
        <v>91</v>
      </c>
      <c r="Q297" s="307" t="s">
        <v>492</v>
      </c>
      <c r="R297" s="299" t="s">
        <v>149</v>
      </c>
      <c r="S297" s="300"/>
    </row>
    <row r="298" spans="1:19">
      <c r="A298" s="167">
        <v>690</v>
      </c>
      <c r="B298" s="428"/>
      <c r="F298" s="391">
        <v>170.74</v>
      </c>
      <c r="H298" s="244"/>
      <c r="I298" s="449">
        <v>-1.74</v>
      </c>
      <c r="J298" s="462">
        <v>-1.5490806770324701</v>
      </c>
      <c r="K298" s="491">
        <f t="shared" si="5"/>
        <v>16.989146175478755</v>
      </c>
      <c r="L298" s="295" t="s">
        <v>689</v>
      </c>
      <c r="M298" s="296" t="s">
        <v>85</v>
      </c>
      <c r="N298" s="297" t="s">
        <v>192</v>
      </c>
      <c r="O298" s="298" t="s">
        <v>118</v>
      </c>
      <c r="P298" s="314" t="s">
        <v>91</v>
      </c>
      <c r="Q298" s="307" t="s">
        <v>492</v>
      </c>
      <c r="R298" s="299" t="s">
        <v>149</v>
      </c>
      <c r="S298" s="300"/>
    </row>
    <row r="299" spans="1:19">
      <c r="A299" s="167">
        <v>690</v>
      </c>
      <c r="B299" s="428"/>
      <c r="F299" s="391">
        <v>170.74</v>
      </c>
      <c r="H299" s="244"/>
      <c r="I299" s="449">
        <v>-1.64</v>
      </c>
      <c r="J299" s="462">
        <v>-1.5490806770324701</v>
      </c>
      <c r="K299" s="491">
        <f t="shared" si="5"/>
        <v>16.522609627665339</v>
      </c>
      <c r="L299" s="295" t="s">
        <v>689</v>
      </c>
      <c r="M299" s="296" t="s">
        <v>85</v>
      </c>
      <c r="N299" s="297" t="s">
        <v>192</v>
      </c>
      <c r="O299" s="298" t="s">
        <v>118</v>
      </c>
      <c r="P299" s="314" t="s">
        <v>91</v>
      </c>
      <c r="Q299" s="307" t="s">
        <v>492</v>
      </c>
      <c r="R299" s="299" t="s">
        <v>149</v>
      </c>
      <c r="S299" s="300"/>
    </row>
    <row r="300" spans="1:19">
      <c r="A300" s="167">
        <v>690</v>
      </c>
      <c r="B300" s="428"/>
      <c r="F300" s="391">
        <v>170.74</v>
      </c>
      <c r="H300" s="244"/>
      <c r="I300" s="449">
        <v>-1.66</v>
      </c>
      <c r="J300" s="462">
        <v>-1.5490806770324701</v>
      </c>
      <c r="K300" s="491">
        <f t="shared" si="5"/>
        <v>16.615772937228023</v>
      </c>
      <c r="L300" s="295" t="s">
        <v>689</v>
      </c>
      <c r="M300" s="296" t="s">
        <v>85</v>
      </c>
      <c r="N300" s="297" t="s">
        <v>192</v>
      </c>
      <c r="O300" s="298" t="s">
        <v>118</v>
      </c>
      <c r="P300" s="314" t="s">
        <v>91</v>
      </c>
      <c r="Q300" s="307" t="s">
        <v>492</v>
      </c>
      <c r="R300" s="299" t="s">
        <v>149</v>
      </c>
      <c r="S300" s="300"/>
    </row>
    <row r="301" spans="1:19">
      <c r="A301" s="167">
        <v>690</v>
      </c>
      <c r="B301" s="428"/>
      <c r="F301" s="391">
        <v>170.74</v>
      </c>
      <c r="H301" s="244"/>
      <c r="I301" s="449">
        <v>-1.58</v>
      </c>
      <c r="J301" s="462">
        <v>-1.5490806770324701</v>
      </c>
      <c r="K301" s="491">
        <f t="shared" si="5"/>
        <v>16.243551698977292</v>
      </c>
      <c r="L301" s="295" t="s">
        <v>689</v>
      </c>
      <c r="M301" s="296" t="s">
        <v>85</v>
      </c>
      <c r="N301" s="297" t="s">
        <v>192</v>
      </c>
      <c r="O301" s="298" t="s">
        <v>118</v>
      </c>
      <c r="P301" s="314" t="s">
        <v>91</v>
      </c>
      <c r="Q301" s="307" t="s">
        <v>492</v>
      </c>
      <c r="R301" s="299" t="s">
        <v>149</v>
      </c>
      <c r="S301" s="300"/>
    </row>
    <row r="302" spans="1:19">
      <c r="A302" s="167">
        <v>690</v>
      </c>
      <c r="B302" s="428"/>
      <c r="F302" s="391">
        <v>170.74</v>
      </c>
      <c r="H302" s="244"/>
      <c r="I302" s="449">
        <v>-1.46</v>
      </c>
      <c r="J302" s="462">
        <v>-1.5490806770324701</v>
      </c>
      <c r="K302" s="491">
        <f t="shared" si="5"/>
        <v>15.68737984160119</v>
      </c>
      <c r="L302" s="295" t="s">
        <v>689</v>
      </c>
      <c r="M302" s="296" t="s">
        <v>85</v>
      </c>
      <c r="N302" s="297" t="s">
        <v>192</v>
      </c>
      <c r="O302" s="298" t="s">
        <v>118</v>
      </c>
      <c r="P302" s="314" t="s">
        <v>91</v>
      </c>
      <c r="Q302" s="307" t="s">
        <v>492</v>
      </c>
      <c r="R302" s="299" t="s">
        <v>149</v>
      </c>
      <c r="S302" s="300"/>
    </row>
    <row r="303" spans="1:19">
      <c r="A303" s="167">
        <v>690</v>
      </c>
      <c r="B303" s="428"/>
      <c r="F303" s="391">
        <v>170.74</v>
      </c>
      <c r="H303" s="244"/>
      <c r="I303" s="449">
        <v>-1.52</v>
      </c>
      <c r="J303" s="462">
        <v>-1.5490806770324701</v>
      </c>
      <c r="K303" s="491">
        <f t="shared" si="5"/>
        <v>15.965141770289241</v>
      </c>
      <c r="L303" s="295" t="s">
        <v>689</v>
      </c>
      <c r="M303" s="296" t="s">
        <v>85</v>
      </c>
      <c r="N303" s="297" t="s">
        <v>192</v>
      </c>
      <c r="O303" s="298" t="s">
        <v>118</v>
      </c>
      <c r="P303" s="314" t="s">
        <v>91</v>
      </c>
      <c r="Q303" s="307" t="s">
        <v>492</v>
      </c>
      <c r="R303" s="299" t="s">
        <v>149</v>
      </c>
      <c r="S303" s="300"/>
    </row>
    <row r="304" spans="1:19">
      <c r="A304" s="167">
        <v>690</v>
      </c>
      <c r="B304" s="428"/>
      <c r="F304" s="391">
        <v>170.75</v>
      </c>
      <c r="H304" s="244"/>
      <c r="I304" s="449">
        <v>-1.47</v>
      </c>
      <c r="J304" s="462">
        <v>-1.5490806770324701</v>
      </c>
      <c r="K304" s="491">
        <f t="shared" si="5"/>
        <v>15.733628496382531</v>
      </c>
      <c r="L304" s="295" t="s">
        <v>689</v>
      </c>
      <c r="M304" s="296" t="s">
        <v>85</v>
      </c>
      <c r="N304" s="297" t="s">
        <v>192</v>
      </c>
      <c r="O304" s="298" t="s">
        <v>118</v>
      </c>
      <c r="P304" s="314" t="s">
        <v>91</v>
      </c>
      <c r="Q304" s="307" t="s">
        <v>492</v>
      </c>
      <c r="R304" s="299" t="s">
        <v>149</v>
      </c>
      <c r="S304" s="300"/>
    </row>
    <row r="305" spans="1:19">
      <c r="A305" s="167">
        <v>690</v>
      </c>
      <c r="B305" s="428"/>
      <c r="F305" s="391">
        <v>170.75</v>
      </c>
      <c r="H305" s="244"/>
      <c r="I305" s="449">
        <v>-1.75</v>
      </c>
      <c r="J305" s="462">
        <v>-1.5490806770324701</v>
      </c>
      <c r="K305" s="491">
        <f t="shared" si="5"/>
        <v>17.035898830260095</v>
      </c>
      <c r="L305" s="295" t="s">
        <v>689</v>
      </c>
      <c r="M305" s="296" t="s">
        <v>85</v>
      </c>
      <c r="N305" s="297" t="s">
        <v>192</v>
      </c>
      <c r="O305" s="298" t="s">
        <v>118</v>
      </c>
      <c r="P305" s="314" t="s">
        <v>91</v>
      </c>
      <c r="Q305" s="307" t="s">
        <v>492</v>
      </c>
      <c r="R305" s="299" t="s">
        <v>149</v>
      </c>
      <c r="S305" s="300"/>
    </row>
    <row r="306" spans="1:19">
      <c r="A306" s="167">
        <v>690</v>
      </c>
      <c r="B306" s="428"/>
      <c r="F306" s="391">
        <v>170.75</v>
      </c>
      <c r="H306" s="244"/>
      <c r="I306" s="449">
        <v>-0.59</v>
      </c>
      <c r="J306" s="462">
        <v>-1.5490806770324701</v>
      </c>
      <c r="K306" s="491">
        <f t="shared" si="5"/>
        <v>11.732650875624476</v>
      </c>
      <c r="L306" s="295" t="s">
        <v>689</v>
      </c>
      <c r="M306" s="296" t="s">
        <v>85</v>
      </c>
      <c r="N306" s="297" t="s">
        <v>192</v>
      </c>
      <c r="O306" s="298" t="s">
        <v>118</v>
      </c>
      <c r="P306" s="314" t="s">
        <v>91</v>
      </c>
      <c r="Q306" s="307" t="s">
        <v>492</v>
      </c>
      <c r="R306" s="299" t="s">
        <v>149</v>
      </c>
      <c r="S306" s="300"/>
    </row>
    <row r="307" spans="1:19">
      <c r="A307" s="167">
        <v>690</v>
      </c>
      <c r="B307" s="428"/>
      <c r="F307" s="391">
        <v>170.76</v>
      </c>
      <c r="H307" s="244"/>
      <c r="I307" s="449">
        <v>-1.55</v>
      </c>
      <c r="J307" s="462">
        <v>-1.5490806770324701</v>
      </c>
      <c r="K307" s="491">
        <f t="shared" si="5"/>
        <v>16.104265734633262</v>
      </c>
      <c r="L307" s="295" t="s">
        <v>689</v>
      </c>
      <c r="M307" s="296" t="s">
        <v>85</v>
      </c>
      <c r="N307" s="297" t="s">
        <v>192</v>
      </c>
      <c r="O307" s="298" t="s">
        <v>118</v>
      </c>
      <c r="P307" s="314" t="s">
        <v>91</v>
      </c>
      <c r="Q307" s="307" t="s">
        <v>492</v>
      </c>
      <c r="R307" s="299" t="s">
        <v>149</v>
      </c>
      <c r="S307" s="300"/>
    </row>
    <row r="308" spans="1:19">
      <c r="A308" s="167">
        <v>690</v>
      </c>
      <c r="B308" s="428"/>
      <c r="F308" s="391">
        <v>170.76</v>
      </c>
      <c r="H308" s="244"/>
      <c r="I308" s="449">
        <v>-1.38</v>
      </c>
      <c r="J308" s="462">
        <v>-1.5490806770324701</v>
      </c>
      <c r="K308" s="491">
        <f t="shared" si="5"/>
        <v>15.318038603350457</v>
      </c>
      <c r="L308" s="295" t="s">
        <v>689</v>
      </c>
      <c r="M308" s="296" t="s">
        <v>85</v>
      </c>
      <c r="N308" s="297" t="s">
        <v>192</v>
      </c>
      <c r="O308" s="298" t="s">
        <v>118</v>
      </c>
      <c r="P308" s="314" t="s">
        <v>91</v>
      </c>
      <c r="Q308" s="307" t="s">
        <v>492</v>
      </c>
      <c r="R308" s="299" t="s">
        <v>149</v>
      </c>
      <c r="S308" s="300"/>
    </row>
    <row r="309" spans="1:19">
      <c r="A309" s="167">
        <v>690</v>
      </c>
      <c r="B309" s="428"/>
      <c r="F309" s="391">
        <v>170.76</v>
      </c>
      <c r="H309" s="244"/>
      <c r="I309" s="449">
        <v>-0.98</v>
      </c>
      <c r="J309" s="462">
        <v>-1.5490806770324701</v>
      </c>
      <c r="K309" s="491">
        <f t="shared" si="5"/>
        <v>13.488612412096796</v>
      </c>
      <c r="L309" s="295" t="s">
        <v>689</v>
      </c>
      <c r="M309" s="296" t="s">
        <v>85</v>
      </c>
      <c r="N309" s="297" t="s">
        <v>192</v>
      </c>
      <c r="O309" s="298" t="s">
        <v>118</v>
      </c>
      <c r="P309" s="314" t="s">
        <v>91</v>
      </c>
      <c r="Q309" s="307" t="s">
        <v>492</v>
      </c>
      <c r="R309" s="299" t="s">
        <v>149</v>
      </c>
      <c r="S309" s="300"/>
    </row>
    <row r="310" spans="1:19">
      <c r="A310" s="167">
        <v>690</v>
      </c>
      <c r="B310" s="428"/>
      <c r="F310" s="391">
        <v>170.77</v>
      </c>
      <c r="H310" s="244"/>
      <c r="I310" s="449">
        <v>-1.56</v>
      </c>
      <c r="J310" s="462">
        <v>-1.5490806770324701</v>
      </c>
      <c r="K310" s="491">
        <f t="shared" si="5"/>
        <v>16.150676389414606</v>
      </c>
      <c r="L310" s="295" t="s">
        <v>689</v>
      </c>
      <c r="M310" s="296" t="s">
        <v>85</v>
      </c>
      <c r="N310" s="297" t="s">
        <v>192</v>
      </c>
      <c r="O310" s="298" t="s">
        <v>118</v>
      </c>
      <c r="P310" s="314" t="s">
        <v>91</v>
      </c>
      <c r="Q310" s="307" t="s">
        <v>492</v>
      </c>
      <c r="R310" s="299" t="s">
        <v>149</v>
      </c>
      <c r="S310" s="300"/>
    </row>
    <row r="311" spans="1:19">
      <c r="A311" s="167">
        <v>690</v>
      </c>
      <c r="B311" s="428"/>
      <c r="F311" s="391">
        <v>170.78</v>
      </c>
      <c r="H311" s="244"/>
      <c r="I311" s="449">
        <v>-1.55</v>
      </c>
      <c r="J311" s="462">
        <v>-1.5490806770324701</v>
      </c>
      <c r="K311" s="491">
        <f t="shared" si="5"/>
        <v>16.104265734633262</v>
      </c>
      <c r="L311" s="295" t="s">
        <v>689</v>
      </c>
      <c r="M311" s="296" t="s">
        <v>85</v>
      </c>
      <c r="N311" s="297" t="s">
        <v>192</v>
      </c>
      <c r="O311" s="298" t="s">
        <v>118</v>
      </c>
      <c r="P311" s="314" t="s">
        <v>91</v>
      </c>
      <c r="Q311" s="307" t="s">
        <v>492</v>
      </c>
      <c r="R311" s="299" t="s">
        <v>149</v>
      </c>
      <c r="S311" s="300"/>
    </row>
    <row r="312" spans="1:19">
      <c r="A312" s="167">
        <v>690</v>
      </c>
      <c r="B312" s="428"/>
      <c r="F312" s="391">
        <v>170.78</v>
      </c>
      <c r="H312" s="244"/>
      <c r="I312" s="449">
        <v>-1.51</v>
      </c>
      <c r="J312" s="462">
        <v>-1.5490806770324701</v>
      </c>
      <c r="K312" s="491">
        <f t="shared" si="5"/>
        <v>15.918803115507899</v>
      </c>
      <c r="L312" s="295" t="s">
        <v>689</v>
      </c>
      <c r="M312" s="296" t="s">
        <v>85</v>
      </c>
      <c r="N312" s="297" t="s">
        <v>192</v>
      </c>
      <c r="O312" s="298" t="s">
        <v>118</v>
      </c>
      <c r="P312" s="314" t="s">
        <v>91</v>
      </c>
      <c r="Q312" s="307" t="s">
        <v>492</v>
      </c>
      <c r="R312" s="299" t="s">
        <v>149</v>
      </c>
      <c r="S312" s="300"/>
    </row>
    <row r="313" spans="1:19">
      <c r="A313" s="167">
        <v>690</v>
      </c>
      <c r="B313" s="428"/>
      <c r="F313" s="391">
        <v>170.78</v>
      </c>
      <c r="H313" s="244"/>
      <c r="I313" s="449">
        <v>-1.58</v>
      </c>
      <c r="J313" s="462">
        <v>-1.5490806770324701</v>
      </c>
      <c r="K313" s="491">
        <f t="shared" si="5"/>
        <v>16.243551698977292</v>
      </c>
      <c r="L313" s="295" t="s">
        <v>689</v>
      </c>
      <c r="M313" s="296" t="s">
        <v>85</v>
      </c>
      <c r="N313" s="297" t="s">
        <v>192</v>
      </c>
      <c r="O313" s="298" t="s">
        <v>118</v>
      </c>
      <c r="P313" s="314" t="s">
        <v>91</v>
      </c>
      <c r="Q313" s="307" t="s">
        <v>492</v>
      </c>
      <c r="R313" s="299" t="s">
        <v>149</v>
      </c>
      <c r="S313" s="300"/>
    </row>
    <row r="314" spans="1:19">
      <c r="A314" s="167">
        <v>690</v>
      </c>
      <c r="B314" s="428"/>
      <c r="F314" s="391">
        <v>170.78</v>
      </c>
      <c r="H314" s="244"/>
      <c r="I314" s="449">
        <v>-0.08</v>
      </c>
      <c r="J314" s="462">
        <v>-1.5490806770324701</v>
      </c>
      <c r="K314" s="491">
        <f t="shared" si="5"/>
        <v>9.4777034817760573</v>
      </c>
      <c r="L314" s="295" t="s">
        <v>689</v>
      </c>
      <c r="M314" s="296" t="s">
        <v>85</v>
      </c>
      <c r="N314" s="297" t="s">
        <v>192</v>
      </c>
      <c r="O314" s="298" t="s">
        <v>118</v>
      </c>
      <c r="P314" s="314" t="s">
        <v>91</v>
      </c>
      <c r="Q314" s="307" t="s">
        <v>492</v>
      </c>
      <c r="R314" s="299" t="s">
        <v>149</v>
      </c>
      <c r="S314" s="300"/>
    </row>
    <row r="315" spans="1:19">
      <c r="A315" s="167">
        <v>690</v>
      </c>
      <c r="B315" s="428"/>
      <c r="F315" s="391">
        <v>170.78</v>
      </c>
      <c r="H315" s="244"/>
      <c r="I315" s="449">
        <v>-0.34</v>
      </c>
      <c r="J315" s="462">
        <v>-1.5490806770324701</v>
      </c>
      <c r="K315" s="491">
        <f t="shared" si="5"/>
        <v>10.621434506090939</v>
      </c>
      <c r="L315" s="295" t="s">
        <v>689</v>
      </c>
      <c r="M315" s="296" t="s">
        <v>85</v>
      </c>
      <c r="N315" s="297" t="s">
        <v>192</v>
      </c>
      <c r="O315" s="298" t="s">
        <v>118</v>
      </c>
      <c r="P315" s="314" t="s">
        <v>91</v>
      </c>
      <c r="Q315" s="307" t="s">
        <v>492</v>
      </c>
      <c r="R315" s="299" t="s">
        <v>149</v>
      </c>
      <c r="S315" s="300"/>
    </row>
    <row r="316" spans="1:19">
      <c r="A316" s="167">
        <v>690</v>
      </c>
      <c r="B316" s="428"/>
      <c r="F316" s="391">
        <v>170.78</v>
      </c>
      <c r="H316" s="244"/>
      <c r="I316" s="449">
        <v>-0.25</v>
      </c>
      <c r="J316" s="462">
        <v>-1.5490806770324701</v>
      </c>
      <c r="K316" s="491">
        <f t="shared" si="5"/>
        <v>10.224150613058862</v>
      </c>
      <c r="L316" s="295" t="s">
        <v>689</v>
      </c>
      <c r="M316" s="296" t="s">
        <v>85</v>
      </c>
      <c r="N316" s="297" t="s">
        <v>192</v>
      </c>
      <c r="O316" s="298" t="s">
        <v>118</v>
      </c>
      <c r="P316" s="314" t="s">
        <v>91</v>
      </c>
      <c r="Q316" s="307" t="s">
        <v>492</v>
      </c>
      <c r="R316" s="299" t="s">
        <v>149</v>
      </c>
      <c r="S316" s="300"/>
    </row>
    <row r="317" spans="1:19">
      <c r="A317" s="167">
        <v>690</v>
      </c>
      <c r="B317" s="428"/>
      <c r="F317" s="391">
        <v>170.79</v>
      </c>
      <c r="H317" s="244"/>
      <c r="I317" s="449">
        <v>-0.84</v>
      </c>
      <c r="J317" s="462">
        <v>-1.5490806770324701</v>
      </c>
      <c r="K317" s="491">
        <f t="shared" si="5"/>
        <v>12.855117245158015</v>
      </c>
      <c r="L317" s="295" t="s">
        <v>689</v>
      </c>
      <c r="M317" s="296" t="s">
        <v>85</v>
      </c>
      <c r="N317" s="297" t="s">
        <v>192</v>
      </c>
      <c r="O317" s="298" t="s">
        <v>118</v>
      </c>
      <c r="P317" s="314" t="s">
        <v>91</v>
      </c>
      <c r="Q317" s="307" t="s">
        <v>492</v>
      </c>
      <c r="R317" s="299" t="s">
        <v>149</v>
      </c>
      <c r="S317" s="300"/>
    </row>
    <row r="318" spans="1:19">
      <c r="A318" s="167">
        <v>690</v>
      </c>
      <c r="B318" s="428"/>
      <c r="F318" s="391">
        <v>170.79</v>
      </c>
      <c r="H318" s="244"/>
      <c r="I318" s="449">
        <v>-0.5</v>
      </c>
      <c r="J318" s="462">
        <v>-1.5490806770324701</v>
      </c>
      <c r="K318" s="491">
        <f t="shared" si="5"/>
        <v>11.331316982592401</v>
      </c>
      <c r="L318" s="295" t="s">
        <v>689</v>
      </c>
      <c r="M318" s="296" t="s">
        <v>85</v>
      </c>
      <c r="N318" s="297" t="s">
        <v>192</v>
      </c>
      <c r="O318" s="298" t="s">
        <v>118</v>
      </c>
      <c r="P318" s="314" t="s">
        <v>91</v>
      </c>
      <c r="Q318" s="307" t="s">
        <v>492</v>
      </c>
      <c r="R318" s="299" t="s">
        <v>149</v>
      </c>
      <c r="S318" s="300"/>
    </row>
    <row r="319" spans="1:19">
      <c r="A319" s="167">
        <v>690</v>
      </c>
      <c r="B319" s="428"/>
      <c r="F319" s="657">
        <v>170.8</v>
      </c>
      <c r="G319" s="156" t="s">
        <v>196</v>
      </c>
      <c r="H319" s="244"/>
      <c r="I319" s="449">
        <v>-0.66</v>
      </c>
      <c r="J319" s="462">
        <v>-1.5490806770324701</v>
      </c>
      <c r="K319" s="494">
        <f t="shared" si="5"/>
        <v>12.045807459093865</v>
      </c>
      <c r="L319" s="295" t="s">
        <v>689</v>
      </c>
      <c r="M319" s="296" t="s">
        <v>85</v>
      </c>
      <c r="N319" s="297" t="s">
        <v>192</v>
      </c>
      <c r="O319" s="298" t="s">
        <v>118</v>
      </c>
      <c r="P319" s="314" t="s">
        <v>91</v>
      </c>
      <c r="Q319" s="307" t="s">
        <v>492</v>
      </c>
      <c r="R319" s="299" t="s">
        <v>149</v>
      </c>
      <c r="S319" s="380" t="s">
        <v>711</v>
      </c>
    </row>
    <row r="320" spans="1:19">
      <c r="A320" s="167">
        <v>690</v>
      </c>
      <c r="B320" s="428"/>
      <c r="F320" s="657">
        <v>170.8</v>
      </c>
      <c r="G320" s="156" t="s">
        <v>196</v>
      </c>
      <c r="H320" s="244"/>
      <c r="I320" s="449">
        <v>-0.31</v>
      </c>
      <c r="J320" s="462">
        <v>-1.5490806770324701</v>
      </c>
      <c r="K320" s="494">
        <f t="shared" si="5"/>
        <v>10.488844541746912</v>
      </c>
      <c r="L320" s="295" t="s">
        <v>689</v>
      </c>
      <c r="M320" s="296" t="s">
        <v>85</v>
      </c>
      <c r="N320" s="297" t="s">
        <v>192</v>
      </c>
      <c r="O320" s="298" t="s">
        <v>118</v>
      </c>
      <c r="P320" s="314" t="s">
        <v>91</v>
      </c>
      <c r="Q320" s="307" t="s">
        <v>492</v>
      </c>
      <c r="R320" s="299" t="s">
        <v>149</v>
      </c>
      <c r="S320" s="380" t="s">
        <v>711</v>
      </c>
    </row>
    <row r="321" spans="1:19">
      <c r="A321" s="167">
        <v>690</v>
      </c>
      <c r="B321" s="428"/>
      <c r="F321" s="657">
        <v>170.8</v>
      </c>
      <c r="G321" s="156" t="s">
        <v>196</v>
      </c>
      <c r="H321" s="244"/>
      <c r="I321" s="449">
        <v>-0.2</v>
      </c>
      <c r="J321" s="462">
        <v>-1.5490806770324701</v>
      </c>
      <c r="K321" s="494">
        <f t="shared" si="5"/>
        <v>10.004067339152154</v>
      </c>
      <c r="L321" s="295" t="s">
        <v>689</v>
      </c>
      <c r="M321" s="296" t="s">
        <v>85</v>
      </c>
      <c r="N321" s="297" t="s">
        <v>192</v>
      </c>
      <c r="O321" s="298" t="s">
        <v>118</v>
      </c>
      <c r="P321" s="314" t="s">
        <v>91</v>
      </c>
      <c r="Q321" s="307" t="s">
        <v>492</v>
      </c>
      <c r="R321" s="299" t="s">
        <v>149</v>
      </c>
      <c r="S321" s="380" t="s">
        <v>711</v>
      </c>
    </row>
    <row r="322" spans="1:19">
      <c r="A322" s="167">
        <v>690</v>
      </c>
      <c r="B322" s="428"/>
      <c r="F322" s="657">
        <v>170.8</v>
      </c>
      <c r="G322" s="156" t="s">
        <v>196</v>
      </c>
      <c r="H322" s="244"/>
      <c r="I322" s="449">
        <v>-0.21</v>
      </c>
      <c r="J322" s="462">
        <v>-1.5490806770324701</v>
      </c>
      <c r="K322" s="494">
        <f t="shared" si="5"/>
        <v>10.048047993933496</v>
      </c>
      <c r="L322" s="295" t="s">
        <v>689</v>
      </c>
      <c r="M322" s="296" t="s">
        <v>85</v>
      </c>
      <c r="N322" s="297" t="s">
        <v>192</v>
      </c>
      <c r="O322" s="298" t="s">
        <v>118</v>
      </c>
      <c r="P322" s="314" t="s">
        <v>91</v>
      </c>
      <c r="Q322" s="307" t="s">
        <v>492</v>
      </c>
      <c r="R322" s="299" t="s">
        <v>149</v>
      </c>
      <c r="S322" s="380" t="s">
        <v>711</v>
      </c>
    </row>
    <row r="323" spans="1:19">
      <c r="A323" s="167">
        <v>690</v>
      </c>
      <c r="B323" s="428"/>
      <c r="F323" s="657">
        <v>170.81</v>
      </c>
      <c r="G323" s="156" t="s">
        <v>196</v>
      </c>
      <c r="H323" s="244"/>
      <c r="I323" s="449">
        <v>-0.12</v>
      </c>
      <c r="J323" s="462">
        <v>-1.5490806770324701</v>
      </c>
      <c r="K323" s="494">
        <f t="shared" si="5"/>
        <v>9.6528701009014242</v>
      </c>
      <c r="L323" s="295" t="s">
        <v>689</v>
      </c>
      <c r="M323" s="296" t="s">
        <v>85</v>
      </c>
      <c r="N323" s="297" t="s">
        <v>192</v>
      </c>
      <c r="O323" s="298" t="s">
        <v>118</v>
      </c>
      <c r="P323" s="314" t="s">
        <v>91</v>
      </c>
      <c r="Q323" s="307" t="s">
        <v>492</v>
      </c>
      <c r="R323" s="299" t="s">
        <v>149</v>
      </c>
      <c r="S323" s="380" t="s">
        <v>711</v>
      </c>
    </row>
    <row r="324" spans="1:19">
      <c r="A324" s="167">
        <v>690</v>
      </c>
      <c r="B324" s="428"/>
      <c r="F324" s="657">
        <v>170.81</v>
      </c>
      <c r="G324" s="156" t="s">
        <v>196</v>
      </c>
      <c r="H324" s="244"/>
      <c r="I324" s="449">
        <v>-0.4</v>
      </c>
      <c r="J324" s="462">
        <v>-1.5490806770324701</v>
      </c>
      <c r="K324" s="494">
        <f t="shared" si="5"/>
        <v>10.887100434778986</v>
      </c>
      <c r="L324" s="295" t="s">
        <v>689</v>
      </c>
      <c r="M324" s="296" t="s">
        <v>85</v>
      </c>
      <c r="N324" s="297" t="s">
        <v>192</v>
      </c>
      <c r="O324" s="298" t="s">
        <v>118</v>
      </c>
      <c r="P324" s="314" t="s">
        <v>91</v>
      </c>
      <c r="Q324" s="307" t="s">
        <v>492</v>
      </c>
      <c r="R324" s="299" t="s">
        <v>149</v>
      </c>
      <c r="S324" s="380" t="s">
        <v>711</v>
      </c>
    </row>
    <row r="325" spans="1:19">
      <c r="A325" s="167">
        <v>690</v>
      </c>
      <c r="B325" s="428"/>
      <c r="F325" s="657">
        <v>170.81</v>
      </c>
      <c r="G325" s="156" t="s">
        <v>196</v>
      </c>
      <c r="H325" s="244"/>
      <c r="I325" s="449">
        <v>-0.35</v>
      </c>
      <c r="J325" s="462">
        <v>-1.5490806770324701</v>
      </c>
      <c r="K325" s="494">
        <f t="shared" si="5"/>
        <v>10.66566716087228</v>
      </c>
      <c r="L325" s="295" t="s">
        <v>689</v>
      </c>
      <c r="M325" s="296" t="s">
        <v>85</v>
      </c>
      <c r="N325" s="297" t="s">
        <v>192</v>
      </c>
      <c r="O325" s="298" t="s">
        <v>118</v>
      </c>
      <c r="P325" s="314" t="s">
        <v>91</v>
      </c>
      <c r="Q325" s="307" t="s">
        <v>492</v>
      </c>
      <c r="R325" s="299" t="s">
        <v>149</v>
      </c>
      <c r="S325" s="380" t="s">
        <v>711</v>
      </c>
    </row>
    <row r="326" spans="1:19">
      <c r="A326" s="167">
        <v>690</v>
      </c>
      <c r="B326" s="428"/>
      <c r="F326" s="657">
        <v>170.81</v>
      </c>
      <c r="G326" s="156" t="s">
        <v>196</v>
      </c>
      <c r="H326" s="244"/>
      <c r="I326" s="449">
        <v>-0.14000000000000001</v>
      </c>
      <c r="J326" s="462">
        <v>-1.5490806770324701</v>
      </c>
      <c r="K326" s="494">
        <f t="shared" si="5"/>
        <v>9.7405614104641085</v>
      </c>
      <c r="L326" s="295" t="s">
        <v>689</v>
      </c>
      <c r="M326" s="296" t="s">
        <v>85</v>
      </c>
      <c r="N326" s="297" t="s">
        <v>192</v>
      </c>
      <c r="O326" s="298" t="s">
        <v>118</v>
      </c>
      <c r="P326" s="314" t="s">
        <v>91</v>
      </c>
      <c r="Q326" s="307" t="s">
        <v>492</v>
      </c>
      <c r="R326" s="299" t="s">
        <v>149</v>
      </c>
      <c r="S326" s="380" t="s">
        <v>711</v>
      </c>
    </row>
    <row r="327" spans="1:19">
      <c r="A327" s="167">
        <v>690</v>
      </c>
      <c r="B327" s="428"/>
      <c r="F327" s="657">
        <v>170.82</v>
      </c>
      <c r="G327" s="156" t="s">
        <v>196</v>
      </c>
      <c r="H327" s="244"/>
      <c r="I327" s="449">
        <v>0.2</v>
      </c>
      <c r="J327" s="462">
        <v>-1.5490806770324701</v>
      </c>
      <c r="K327" s="494">
        <f t="shared" si="5"/>
        <v>8.2596011478984934</v>
      </c>
      <c r="L327" s="295" t="s">
        <v>689</v>
      </c>
      <c r="M327" s="296" t="s">
        <v>85</v>
      </c>
      <c r="N327" s="297" t="s">
        <v>192</v>
      </c>
      <c r="O327" s="298" t="s">
        <v>118</v>
      </c>
      <c r="P327" s="314" t="s">
        <v>91</v>
      </c>
      <c r="Q327" s="307" t="s">
        <v>492</v>
      </c>
      <c r="R327" s="299" t="s">
        <v>149</v>
      </c>
      <c r="S327" s="380" t="s">
        <v>711</v>
      </c>
    </row>
    <row r="328" spans="1:19">
      <c r="A328" s="167">
        <v>690</v>
      </c>
      <c r="B328" s="428"/>
      <c r="F328" s="657">
        <v>170.82</v>
      </c>
      <c r="G328" s="156" t="s">
        <v>196</v>
      </c>
      <c r="H328" s="244"/>
      <c r="I328" s="449">
        <v>-0.06</v>
      </c>
      <c r="J328" s="462">
        <v>-1.5490806770324701</v>
      </c>
      <c r="K328" s="494">
        <f t="shared" si="5"/>
        <v>9.3902281722133729</v>
      </c>
      <c r="L328" s="295" t="s">
        <v>689</v>
      </c>
      <c r="M328" s="296" t="s">
        <v>85</v>
      </c>
      <c r="N328" s="297" t="s">
        <v>192</v>
      </c>
      <c r="O328" s="298" t="s">
        <v>118</v>
      </c>
      <c r="P328" s="314" t="s">
        <v>91</v>
      </c>
      <c r="Q328" s="307" t="s">
        <v>492</v>
      </c>
      <c r="R328" s="299" t="s">
        <v>149</v>
      </c>
      <c r="S328" s="380" t="s">
        <v>711</v>
      </c>
    </row>
    <row r="329" spans="1:19">
      <c r="A329" s="167">
        <v>690</v>
      </c>
      <c r="B329" s="428"/>
      <c r="F329" s="657">
        <v>170.83</v>
      </c>
      <c r="G329" s="156" t="s">
        <v>196</v>
      </c>
      <c r="H329" s="244"/>
      <c r="I329" s="449">
        <v>0.12</v>
      </c>
      <c r="J329" s="462">
        <v>-1.5490806770324701</v>
      </c>
      <c r="K329" s="494">
        <f t="shared" si="5"/>
        <v>8.6061903861492262</v>
      </c>
      <c r="L329" s="295" t="s">
        <v>689</v>
      </c>
      <c r="M329" s="296" t="s">
        <v>85</v>
      </c>
      <c r="N329" s="297" t="s">
        <v>192</v>
      </c>
      <c r="O329" s="298" t="s">
        <v>118</v>
      </c>
      <c r="P329" s="314" t="s">
        <v>91</v>
      </c>
      <c r="Q329" s="307" t="s">
        <v>492</v>
      </c>
      <c r="R329" s="299" t="s">
        <v>149</v>
      </c>
      <c r="S329" s="380" t="s">
        <v>711</v>
      </c>
    </row>
    <row r="330" spans="1:19">
      <c r="A330" s="167">
        <v>690</v>
      </c>
      <c r="B330" s="428"/>
      <c r="F330" s="657">
        <v>170.86</v>
      </c>
      <c r="G330" s="156" t="s">
        <v>196</v>
      </c>
      <c r="H330" s="244"/>
      <c r="I330" s="449">
        <v>7.0000000000000007E-2</v>
      </c>
      <c r="J330" s="462">
        <v>-1.5490806770324701</v>
      </c>
      <c r="K330" s="494">
        <f t="shared" si="5"/>
        <v>8.8233936600559328</v>
      </c>
      <c r="L330" s="295" t="s">
        <v>689</v>
      </c>
      <c r="M330" s="296" t="s">
        <v>85</v>
      </c>
      <c r="N330" s="297" t="s">
        <v>192</v>
      </c>
      <c r="O330" s="298" t="s">
        <v>118</v>
      </c>
      <c r="P330" s="314" t="s">
        <v>91</v>
      </c>
      <c r="Q330" s="307" t="s">
        <v>492</v>
      </c>
      <c r="R330" s="299" t="s">
        <v>149</v>
      </c>
      <c r="S330" s="380" t="s">
        <v>711</v>
      </c>
    </row>
    <row r="331" spans="1:19">
      <c r="A331" s="167">
        <v>690</v>
      </c>
      <c r="B331" s="428"/>
      <c r="F331" s="657">
        <v>170.86</v>
      </c>
      <c r="G331" s="156" t="s">
        <v>196</v>
      </c>
      <c r="H331" s="244"/>
      <c r="I331" s="449">
        <v>0.39</v>
      </c>
      <c r="J331" s="462">
        <v>-1.5490806770324701</v>
      </c>
      <c r="K331" s="494">
        <f t="shared" ref="K331:K393" si="6">16.1-4.64*($I331-J331)+0.09*($I331-J331)^2</f>
        <v>7.4410687070530024</v>
      </c>
      <c r="L331" s="295" t="s">
        <v>689</v>
      </c>
      <c r="M331" s="296" t="s">
        <v>85</v>
      </c>
      <c r="N331" s="297" t="s">
        <v>192</v>
      </c>
      <c r="O331" s="298" t="s">
        <v>118</v>
      </c>
      <c r="P331" s="314" t="s">
        <v>91</v>
      </c>
      <c r="Q331" s="307" t="s">
        <v>492</v>
      </c>
      <c r="R331" s="299" t="s">
        <v>149</v>
      </c>
      <c r="S331" s="380" t="s">
        <v>711</v>
      </c>
    </row>
    <row r="332" spans="1:19">
      <c r="A332" s="167">
        <v>690</v>
      </c>
      <c r="B332" s="428"/>
      <c r="F332" s="657">
        <v>170.86</v>
      </c>
      <c r="G332" s="156" t="s">
        <v>196</v>
      </c>
      <c r="H332" s="244"/>
      <c r="I332" s="449">
        <v>-0.1</v>
      </c>
      <c r="J332" s="462">
        <v>-1.5490806770324701</v>
      </c>
      <c r="K332" s="494">
        <f t="shared" si="6"/>
        <v>9.565250791338741</v>
      </c>
      <c r="L332" s="295" t="s">
        <v>689</v>
      </c>
      <c r="M332" s="296" t="s">
        <v>85</v>
      </c>
      <c r="N332" s="297" t="s">
        <v>192</v>
      </c>
      <c r="O332" s="298" t="s">
        <v>118</v>
      </c>
      <c r="P332" s="314" t="s">
        <v>91</v>
      </c>
      <c r="Q332" s="307" t="s">
        <v>492</v>
      </c>
      <c r="R332" s="299" t="s">
        <v>149</v>
      </c>
      <c r="S332" s="380" t="s">
        <v>711</v>
      </c>
    </row>
    <row r="333" spans="1:19">
      <c r="A333" s="167">
        <v>690</v>
      </c>
      <c r="B333" s="428"/>
      <c r="F333" s="657">
        <v>170.9</v>
      </c>
      <c r="G333" s="156" t="s">
        <v>196</v>
      </c>
      <c r="H333" s="244"/>
      <c r="I333" s="449">
        <v>-7.0000000000000007E-2</v>
      </c>
      <c r="J333" s="462">
        <v>-1.5490806770324701</v>
      </c>
      <c r="K333" s="494">
        <f t="shared" si="6"/>
        <v>9.4339568269947147</v>
      </c>
      <c r="L333" s="295" t="s">
        <v>689</v>
      </c>
      <c r="M333" s="296" t="s">
        <v>85</v>
      </c>
      <c r="N333" s="297" t="s">
        <v>192</v>
      </c>
      <c r="O333" s="298" t="s">
        <v>118</v>
      </c>
      <c r="P333" s="314" t="s">
        <v>91</v>
      </c>
      <c r="Q333" s="307" t="s">
        <v>492</v>
      </c>
      <c r="R333" s="299" t="s">
        <v>149</v>
      </c>
      <c r="S333" s="380" t="s">
        <v>711</v>
      </c>
    </row>
    <row r="334" spans="1:19">
      <c r="A334" s="167">
        <v>690</v>
      </c>
      <c r="B334" s="428"/>
      <c r="F334" s="657">
        <v>170.91</v>
      </c>
      <c r="G334" s="156" t="s">
        <v>196</v>
      </c>
      <c r="H334" s="244"/>
      <c r="I334" s="449">
        <v>0</v>
      </c>
      <c r="J334" s="462">
        <v>-1.5490806770324701</v>
      </c>
      <c r="K334" s="494">
        <f t="shared" si="6"/>
        <v>9.1282342435253252</v>
      </c>
      <c r="L334" s="295" t="s">
        <v>689</v>
      </c>
      <c r="M334" s="296" t="s">
        <v>85</v>
      </c>
      <c r="N334" s="297" t="s">
        <v>192</v>
      </c>
      <c r="O334" s="298" t="s">
        <v>118</v>
      </c>
      <c r="P334" s="314" t="s">
        <v>91</v>
      </c>
      <c r="Q334" s="307" t="s">
        <v>492</v>
      </c>
      <c r="R334" s="299" t="s">
        <v>149</v>
      </c>
      <c r="S334" s="380" t="s">
        <v>711</v>
      </c>
    </row>
    <row r="335" spans="1:19">
      <c r="A335" s="167">
        <v>690</v>
      </c>
      <c r="B335" s="428"/>
      <c r="F335" s="657">
        <v>170.91</v>
      </c>
      <c r="G335" s="156" t="s">
        <v>196</v>
      </c>
      <c r="H335" s="244"/>
      <c r="I335" s="449">
        <v>-0.52</v>
      </c>
      <c r="J335" s="462">
        <v>-1.5490806770324701</v>
      </c>
      <c r="K335" s="494">
        <f t="shared" si="6"/>
        <v>11.420376292155085</v>
      </c>
      <c r="L335" s="295" t="s">
        <v>689</v>
      </c>
      <c r="M335" s="296" t="s">
        <v>85</v>
      </c>
      <c r="N335" s="297" t="s">
        <v>192</v>
      </c>
      <c r="O335" s="298" t="s">
        <v>118</v>
      </c>
      <c r="P335" s="314" t="s">
        <v>91</v>
      </c>
      <c r="Q335" s="307" t="s">
        <v>492</v>
      </c>
      <c r="R335" s="299" t="s">
        <v>149</v>
      </c>
      <c r="S335" s="380" t="s">
        <v>711</v>
      </c>
    </row>
    <row r="336" spans="1:19">
      <c r="A336" s="167">
        <v>690</v>
      </c>
      <c r="B336" s="428"/>
      <c r="F336" s="657">
        <v>170.91</v>
      </c>
      <c r="G336" s="156" t="s">
        <v>196</v>
      </c>
      <c r="H336" s="244"/>
      <c r="I336" s="449">
        <v>-0.35</v>
      </c>
      <c r="J336" s="462">
        <v>-1.5490806770324701</v>
      </c>
      <c r="K336" s="494">
        <f t="shared" si="6"/>
        <v>10.66566716087228</v>
      </c>
      <c r="L336" s="295" t="s">
        <v>689</v>
      </c>
      <c r="M336" s="296" t="s">
        <v>85</v>
      </c>
      <c r="N336" s="297" t="s">
        <v>192</v>
      </c>
      <c r="O336" s="298" t="s">
        <v>118</v>
      </c>
      <c r="P336" s="314" t="s">
        <v>91</v>
      </c>
      <c r="Q336" s="307" t="s">
        <v>492</v>
      </c>
      <c r="R336" s="299" t="s">
        <v>149</v>
      </c>
      <c r="S336" s="380" t="s">
        <v>711</v>
      </c>
    </row>
    <row r="337" spans="1:19">
      <c r="A337" s="167">
        <v>690</v>
      </c>
      <c r="B337" s="428"/>
      <c r="F337" s="657">
        <v>170.91</v>
      </c>
      <c r="G337" s="156" t="s">
        <v>196</v>
      </c>
      <c r="H337" s="244"/>
      <c r="I337" s="449">
        <v>-0.04</v>
      </c>
      <c r="J337" s="462">
        <v>-1.5490806770324701</v>
      </c>
      <c r="K337" s="494">
        <f t="shared" si="6"/>
        <v>9.3028248626506898</v>
      </c>
      <c r="L337" s="295" t="s">
        <v>689</v>
      </c>
      <c r="M337" s="296" t="s">
        <v>85</v>
      </c>
      <c r="N337" s="297" t="s">
        <v>192</v>
      </c>
      <c r="O337" s="298" t="s">
        <v>118</v>
      </c>
      <c r="P337" s="314" t="s">
        <v>91</v>
      </c>
      <c r="Q337" s="307" t="s">
        <v>492</v>
      </c>
      <c r="R337" s="299" t="s">
        <v>149</v>
      </c>
      <c r="S337" s="380" t="s">
        <v>711</v>
      </c>
    </row>
    <row r="338" spans="1:19">
      <c r="A338" s="167">
        <v>690</v>
      </c>
      <c r="B338" s="428"/>
      <c r="F338" s="657">
        <v>170.91</v>
      </c>
      <c r="G338" s="156" t="s">
        <v>196</v>
      </c>
      <c r="H338" s="244"/>
      <c r="I338" s="449">
        <v>-0.34</v>
      </c>
      <c r="J338" s="462">
        <v>-1.5490806770324701</v>
      </c>
      <c r="K338" s="494">
        <f t="shared" si="6"/>
        <v>10.621434506090939</v>
      </c>
      <c r="L338" s="295" t="s">
        <v>689</v>
      </c>
      <c r="M338" s="296" t="s">
        <v>85</v>
      </c>
      <c r="N338" s="297" t="s">
        <v>192</v>
      </c>
      <c r="O338" s="298" t="s">
        <v>118</v>
      </c>
      <c r="P338" s="314" t="s">
        <v>91</v>
      </c>
      <c r="Q338" s="307" t="s">
        <v>492</v>
      </c>
      <c r="R338" s="299" t="s">
        <v>149</v>
      </c>
      <c r="S338" s="380" t="s">
        <v>711</v>
      </c>
    </row>
    <row r="339" spans="1:19">
      <c r="A339" s="167">
        <v>690</v>
      </c>
      <c r="B339" s="428"/>
      <c r="F339" s="657">
        <v>170.94</v>
      </c>
      <c r="G339" s="156" t="s">
        <v>196</v>
      </c>
      <c r="H339" s="244"/>
      <c r="I339" s="449">
        <v>-0.14000000000000001</v>
      </c>
      <c r="J339" s="462">
        <v>-1.5490806770324701</v>
      </c>
      <c r="K339" s="494">
        <f t="shared" si="6"/>
        <v>9.7405614104641085</v>
      </c>
      <c r="L339" s="295" t="s">
        <v>689</v>
      </c>
      <c r="M339" s="296" t="s">
        <v>85</v>
      </c>
      <c r="N339" s="297" t="s">
        <v>192</v>
      </c>
      <c r="O339" s="298" t="s">
        <v>118</v>
      </c>
      <c r="P339" s="314" t="s">
        <v>91</v>
      </c>
      <c r="Q339" s="307" t="s">
        <v>492</v>
      </c>
      <c r="R339" s="299" t="s">
        <v>149</v>
      </c>
      <c r="S339" s="380" t="s">
        <v>711</v>
      </c>
    </row>
    <row r="340" spans="1:19">
      <c r="A340" s="167">
        <v>690</v>
      </c>
      <c r="B340" s="428"/>
      <c r="F340" s="657">
        <v>170.94</v>
      </c>
      <c r="G340" s="156" t="s">
        <v>196</v>
      </c>
      <c r="H340" s="244"/>
      <c r="I340" s="449">
        <v>-0.16</v>
      </c>
      <c r="J340" s="462">
        <v>-1.5490806770324701</v>
      </c>
      <c r="K340" s="494">
        <f t="shared" si="6"/>
        <v>9.8283247200267887</v>
      </c>
      <c r="L340" s="295" t="s">
        <v>689</v>
      </c>
      <c r="M340" s="296" t="s">
        <v>85</v>
      </c>
      <c r="N340" s="297" t="s">
        <v>192</v>
      </c>
      <c r="O340" s="298" t="s">
        <v>118</v>
      </c>
      <c r="P340" s="314" t="s">
        <v>91</v>
      </c>
      <c r="Q340" s="307" t="s">
        <v>492</v>
      </c>
      <c r="R340" s="299" t="s">
        <v>149</v>
      </c>
      <c r="S340" s="380" t="s">
        <v>711</v>
      </c>
    </row>
    <row r="341" spans="1:19">
      <c r="A341" s="167">
        <v>690</v>
      </c>
      <c r="B341" s="428"/>
      <c r="F341" s="657">
        <v>170.94</v>
      </c>
      <c r="G341" s="156" t="s">
        <v>196</v>
      </c>
      <c r="H341" s="244"/>
      <c r="I341" s="449">
        <v>-0.45</v>
      </c>
      <c r="J341" s="462">
        <v>-1.5490806770324701</v>
      </c>
      <c r="K341" s="494">
        <f t="shared" si="6"/>
        <v>11.108983708685694</v>
      </c>
      <c r="L341" s="295" t="s">
        <v>689</v>
      </c>
      <c r="M341" s="296" t="s">
        <v>85</v>
      </c>
      <c r="N341" s="297" t="s">
        <v>192</v>
      </c>
      <c r="O341" s="298" t="s">
        <v>118</v>
      </c>
      <c r="P341" s="314" t="s">
        <v>91</v>
      </c>
      <c r="Q341" s="307" t="s">
        <v>492</v>
      </c>
      <c r="R341" s="299" t="s">
        <v>149</v>
      </c>
      <c r="S341" s="380" t="s">
        <v>711</v>
      </c>
    </row>
    <row r="342" spans="1:19">
      <c r="A342" s="167">
        <v>690</v>
      </c>
      <c r="B342" s="428"/>
      <c r="F342" s="657">
        <v>170.94</v>
      </c>
      <c r="G342" s="156" t="s">
        <v>196</v>
      </c>
      <c r="H342" s="244"/>
      <c r="I342" s="449">
        <v>-0.28000000000000003</v>
      </c>
      <c r="J342" s="462">
        <v>-1.5490806770324701</v>
      </c>
      <c r="K342" s="494">
        <f t="shared" si="6"/>
        <v>10.356416577402889</v>
      </c>
      <c r="L342" s="295" t="s">
        <v>689</v>
      </c>
      <c r="M342" s="296" t="s">
        <v>85</v>
      </c>
      <c r="N342" s="297" t="s">
        <v>192</v>
      </c>
      <c r="O342" s="298" t="s">
        <v>118</v>
      </c>
      <c r="P342" s="314" t="s">
        <v>91</v>
      </c>
      <c r="Q342" s="307" t="s">
        <v>492</v>
      </c>
      <c r="R342" s="299" t="s">
        <v>149</v>
      </c>
      <c r="S342" s="380" t="s">
        <v>711</v>
      </c>
    </row>
    <row r="343" spans="1:19">
      <c r="A343" s="167">
        <v>690</v>
      </c>
      <c r="B343" s="428"/>
      <c r="F343" s="657">
        <v>170.96</v>
      </c>
      <c r="G343" s="156" t="s">
        <v>196</v>
      </c>
      <c r="H343" s="244"/>
      <c r="I343" s="449">
        <v>-0.23</v>
      </c>
      <c r="J343" s="462">
        <v>-1.5490806770324701</v>
      </c>
      <c r="K343" s="494">
        <f t="shared" si="6"/>
        <v>10.136063303496179</v>
      </c>
      <c r="L343" s="295" t="s">
        <v>689</v>
      </c>
      <c r="M343" s="296" t="s">
        <v>85</v>
      </c>
      <c r="N343" s="297" t="s">
        <v>192</v>
      </c>
      <c r="O343" s="298" t="s">
        <v>118</v>
      </c>
      <c r="P343" s="314" t="s">
        <v>91</v>
      </c>
      <c r="Q343" s="307" t="s">
        <v>492</v>
      </c>
      <c r="R343" s="299" t="s">
        <v>149</v>
      </c>
      <c r="S343" s="380" t="s">
        <v>711</v>
      </c>
    </row>
    <row r="344" spans="1:19">
      <c r="A344" s="167">
        <v>690</v>
      </c>
      <c r="B344" s="428"/>
      <c r="F344" s="657">
        <v>170.96</v>
      </c>
      <c r="G344" s="156" t="s">
        <v>196</v>
      </c>
      <c r="H344" s="244"/>
      <c r="I344" s="449">
        <v>-0.19</v>
      </c>
      <c r="J344" s="462">
        <v>-1.5490806770324701</v>
      </c>
      <c r="K344" s="494">
        <f t="shared" si="6"/>
        <v>9.9601046843708154</v>
      </c>
      <c r="L344" s="295" t="s">
        <v>689</v>
      </c>
      <c r="M344" s="296" t="s">
        <v>85</v>
      </c>
      <c r="N344" s="297" t="s">
        <v>192</v>
      </c>
      <c r="O344" s="298" t="s">
        <v>118</v>
      </c>
      <c r="P344" s="314" t="s">
        <v>91</v>
      </c>
      <c r="Q344" s="307" t="s">
        <v>492</v>
      </c>
      <c r="R344" s="299" t="s">
        <v>149</v>
      </c>
      <c r="S344" s="380" t="s">
        <v>711</v>
      </c>
    </row>
    <row r="345" spans="1:19">
      <c r="A345" s="167">
        <v>690</v>
      </c>
      <c r="B345" s="428"/>
      <c r="F345" s="657">
        <v>170.96</v>
      </c>
      <c r="G345" s="156" t="s">
        <v>196</v>
      </c>
      <c r="H345" s="244"/>
      <c r="I345" s="449">
        <v>0.23</v>
      </c>
      <c r="J345" s="462">
        <v>-1.5490806770324701</v>
      </c>
      <c r="K345" s="494">
        <f t="shared" si="6"/>
        <v>8.1299271835544697</v>
      </c>
      <c r="L345" s="295" t="s">
        <v>689</v>
      </c>
      <c r="M345" s="296" t="s">
        <v>85</v>
      </c>
      <c r="N345" s="297" t="s">
        <v>192</v>
      </c>
      <c r="O345" s="298" t="s">
        <v>118</v>
      </c>
      <c r="P345" s="314" t="s">
        <v>91</v>
      </c>
      <c r="Q345" s="307" t="s">
        <v>492</v>
      </c>
      <c r="R345" s="299" t="s">
        <v>149</v>
      </c>
      <c r="S345" s="380" t="s">
        <v>711</v>
      </c>
    </row>
    <row r="346" spans="1:19">
      <c r="A346" s="167">
        <v>690</v>
      </c>
      <c r="B346" s="428"/>
      <c r="F346" s="657">
        <v>170.99</v>
      </c>
      <c r="G346" s="156" t="s">
        <v>196</v>
      </c>
      <c r="H346" s="244"/>
      <c r="I346" s="449">
        <v>-0.12</v>
      </c>
      <c r="J346" s="462">
        <v>-1.5490806770324701</v>
      </c>
      <c r="K346" s="494">
        <f t="shared" si="6"/>
        <v>9.6528701009014242</v>
      </c>
      <c r="L346" s="295" t="s">
        <v>689</v>
      </c>
      <c r="M346" s="296" t="s">
        <v>85</v>
      </c>
      <c r="N346" s="297" t="s">
        <v>192</v>
      </c>
      <c r="O346" s="298" t="s">
        <v>118</v>
      </c>
      <c r="P346" s="314" t="s">
        <v>91</v>
      </c>
      <c r="Q346" s="307" t="s">
        <v>492</v>
      </c>
      <c r="R346" s="299" t="s">
        <v>149</v>
      </c>
      <c r="S346" s="380" t="s">
        <v>711</v>
      </c>
    </row>
    <row r="347" spans="1:19">
      <c r="A347" s="167">
        <v>690</v>
      </c>
      <c r="B347" s="428"/>
      <c r="F347" s="657">
        <v>170.99</v>
      </c>
      <c r="G347" s="156" t="s">
        <v>196</v>
      </c>
      <c r="H347" s="244"/>
      <c r="I347" s="449">
        <v>-0.28999999999999998</v>
      </c>
      <c r="J347" s="462">
        <v>-1.5490806770324701</v>
      </c>
      <c r="K347" s="494">
        <f t="shared" si="6"/>
        <v>10.40054123218423</v>
      </c>
      <c r="L347" s="295" t="s">
        <v>689</v>
      </c>
      <c r="M347" s="296" t="s">
        <v>85</v>
      </c>
      <c r="N347" s="297" t="s">
        <v>192</v>
      </c>
      <c r="O347" s="298" t="s">
        <v>118</v>
      </c>
      <c r="P347" s="314" t="s">
        <v>91</v>
      </c>
      <c r="Q347" s="307" t="s">
        <v>492</v>
      </c>
      <c r="R347" s="299" t="s">
        <v>149</v>
      </c>
      <c r="S347" s="380" t="s">
        <v>711</v>
      </c>
    </row>
    <row r="348" spans="1:19">
      <c r="A348" s="167">
        <v>690</v>
      </c>
      <c r="B348" s="428"/>
      <c r="F348" s="657">
        <v>170.99</v>
      </c>
      <c r="G348" s="156" t="s">
        <v>196</v>
      </c>
      <c r="H348" s="244"/>
      <c r="I348" s="449">
        <v>-0.24</v>
      </c>
      <c r="J348" s="462">
        <v>-1.5490806770324701</v>
      </c>
      <c r="K348" s="494">
        <f t="shared" si="6"/>
        <v>10.180097958277521</v>
      </c>
      <c r="L348" s="295" t="s">
        <v>689</v>
      </c>
      <c r="M348" s="296" t="s">
        <v>85</v>
      </c>
      <c r="N348" s="297" t="s">
        <v>192</v>
      </c>
      <c r="O348" s="298" t="s">
        <v>118</v>
      </c>
      <c r="P348" s="314" t="s">
        <v>91</v>
      </c>
      <c r="Q348" s="307" t="s">
        <v>492</v>
      </c>
      <c r="R348" s="299" t="s">
        <v>149</v>
      </c>
      <c r="S348" s="380" t="s">
        <v>711</v>
      </c>
    </row>
    <row r="349" spans="1:19">
      <c r="A349" s="167">
        <v>690</v>
      </c>
      <c r="B349" s="428"/>
      <c r="F349" s="657">
        <v>170.99</v>
      </c>
      <c r="G349" s="156" t="s">
        <v>196</v>
      </c>
      <c r="H349" s="244"/>
      <c r="I349" s="449">
        <v>-0.21</v>
      </c>
      <c r="J349" s="462">
        <v>-1.5490806770324701</v>
      </c>
      <c r="K349" s="494">
        <f t="shared" si="6"/>
        <v>10.048047993933496</v>
      </c>
      <c r="L349" s="295" t="s">
        <v>689</v>
      </c>
      <c r="M349" s="296" t="s">
        <v>85</v>
      </c>
      <c r="N349" s="297" t="s">
        <v>192</v>
      </c>
      <c r="O349" s="298" t="s">
        <v>118</v>
      </c>
      <c r="P349" s="314" t="s">
        <v>91</v>
      </c>
      <c r="Q349" s="307" t="s">
        <v>492</v>
      </c>
      <c r="R349" s="299" t="s">
        <v>149</v>
      </c>
      <c r="S349" s="380" t="s">
        <v>711</v>
      </c>
    </row>
    <row r="350" spans="1:19">
      <c r="A350" s="167">
        <v>690</v>
      </c>
      <c r="B350" s="428"/>
      <c r="F350" s="657">
        <v>170.99</v>
      </c>
      <c r="G350" s="156" t="s">
        <v>196</v>
      </c>
      <c r="H350" s="244"/>
      <c r="I350" s="449">
        <v>-0.37</v>
      </c>
      <c r="J350" s="462">
        <v>-1.5490806770324701</v>
      </c>
      <c r="K350" s="494">
        <f t="shared" si="6"/>
        <v>10.754186470434963</v>
      </c>
      <c r="L350" s="295" t="s">
        <v>689</v>
      </c>
      <c r="M350" s="296" t="s">
        <v>85</v>
      </c>
      <c r="N350" s="297" t="s">
        <v>192</v>
      </c>
      <c r="O350" s="298" t="s">
        <v>118</v>
      </c>
      <c r="P350" s="314" t="s">
        <v>91</v>
      </c>
      <c r="Q350" s="307" t="s">
        <v>492</v>
      </c>
      <c r="R350" s="299" t="s">
        <v>149</v>
      </c>
      <c r="S350" s="380" t="s">
        <v>711</v>
      </c>
    </row>
    <row r="351" spans="1:19">
      <c r="A351" s="167">
        <v>690</v>
      </c>
      <c r="B351" s="428"/>
      <c r="F351" s="657">
        <v>171.01</v>
      </c>
      <c r="G351" s="156" t="s">
        <v>196</v>
      </c>
      <c r="H351" s="244"/>
      <c r="I351" s="449">
        <v>-0.01</v>
      </c>
      <c r="J351" s="462">
        <v>-1.5490806770324701</v>
      </c>
      <c r="K351" s="494">
        <f t="shared" si="6"/>
        <v>9.1718548983066661</v>
      </c>
      <c r="L351" s="295" t="s">
        <v>689</v>
      </c>
      <c r="M351" s="296" t="s">
        <v>85</v>
      </c>
      <c r="N351" s="297" t="s">
        <v>192</v>
      </c>
      <c r="O351" s="298" t="s">
        <v>118</v>
      </c>
      <c r="P351" s="314" t="s">
        <v>91</v>
      </c>
      <c r="Q351" s="307" t="s">
        <v>492</v>
      </c>
      <c r="R351" s="299" t="s">
        <v>149</v>
      </c>
      <c r="S351" s="380" t="s">
        <v>711</v>
      </c>
    </row>
    <row r="352" spans="1:19">
      <c r="A352" s="167">
        <v>690</v>
      </c>
      <c r="B352" s="428"/>
      <c r="F352" s="657">
        <v>171.01</v>
      </c>
      <c r="G352" s="156" t="s">
        <v>196</v>
      </c>
      <c r="H352" s="244"/>
      <c r="I352" s="449">
        <v>-0.46</v>
      </c>
      <c r="J352" s="462">
        <v>-1.5490806770324701</v>
      </c>
      <c r="K352" s="494">
        <f t="shared" si="6"/>
        <v>11.153414363467036</v>
      </c>
      <c r="L352" s="295" t="s">
        <v>689</v>
      </c>
      <c r="M352" s="296" t="s">
        <v>85</v>
      </c>
      <c r="N352" s="297" t="s">
        <v>192</v>
      </c>
      <c r="O352" s="298" t="s">
        <v>118</v>
      </c>
      <c r="P352" s="314" t="s">
        <v>91</v>
      </c>
      <c r="Q352" s="307" t="s">
        <v>492</v>
      </c>
      <c r="R352" s="299" t="s">
        <v>149</v>
      </c>
      <c r="S352" s="380" t="s">
        <v>711</v>
      </c>
    </row>
    <row r="353" spans="1:19">
      <c r="A353" s="167">
        <v>690</v>
      </c>
      <c r="B353" s="428"/>
      <c r="F353" s="657">
        <v>171.03</v>
      </c>
      <c r="G353" s="156" t="s">
        <v>196</v>
      </c>
      <c r="H353" s="244"/>
      <c r="I353" s="449">
        <v>-0.31</v>
      </c>
      <c r="J353" s="462">
        <v>-1.5490806770324701</v>
      </c>
      <c r="K353" s="494">
        <f t="shared" si="6"/>
        <v>10.488844541746912</v>
      </c>
      <c r="L353" s="295" t="s">
        <v>689</v>
      </c>
      <c r="M353" s="296" t="s">
        <v>85</v>
      </c>
      <c r="N353" s="297" t="s">
        <v>192</v>
      </c>
      <c r="O353" s="298" t="s">
        <v>118</v>
      </c>
      <c r="P353" s="314" t="s">
        <v>91</v>
      </c>
      <c r="Q353" s="307" t="s">
        <v>492</v>
      </c>
      <c r="R353" s="299" t="s">
        <v>149</v>
      </c>
      <c r="S353" s="380" t="s">
        <v>711</v>
      </c>
    </row>
    <row r="354" spans="1:19">
      <c r="A354" s="167">
        <v>690</v>
      </c>
      <c r="B354" s="428"/>
      <c r="F354" s="228">
        <v>171.03</v>
      </c>
      <c r="G354" s="156" t="s">
        <v>196</v>
      </c>
      <c r="H354" s="244"/>
      <c r="I354" s="658">
        <v>-1.43</v>
      </c>
      <c r="J354" s="462">
        <v>-1.5490806770324701</v>
      </c>
      <c r="K354" s="494">
        <f t="shared" si="6"/>
        <v>15.548741877257166</v>
      </c>
      <c r="L354" s="295" t="s">
        <v>689</v>
      </c>
      <c r="M354" s="296" t="s">
        <v>85</v>
      </c>
      <c r="N354" s="297" t="s">
        <v>192</v>
      </c>
      <c r="O354" s="298" t="s">
        <v>118</v>
      </c>
      <c r="P354" s="314" t="s">
        <v>91</v>
      </c>
      <c r="Q354" s="307" t="s">
        <v>492</v>
      </c>
      <c r="R354" s="299" t="s">
        <v>149</v>
      </c>
      <c r="S354" s="380" t="s">
        <v>711</v>
      </c>
    </row>
    <row r="355" spans="1:19">
      <c r="A355" s="167">
        <v>690</v>
      </c>
      <c r="B355" s="428"/>
      <c r="F355" s="657">
        <v>171.05</v>
      </c>
      <c r="G355" s="156" t="s">
        <v>196</v>
      </c>
      <c r="H355" s="244"/>
      <c r="I355" s="449">
        <v>-1.53</v>
      </c>
      <c r="J355" s="462">
        <v>-1.5490806770324701</v>
      </c>
      <c r="K355" s="494">
        <f t="shared" si="6"/>
        <v>16.011498425070581</v>
      </c>
      <c r="L355" s="295" t="s">
        <v>689</v>
      </c>
      <c r="M355" s="296" t="s">
        <v>85</v>
      </c>
      <c r="N355" s="297" t="s">
        <v>192</v>
      </c>
      <c r="O355" s="298" t="s">
        <v>118</v>
      </c>
      <c r="P355" s="314" t="s">
        <v>91</v>
      </c>
      <c r="Q355" s="307" t="s">
        <v>492</v>
      </c>
      <c r="R355" s="299" t="s">
        <v>149</v>
      </c>
      <c r="S355" s="380" t="s">
        <v>711</v>
      </c>
    </row>
    <row r="356" spans="1:19">
      <c r="A356" s="167">
        <v>690</v>
      </c>
      <c r="B356" s="428"/>
      <c r="F356" s="228">
        <v>171.05</v>
      </c>
      <c r="G356" s="156" t="s">
        <v>196</v>
      </c>
      <c r="H356" s="244"/>
      <c r="I356" s="658">
        <v>-1.44</v>
      </c>
      <c r="J356" s="462">
        <v>-1.5490806770324701</v>
      </c>
      <c r="K356" s="494">
        <f t="shared" si="6"/>
        <v>15.594936532038508</v>
      </c>
      <c r="L356" s="295" t="s">
        <v>689</v>
      </c>
      <c r="M356" s="296" t="s">
        <v>85</v>
      </c>
      <c r="N356" s="297" t="s">
        <v>192</v>
      </c>
      <c r="O356" s="298" t="s">
        <v>118</v>
      </c>
      <c r="P356" s="314" t="s">
        <v>91</v>
      </c>
      <c r="Q356" s="307" t="s">
        <v>492</v>
      </c>
      <c r="R356" s="299" t="s">
        <v>149</v>
      </c>
      <c r="S356" s="380" t="s">
        <v>711</v>
      </c>
    </row>
    <row r="357" spans="1:19">
      <c r="A357" s="167">
        <v>690</v>
      </c>
      <c r="B357" s="428"/>
      <c r="F357" s="228">
        <v>171.05</v>
      </c>
      <c r="G357" s="156" t="s">
        <v>196</v>
      </c>
      <c r="H357" s="244"/>
      <c r="I357" s="658">
        <v>-1.47</v>
      </c>
      <c r="J357" s="462">
        <v>-1.5490806770324701</v>
      </c>
      <c r="K357" s="494">
        <f t="shared" si="6"/>
        <v>15.733628496382531</v>
      </c>
      <c r="L357" s="295" t="s">
        <v>689</v>
      </c>
      <c r="M357" s="296" t="s">
        <v>85</v>
      </c>
      <c r="N357" s="297" t="s">
        <v>192</v>
      </c>
      <c r="O357" s="298" t="s">
        <v>118</v>
      </c>
      <c r="P357" s="314" t="s">
        <v>91</v>
      </c>
      <c r="Q357" s="307" t="s">
        <v>492</v>
      </c>
      <c r="R357" s="299" t="s">
        <v>149</v>
      </c>
      <c r="S357" s="380" t="s">
        <v>711</v>
      </c>
    </row>
    <row r="358" spans="1:19">
      <c r="A358" s="167">
        <v>690</v>
      </c>
      <c r="B358" s="428"/>
      <c r="F358" s="657">
        <v>171.14</v>
      </c>
      <c r="G358" s="156" t="s">
        <v>196</v>
      </c>
      <c r="H358" s="244"/>
      <c r="I358" s="449">
        <v>-0.56999999999999995</v>
      </c>
      <c r="J358" s="462">
        <v>-1.5490806770324701</v>
      </c>
      <c r="K358" s="494">
        <f t="shared" si="6"/>
        <v>11.643339566061792</v>
      </c>
      <c r="L358" s="295" t="s">
        <v>689</v>
      </c>
      <c r="M358" s="296" t="s">
        <v>85</v>
      </c>
      <c r="N358" s="297" t="s">
        <v>192</v>
      </c>
      <c r="O358" s="298" t="s">
        <v>118</v>
      </c>
      <c r="P358" s="314" t="s">
        <v>91</v>
      </c>
      <c r="Q358" s="307" t="s">
        <v>492</v>
      </c>
      <c r="R358" s="299" t="s">
        <v>149</v>
      </c>
      <c r="S358" s="380" t="s">
        <v>711</v>
      </c>
    </row>
    <row r="359" spans="1:19">
      <c r="A359" s="167">
        <v>690</v>
      </c>
      <c r="B359" s="428"/>
      <c r="F359" s="657">
        <v>171.14</v>
      </c>
      <c r="G359" s="156" t="s">
        <v>196</v>
      </c>
      <c r="H359" s="244"/>
      <c r="I359" s="449">
        <v>-0.45</v>
      </c>
      <c r="J359" s="462">
        <v>-1.5490806770324701</v>
      </c>
      <c r="K359" s="494">
        <f t="shared" si="6"/>
        <v>11.108983708685694</v>
      </c>
      <c r="L359" s="295" t="s">
        <v>689</v>
      </c>
      <c r="M359" s="296" t="s">
        <v>85</v>
      </c>
      <c r="N359" s="297" t="s">
        <v>192</v>
      </c>
      <c r="O359" s="298" t="s">
        <v>118</v>
      </c>
      <c r="P359" s="314" t="s">
        <v>91</v>
      </c>
      <c r="Q359" s="307" t="s">
        <v>492</v>
      </c>
      <c r="R359" s="299" t="s">
        <v>149</v>
      </c>
      <c r="S359" s="380" t="s">
        <v>711</v>
      </c>
    </row>
    <row r="360" spans="1:19">
      <c r="A360" s="167">
        <v>690</v>
      </c>
      <c r="B360" s="428"/>
      <c r="F360" s="657">
        <v>171.14</v>
      </c>
      <c r="G360" s="156" t="s">
        <v>196</v>
      </c>
      <c r="H360" s="244"/>
      <c r="I360" s="449">
        <v>-0.67</v>
      </c>
      <c r="J360" s="462">
        <v>-1.5490806770324701</v>
      </c>
      <c r="K360" s="494">
        <f t="shared" si="6"/>
        <v>12.090616113875209</v>
      </c>
      <c r="L360" s="295" t="s">
        <v>689</v>
      </c>
      <c r="M360" s="296" t="s">
        <v>85</v>
      </c>
      <c r="N360" s="297" t="s">
        <v>192</v>
      </c>
      <c r="O360" s="298" t="s">
        <v>118</v>
      </c>
      <c r="P360" s="314" t="s">
        <v>91</v>
      </c>
      <c r="Q360" s="307" t="s">
        <v>492</v>
      </c>
      <c r="R360" s="299" t="s">
        <v>149</v>
      </c>
      <c r="S360" s="380" t="s">
        <v>711</v>
      </c>
    </row>
    <row r="361" spans="1:19">
      <c r="A361" s="167">
        <v>690</v>
      </c>
      <c r="B361" s="428"/>
      <c r="F361" s="228">
        <v>171.14</v>
      </c>
      <c r="G361" s="156" t="s">
        <v>196</v>
      </c>
      <c r="H361" s="244"/>
      <c r="I361" s="658">
        <v>-1.42</v>
      </c>
      <c r="J361" s="462">
        <v>-1.5490806770324701</v>
      </c>
      <c r="K361" s="494">
        <f t="shared" si="6"/>
        <v>15.502565222475825</v>
      </c>
      <c r="L361" s="295" t="s">
        <v>689</v>
      </c>
      <c r="M361" s="296" t="s">
        <v>85</v>
      </c>
      <c r="N361" s="297" t="s">
        <v>192</v>
      </c>
      <c r="O361" s="298" t="s">
        <v>118</v>
      </c>
      <c r="P361" s="314" t="s">
        <v>91</v>
      </c>
      <c r="Q361" s="307" t="s">
        <v>492</v>
      </c>
      <c r="R361" s="299" t="s">
        <v>149</v>
      </c>
      <c r="S361" s="380" t="s">
        <v>711</v>
      </c>
    </row>
    <row r="362" spans="1:19">
      <c r="A362" s="167">
        <v>690</v>
      </c>
      <c r="B362" s="428"/>
      <c r="F362" s="228">
        <v>171.14</v>
      </c>
      <c r="G362" s="156" t="s">
        <v>196</v>
      </c>
      <c r="H362" s="244"/>
      <c r="I362" s="658">
        <v>-1.28</v>
      </c>
      <c r="J362" s="462">
        <v>-1.5490806770324701</v>
      </c>
      <c r="K362" s="494">
        <f t="shared" si="6"/>
        <v>14.857982055537043</v>
      </c>
      <c r="L362" s="295" t="s">
        <v>689</v>
      </c>
      <c r="M362" s="296" t="s">
        <v>85</v>
      </c>
      <c r="N362" s="297" t="s">
        <v>192</v>
      </c>
      <c r="O362" s="298" t="s">
        <v>118</v>
      </c>
      <c r="P362" s="314" t="s">
        <v>91</v>
      </c>
      <c r="Q362" s="307" t="s">
        <v>492</v>
      </c>
      <c r="R362" s="299" t="s">
        <v>149</v>
      </c>
      <c r="S362" s="380" t="s">
        <v>711</v>
      </c>
    </row>
    <row r="363" spans="1:19">
      <c r="A363" s="167">
        <v>690</v>
      </c>
      <c r="B363" s="428"/>
      <c r="F363" s="657">
        <v>171.16</v>
      </c>
      <c r="G363" s="156" t="s">
        <v>196</v>
      </c>
      <c r="H363" s="244"/>
      <c r="I363" s="449">
        <v>-0.44</v>
      </c>
      <c r="J363" s="462">
        <v>-1.5490806770324701</v>
      </c>
      <c r="K363" s="494">
        <f t="shared" si="6"/>
        <v>11.064571053904352</v>
      </c>
      <c r="L363" s="295" t="s">
        <v>689</v>
      </c>
      <c r="M363" s="296" t="s">
        <v>85</v>
      </c>
      <c r="N363" s="297" t="s">
        <v>192</v>
      </c>
      <c r="O363" s="298" t="s">
        <v>118</v>
      </c>
      <c r="P363" s="314" t="s">
        <v>91</v>
      </c>
      <c r="Q363" s="307" t="s">
        <v>492</v>
      </c>
      <c r="R363" s="299" t="s">
        <v>149</v>
      </c>
      <c r="S363" s="380" t="s">
        <v>711</v>
      </c>
    </row>
    <row r="364" spans="1:19">
      <c r="A364" s="167">
        <v>690</v>
      </c>
      <c r="B364" s="428"/>
      <c r="F364" s="657">
        <v>171.16</v>
      </c>
      <c r="G364" s="156" t="s">
        <v>196</v>
      </c>
      <c r="H364" s="244"/>
      <c r="I364" s="449">
        <v>-0.37</v>
      </c>
      <c r="J364" s="462">
        <v>-1.5490806770324701</v>
      </c>
      <c r="K364" s="494">
        <f t="shared" si="6"/>
        <v>10.754186470434963</v>
      </c>
      <c r="L364" s="295" t="s">
        <v>689</v>
      </c>
      <c r="M364" s="296" t="s">
        <v>85</v>
      </c>
      <c r="N364" s="297" t="s">
        <v>192</v>
      </c>
      <c r="O364" s="298" t="s">
        <v>118</v>
      </c>
      <c r="P364" s="314" t="s">
        <v>91</v>
      </c>
      <c r="Q364" s="307" t="s">
        <v>492</v>
      </c>
      <c r="R364" s="299" t="s">
        <v>149</v>
      </c>
      <c r="S364" s="380" t="s">
        <v>711</v>
      </c>
    </row>
    <row r="365" spans="1:19">
      <c r="A365" s="167">
        <v>690</v>
      </c>
      <c r="B365" s="428"/>
      <c r="F365" s="657">
        <v>171.16</v>
      </c>
      <c r="G365" s="156" t="s">
        <v>196</v>
      </c>
      <c r="H365" s="244"/>
      <c r="I365" s="449">
        <v>-0.68</v>
      </c>
      <c r="J365" s="462">
        <v>-1.5490806770324701</v>
      </c>
      <c r="K365" s="494">
        <f t="shared" si="6"/>
        <v>12.135442768656549</v>
      </c>
      <c r="L365" s="295" t="s">
        <v>689</v>
      </c>
      <c r="M365" s="296" t="s">
        <v>85</v>
      </c>
      <c r="N365" s="297" t="s">
        <v>192</v>
      </c>
      <c r="O365" s="298" t="s">
        <v>118</v>
      </c>
      <c r="P365" s="314" t="s">
        <v>91</v>
      </c>
      <c r="Q365" s="307" t="s">
        <v>492</v>
      </c>
      <c r="R365" s="299" t="s">
        <v>149</v>
      </c>
      <c r="S365" s="380" t="s">
        <v>711</v>
      </c>
    </row>
    <row r="366" spans="1:19">
      <c r="A366" s="167">
        <v>690</v>
      </c>
      <c r="B366" s="428"/>
      <c r="F366" s="657">
        <v>171.19</v>
      </c>
      <c r="G366" s="156" t="s">
        <v>196</v>
      </c>
      <c r="H366" s="244"/>
      <c r="I366" s="449">
        <v>-0.14000000000000001</v>
      </c>
      <c r="J366" s="462">
        <v>-1.5490806770324701</v>
      </c>
      <c r="K366" s="494">
        <f t="shared" si="6"/>
        <v>9.7405614104641085</v>
      </c>
      <c r="L366" s="295" t="s">
        <v>689</v>
      </c>
      <c r="M366" s="296" t="s">
        <v>85</v>
      </c>
      <c r="N366" s="297" t="s">
        <v>192</v>
      </c>
      <c r="O366" s="298" t="s">
        <v>118</v>
      </c>
      <c r="P366" s="314" t="s">
        <v>91</v>
      </c>
      <c r="Q366" s="307" t="s">
        <v>492</v>
      </c>
      <c r="R366" s="299" t="s">
        <v>149</v>
      </c>
      <c r="S366" s="380" t="s">
        <v>711</v>
      </c>
    </row>
    <row r="367" spans="1:19">
      <c r="A367" s="167">
        <v>690</v>
      </c>
      <c r="B367" s="428"/>
      <c r="F367" s="657">
        <v>171.19</v>
      </c>
      <c r="G367" s="156" t="s">
        <v>196</v>
      </c>
      <c r="H367" s="244"/>
      <c r="I367" s="449">
        <v>-0.54</v>
      </c>
      <c r="J367" s="462">
        <v>-1.5490806770324701</v>
      </c>
      <c r="K367" s="494">
        <f t="shared" si="6"/>
        <v>11.509507601717768</v>
      </c>
      <c r="L367" s="295" t="s">
        <v>689</v>
      </c>
      <c r="M367" s="296" t="s">
        <v>85</v>
      </c>
      <c r="N367" s="297" t="s">
        <v>192</v>
      </c>
      <c r="O367" s="298" t="s">
        <v>118</v>
      </c>
      <c r="P367" s="314" t="s">
        <v>91</v>
      </c>
      <c r="Q367" s="307" t="s">
        <v>492</v>
      </c>
      <c r="R367" s="299" t="s">
        <v>149</v>
      </c>
      <c r="S367" s="380" t="s">
        <v>711</v>
      </c>
    </row>
    <row r="368" spans="1:19">
      <c r="A368" s="167">
        <v>690</v>
      </c>
      <c r="B368" s="428"/>
      <c r="F368" s="657">
        <v>171.28</v>
      </c>
      <c r="G368" s="156" t="s">
        <v>196</v>
      </c>
      <c r="H368" s="244"/>
      <c r="I368" s="449">
        <v>-0.73</v>
      </c>
      <c r="J368" s="462">
        <v>-1.5490806770324701</v>
      </c>
      <c r="K368" s="494">
        <f t="shared" si="6"/>
        <v>12.359846042563259</v>
      </c>
      <c r="L368" s="295" t="s">
        <v>689</v>
      </c>
      <c r="M368" s="296" t="s">
        <v>85</v>
      </c>
      <c r="N368" s="297" t="s">
        <v>192</v>
      </c>
      <c r="O368" s="298" t="s">
        <v>118</v>
      </c>
      <c r="P368" s="314" t="s">
        <v>91</v>
      </c>
      <c r="Q368" s="307" t="s">
        <v>492</v>
      </c>
      <c r="R368" s="299" t="s">
        <v>149</v>
      </c>
      <c r="S368" s="380" t="s">
        <v>711</v>
      </c>
    </row>
    <row r="369" spans="1:19">
      <c r="A369" s="167">
        <v>690</v>
      </c>
      <c r="B369" s="428"/>
      <c r="F369" s="657">
        <v>171.33</v>
      </c>
      <c r="G369" s="156" t="s">
        <v>196</v>
      </c>
      <c r="H369" s="244"/>
      <c r="I369" s="449">
        <v>-0.76</v>
      </c>
      <c r="J369" s="462">
        <v>-1.5490806770324701</v>
      </c>
      <c r="K369" s="494">
        <f t="shared" si="6"/>
        <v>12.494704006907282</v>
      </c>
      <c r="L369" s="295" t="s">
        <v>689</v>
      </c>
      <c r="M369" s="296" t="s">
        <v>85</v>
      </c>
      <c r="N369" s="297" t="s">
        <v>192</v>
      </c>
      <c r="O369" s="298" t="s">
        <v>118</v>
      </c>
      <c r="P369" s="314" t="s">
        <v>91</v>
      </c>
      <c r="Q369" s="307" t="s">
        <v>492</v>
      </c>
      <c r="R369" s="299" t="s">
        <v>149</v>
      </c>
      <c r="S369" s="380" t="s">
        <v>711</v>
      </c>
    </row>
    <row r="370" spans="1:19">
      <c r="A370" s="167">
        <v>690</v>
      </c>
      <c r="B370" s="428"/>
      <c r="F370" s="657">
        <v>171.4</v>
      </c>
      <c r="G370" s="156" t="s">
        <v>196</v>
      </c>
      <c r="H370" s="244"/>
      <c r="I370" s="449">
        <v>-0.64</v>
      </c>
      <c r="J370" s="462">
        <v>-1.5490806770324701</v>
      </c>
      <c r="K370" s="494">
        <f t="shared" si="6"/>
        <v>11.956244149531184</v>
      </c>
      <c r="L370" s="295" t="s">
        <v>689</v>
      </c>
      <c r="M370" s="296" t="s">
        <v>85</v>
      </c>
      <c r="N370" s="297" t="s">
        <v>192</v>
      </c>
      <c r="O370" s="298" t="s">
        <v>118</v>
      </c>
      <c r="P370" s="314" t="s">
        <v>91</v>
      </c>
      <c r="Q370" s="307" t="s">
        <v>492</v>
      </c>
      <c r="R370" s="299" t="s">
        <v>149</v>
      </c>
      <c r="S370" s="380" t="s">
        <v>711</v>
      </c>
    </row>
    <row r="371" spans="1:19">
      <c r="A371" s="167">
        <v>690</v>
      </c>
      <c r="B371" s="428"/>
      <c r="F371" s="657">
        <v>171.4</v>
      </c>
      <c r="G371" s="156" t="s">
        <v>196</v>
      </c>
      <c r="H371" s="244"/>
      <c r="I371" s="449">
        <v>-0.57999999999999996</v>
      </c>
      <c r="J371" s="462">
        <v>-1.5490806770324701</v>
      </c>
      <c r="K371" s="494">
        <f t="shared" si="6"/>
        <v>11.687986220843134</v>
      </c>
      <c r="L371" s="295" t="s">
        <v>689</v>
      </c>
      <c r="M371" s="296" t="s">
        <v>85</v>
      </c>
      <c r="N371" s="297" t="s">
        <v>192</v>
      </c>
      <c r="O371" s="298" t="s">
        <v>118</v>
      </c>
      <c r="P371" s="314" t="s">
        <v>91</v>
      </c>
      <c r="Q371" s="307" t="s">
        <v>492</v>
      </c>
      <c r="R371" s="299" t="s">
        <v>149</v>
      </c>
      <c r="S371" s="380" t="s">
        <v>711</v>
      </c>
    </row>
    <row r="372" spans="1:19">
      <c r="A372" s="167">
        <v>690</v>
      </c>
      <c r="B372" s="428"/>
      <c r="F372" s="657">
        <v>171.4</v>
      </c>
      <c r="G372" s="156" t="s">
        <v>196</v>
      </c>
      <c r="H372" s="244"/>
      <c r="I372" s="449">
        <v>-0.61</v>
      </c>
      <c r="J372" s="462">
        <v>-1.5490806770324701</v>
      </c>
      <c r="K372" s="494">
        <f t="shared" si="6"/>
        <v>11.822034185187158</v>
      </c>
      <c r="L372" s="295" t="s">
        <v>689</v>
      </c>
      <c r="M372" s="296" t="s">
        <v>85</v>
      </c>
      <c r="N372" s="297" t="s">
        <v>192</v>
      </c>
      <c r="O372" s="298" t="s">
        <v>118</v>
      </c>
      <c r="P372" s="314" t="s">
        <v>91</v>
      </c>
      <c r="Q372" s="307" t="s">
        <v>492</v>
      </c>
      <c r="R372" s="299" t="s">
        <v>149</v>
      </c>
      <c r="S372" s="380" t="s">
        <v>711</v>
      </c>
    </row>
    <row r="373" spans="1:19">
      <c r="A373" s="167">
        <v>690</v>
      </c>
      <c r="B373" s="428"/>
      <c r="F373" s="657">
        <v>171.4</v>
      </c>
      <c r="G373" s="156" t="s">
        <v>196</v>
      </c>
      <c r="H373" s="244"/>
      <c r="I373" s="449">
        <v>-0.87</v>
      </c>
      <c r="J373" s="462">
        <v>-1.5490806770324701</v>
      </c>
      <c r="K373" s="494">
        <f t="shared" si="6"/>
        <v>12.99056920950204</v>
      </c>
      <c r="L373" s="295" t="s">
        <v>689</v>
      </c>
      <c r="M373" s="296" t="s">
        <v>85</v>
      </c>
      <c r="N373" s="297" t="s">
        <v>192</v>
      </c>
      <c r="O373" s="298" t="s">
        <v>118</v>
      </c>
      <c r="P373" s="314" t="s">
        <v>91</v>
      </c>
      <c r="Q373" s="307" t="s">
        <v>492</v>
      </c>
      <c r="R373" s="299" t="s">
        <v>149</v>
      </c>
      <c r="S373" s="380" t="s">
        <v>711</v>
      </c>
    </row>
    <row r="374" spans="1:19">
      <c r="A374" s="167">
        <v>690</v>
      </c>
      <c r="B374" s="428"/>
      <c r="F374" s="657">
        <v>171.43</v>
      </c>
      <c r="G374" s="156" t="s">
        <v>196</v>
      </c>
      <c r="H374" s="244"/>
      <c r="I374" s="449">
        <v>-1.25</v>
      </c>
      <c r="J374" s="462">
        <v>-1.5490806770324701</v>
      </c>
      <c r="K374" s="494">
        <f t="shared" si="6"/>
        <v>14.720316091193018</v>
      </c>
      <c r="L374" s="295" t="s">
        <v>689</v>
      </c>
      <c r="M374" s="296" t="s">
        <v>85</v>
      </c>
      <c r="N374" s="297" t="s">
        <v>192</v>
      </c>
      <c r="O374" s="298" t="s">
        <v>118</v>
      </c>
      <c r="P374" s="314" t="s">
        <v>91</v>
      </c>
      <c r="Q374" s="307" t="s">
        <v>492</v>
      </c>
      <c r="R374" s="299" t="s">
        <v>149</v>
      </c>
      <c r="S374" s="380" t="s">
        <v>711</v>
      </c>
    </row>
    <row r="375" spans="1:19">
      <c r="A375" s="167">
        <v>690</v>
      </c>
      <c r="B375" s="428"/>
      <c r="F375" s="657">
        <v>171.53</v>
      </c>
      <c r="G375" s="156" t="s">
        <v>196</v>
      </c>
      <c r="H375" s="244"/>
      <c r="I375" s="449">
        <v>-0.95</v>
      </c>
      <c r="J375" s="462">
        <v>-1.5490806770324701</v>
      </c>
      <c r="K375" s="494">
        <f t="shared" si="6"/>
        <v>13.352566447752771</v>
      </c>
      <c r="L375" s="295" t="s">
        <v>689</v>
      </c>
      <c r="M375" s="296" t="s">
        <v>85</v>
      </c>
      <c r="N375" s="297" t="s">
        <v>192</v>
      </c>
      <c r="O375" s="298" t="s">
        <v>118</v>
      </c>
      <c r="P375" s="314" t="s">
        <v>91</v>
      </c>
      <c r="Q375" s="307" t="s">
        <v>492</v>
      </c>
      <c r="R375" s="299" t="s">
        <v>149</v>
      </c>
      <c r="S375" s="380" t="s">
        <v>711</v>
      </c>
    </row>
    <row r="376" spans="1:19">
      <c r="A376" s="167">
        <v>690</v>
      </c>
      <c r="B376" s="428"/>
      <c r="F376" s="657">
        <v>171.63</v>
      </c>
      <c r="G376" s="156" t="s">
        <v>196</v>
      </c>
      <c r="H376" s="244"/>
      <c r="I376" s="449">
        <v>-0.24</v>
      </c>
      <c r="J376" s="462">
        <v>-1.5490806770324701</v>
      </c>
      <c r="K376" s="494">
        <f t="shared" si="6"/>
        <v>10.180097958277521</v>
      </c>
      <c r="L376" s="295" t="s">
        <v>689</v>
      </c>
      <c r="M376" s="296" t="s">
        <v>85</v>
      </c>
      <c r="N376" s="297" t="s">
        <v>192</v>
      </c>
      <c r="O376" s="298" t="s">
        <v>118</v>
      </c>
      <c r="P376" s="314" t="s">
        <v>91</v>
      </c>
      <c r="Q376" s="307" t="s">
        <v>492</v>
      </c>
      <c r="R376" s="299" t="s">
        <v>149</v>
      </c>
      <c r="S376" s="380" t="s">
        <v>711</v>
      </c>
    </row>
    <row r="377" spans="1:19">
      <c r="A377" s="167">
        <v>690</v>
      </c>
      <c r="B377" s="428"/>
      <c r="F377" s="657">
        <v>171.63</v>
      </c>
      <c r="G377" s="156" t="s">
        <v>196</v>
      </c>
      <c r="H377" s="244"/>
      <c r="I377" s="449">
        <v>-0.55000000000000004</v>
      </c>
      <c r="J377" s="462">
        <v>-1.5490806770324701</v>
      </c>
      <c r="K377" s="494">
        <f t="shared" si="6"/>
        <v>11.55410025649911</v>
      </c>
      <c r="L377" s="295" t="s">
        <v>689</v>
      </c>
      <c r="M377" s="296" t="s">
        <v>85</v>
      </c>
      <c r="N377" s="297" t="s">
        <v>192</v>
      </c>
      <c r="O377" s="298" t="s">
        <v>118</v>
      </c>
      <c r="P377" s="314" t="s">
        <v>91</v>
      </c>
      <c r="Q377" s="307" t="s">
        <v>492</v>
      </c>
      <c r="R377" s="299" t="s">
        <v>149</v>
      </c>
      <c r="S377" s="380" t="s">
        <v>711</v>
      </c>
    </row>
    <row r="378" spans="1:19">
      <c r="A378" s="177">
        <v>690</v>
      </c>
      <c r="B378" s="945"/>
      <c r="C378" s="183"/>
      <c r="D378" s="183"/>
      <c r="E378" s="183"/>
      <c r="F378" s="947">
        <v>171.73</v>
      </c>
      <c r="G378" s="226" t="s">
        <v>196</v>
      </c>
      <c r="H378" s="437"/>
      <c r="I378" s="456">
        <v>-0.16</v>
      </c>
      <c r="J378" s="939">
        <v>-1.5490806770324701</v>
      </c>
      <c r="K378" s="493">
        <f t="shared" si="6"/>
        <v>9.8283247200267887</v>
      </c>
      <c r="L378" s="940" t="s">
        <v>689</v>
      </c>
      <c r="M378" s="386" t="s">
        <v>85</v>
      </c>
      <c r="N378" s="399" t="s">
        <v>192</v>
      </c>
      <c r="O378" s="390" t="s">
        <v>118</v>
      </c>
      <c r="P378" s="388" t="s">
        <v>91</v>
      </c>
      <c r="Q378" s="387" t="s">
        <v>492</v>
      </c>
      <c r="R378" s="944" t="s">
        <v>149</v>
      </c>
      <c r="S378" s="948" t="s">
        <v>711</v>
      </c>
    </row>
    <row r="379" spans="1:19">
      <c r="A379" s="167">
        <v>690</v>
      </c>
      <c r="B379" s="428"/>
      <c r="F379" s="657">
        <v>169.84</v>
      </c>
      <c r="G379" s="156" t="s">
        <v>20</v>
      </c>
      <c r="H379" s="244"/>
      <c r="I379" s="449">
        <v>-0.74</v>
      </c>
      <c r="J379" s="462">
        <v>-1.5490806770324701</v>
      </c>
      <c r="K379" s="491">
        <f t="shared" si="6"/>
        <v>12.4047806973446</v>
      </c>
      <c r="L379" s="295" t="s">
        <v>665</v>
      </c>
      <c r="M379" s="296" t="s">
        <v>85</v>
      </c>
      <c r="N379" s="297" t="s">
        <v>192</v>
      </c>
      <c r="O379" s="298" t="s">
        <v>44</v>
      </c>
      <c r="P379" s="314" t="s">
        <v>91</v>
      </c>
      <c r="Q379" s="307" t="s">
        <v>492</v>
      </c>
      <c r="R379" s="299" t="s">
        <v>149</v>
      </c>
      <c r="S379" s="300"/>
    </row>
    <row r="380" spans="1:19">
      <c r="A380" s="167">
        <v>690</v>
      </c>
      <c r="B380" s="428"/>
      <c r="F380" s="657">
        <v>169.84</v>
      </c>
      <c r="G380" s="156" t="s">
        <v>20</v>
      </c>
      <c r="H380" s="244"/>
      <c r="I380" s="449">
        <v>-0.9</v>
      </c>
      <c r="J380" s="462">
        <v>-1.5490806770324701</v>
      </c>
      <c r="K380" s="491">
        <f t="shared" si="6"/>
        <v>13.126183173846064</v>
      </c>
      <c r="L380" s="295" t="s">
        <v>665</v>
      </c>
      <c r="M380" s="296" t="s">
        <v>85</v>
      </c>
      <c r="N380" s="297" t="s">
        <v>192</v>
      </c>
      <c r="O380" s="298" t="s">
        <v>44</v>
      </c>
      <c r="P380" s="314" t="s">
        <v>91</v>
      </c>
      <c r="Q380" s="307" t="s">
        <v>492</v>
      </c>
      <c r="R380" s="299" t="s">
        <v>149</v>
      </c>
      <c r="S380" s="300"/>
    </row>
    <row r="381" spans="1:19">
      <c r="A381" s="167">
        <v>690</v>
      </c>
      <c r="B381" s="428"/>
      <c r="F381" s="657">
        <v>169.84</v>
      </c>
      <c r="G381" s="156" t="s">
        <v>20</v>
      </c>
      <c r="H381" s="244"/>
      <c r="I381" s="449">
        <v>-0.49</v>
      </c>
      <c r="J381" s="462">
        <v>-1.5490806770324701</v>
      </c>
      <c r="K381" s="491">
        <f t="shared" si="6"/>
        <v>11.286814327811062</v>
      </c>
      <c r="L381" s="295" t="s">
        <v>665</v>
      </c>
      <c r="M381" s="296" t="s">
        <v>85</v>
      </c>
      <c r="N381" s="297" t="s">
        <v>192</v>
      </c>
      <c r="O381" s="298" t="s">
        <v>44</v>
      </c>
      <c r="P381" s="314" t="s">
        <v>91</v>
      </c>
      <c r="Q381" s="307" t="s">
        <v>492</v>
      </c>
      <c r="R381" s="299" t="s">
        <v>149</v>
      </c>
      <c r="S381" s="300"/>
    </row>
    <row r="382" spans="1:19">
      <c r="A382" s="167">
        <v>690</v>
      </c>
      <c r="B382" s="428"/>
      <c r="F382" s="657">
        <v>169.84</v>
      </c>
      <c r="G382" s="156" t="s">
        <v>20</v>
      </c>
      <c r="H382" s="244"/>
      <c r="I382" s="449">
        <v>-0.65</v>
      </c>
      <c r="J382" s="462">
        <v>-1.5490806770324701</v>
      </c>
      <c r="K382" s="491">
        <f t="shared" si="6"/>
        <v>12.001016804312526</v>
      </c>
      <c r="L382" s="295" t="s">
        <v>665</v>
      </c>
      <c r="M382" s="296" t="s">
        <v>85</v>
      </c>
      <c r="N382" s="297" t="s">
        <v>192</v>
      </c>
      <c r="O382" s="298" t="s">
        <v>44</v>
      </c>
      <c r="P382" s="314" t="s">
        <v>91</v>
      </c>
      <c r="Q382" s="307" t="s">
        <v>492</v>
      </c>
      <c r="R382" s="299" t="s">
        <v>149</v>
      </c>
      <c r="S382" s="300"/>
    </row>
    <row r="383" spans="1:19">
      <c r="A383" s="167">
        <v>690</v>
      </c>
      <c r="B383" s="428"/>
      <c r="F383" s="657">
        <v>169.84</v>
      </c>
      <c r="G383" s="156" t="s">
        <v>20</v>
      </c>
      <c r="H383" s="244"/>
      <c r="I383" s="449">
        <v>-1.87</v>
      </c>
      <c r="J383" s="462">
        <v>-1.5490806770324701</v>
      </c>
      <c r="K383" s="491">
        <f t="shared" si="6"/>
        <v>17.598334687636193</v>
      </c>
      <c r="L383" s="295" t="s">
        <v>665</v>
      </c>
      <c r="M383" s="296" t="s">
        <v>85</v>
      </c>
      <c r="N383" s="297" t="s">
        <v>192</v>
      </c>
      <c r="O383" s="298" t="s">
        <v>44</v>
      </c>
      <c r="P383" s="314" t="s">
        <v>91</v>
      </c>
      <c r="Q383" s="307" t="s">
        <v>492</v>
      </c>
      <c r="R383" s="299" t="s">
        <v>149</v>
      </c>
      <c r="S383" s="300"/>
    </row>
    <row r="384" spans="1:19">
      <c r="A384" s="167">
        <v>690</v>
      </c>
      <c r="B384" s="428"/>
      <c r="F384" s="657">
        <v>169.84</v>
      </c>
      <c r="G384" s="156" t="s">
        <v>20</v>
      </c>
      <c r="H384" s="244"/>
      <c r="I384" s="449">
        <v>-1.63</v>
      </c>
      <c r="J384" s="462">
        <v>-1.5490806770324701</v>
      </c>
      <c r="K384" s="491">
        <f t="shared" si="6"/>
        <v>16.476054972883997</v>
      </c>
      <c r="L384" s="295" t="s">
        <v>665</v>
      </c>
      <c r="M384" s="296" t="s">
        <v>85</v>
      </c>
      <c r="N384" s="297" t="s">
        <v>192</v>
      </c>
      <c r="O384" s="298" t="s">
        <v>44</v>
      </c>
      <c r="P384" s="314" t="s">
        <v>91</v>
      </c>
      <c r="Q384" s="307" t="s">
        <v>492</v>
      </c>
      <c r="R384" s="299" t="s">
        <v>149</v>
      </c>
      <c r="S384" s="300"/>
    </row>
    <row r="385" spans="1:19">
      <c r="A385" s="167">
        <v>690</v>
      </c>
      <c r="B385" s="428"/>
      <c r="F385" s="657">
        <v>169.91</v>
      </c>
      <c r="G385" s="156" t="s">
        <v>20</v>
      </c>
      <c r="H385" s="244"/>
      <c r="I385" s="449">
        <v>-0.81</v>
      </c>
      <c r="J385" s="462">
        <v>-1.5490806770324701</v>
      </c>
      <c r="K385" s="491">
        <f t="shared" si="6"/>
        <v>12.719827280813991</v>
      </c>
      <c r="L385" s="295" t="s">
        <v>665</v>
      </c>
      <c r="M385" s="296" t="s">
        <v>85</v>
      </c>
      <c r="N385" s="297" t="s">
        <v>192</v>
      </c>
      <c r="O385" s="298" t="s">
        <v>44</v>
      </c>
      <c r="P385" s="314" t="s">
        <v>91</v>
      </c>
      <c r="Q385" s="307" t="s">
        <v>492</v>
      </c>
      <c r="R385" s="299" t="s">
        <v>149</v>
      </c>
      <c r="S385" s="300"/>
    </row>
    <row r="386" spans="1:19">
      <c r="A386" s="167">
        <v>690</v>
      </c>
      <c r="B386" s="428"/>
      <c r="F386" s="657">
        <v>169.91</v>
      </c>
      <c r="G386" s="156" t="s">
        <v>20</v>
      </c>
      <c r="H386" s="244"/>
      <c r="I386" s="449">
        <v>-0.59</v>
      </c>
      <c r="J386" s="462">
        <v>-1.5490806770324701</v>
      </c>
      <c r="K386" s="491">
        <f t="shared" si="6"/>
        <v>11.732650875624476</v>
      </c>
      <c r="L386" s="295" t="s">
        <v>665</v>
      </c>
      <c r="M386" s="296" t="s">
        <v>85</v>
      </c>
      <c r="N386" s="297" t="s">
        <v>192</v>
      </c>
      <c r="O386" s="298" t="s">
        <v>44</v>
      </c>
      <c r="P386" s="314" t="s">
        <v>91</v>
      </c>
      <c r="Q386" s="307" t="s">
        <v>492</v>
      </c>
      <c r="R386" s="299" t="s">
        <v>149</v>
      </c>
      <c r="S386" s="300"/>
    </row>
    <row r="387" spans="1:19">
      <c r="A387" s="167">
        <v>690</v>
      </c>
      <c r="B387" s="428"/>
      <c r="F387" s="657">
        <v>169.91</v>
      </c>
      <c r="G387" s="156" t="s">
        <v>20</v>
      </c>
      <c r="H387" s="244"/>
      <c r="I387" s="449">
        <v>-0.74</v>
      </c>
      <c r="J387" s="462">
        <v>-1.5490806770324701</v>
      </c>
      <c r="K387" s="491">
        <f t="shared" si="6"/>
        <v>12.4047806973446</v>
      </c>
      <c r="L387" s="295" t="s">
        <v>665</v>
      </c>
      <c r="M387" s="296" t="s">
        <v>85</v>
      </c>
      <c r="N387" s="297" t="s">
        <v>192</v>
      </c>
      <c r="O387" s="298" t="s">
        <v>44</v>
      </c>
      <c r="P387" s="314" t="s">
        <v>91</v>
      </c>
      <c r="Q387" s="307" t="s">
        <v>492</v>
      </c>
      <c r="R387" s="299" t="s">
        <v>149</v>
      </c>
      <c r="S387" s="300"/>
    </row>
    <row r="388" spans="1:19">
      <c r="A388" s="167">
        <v>690</v>
      </c>
      <c r="B388" s="428"/>
      <c r="F388" s="657">
        <v>169.91</v>
      </c>
      <c r="G388" s="156" t="s">
        <v>20</v>
      </c>
      <c r="H388" s="244"/>
      <c r="I388" s="449">
        <v>-0.63</v>
      </c>
      <c r="J388" s="462">
        <v>-1.5490806770324701</v>
      </c>
      <c r="K388" s="491">
        <f t="shared" si="6"/>
        <v>11.911489494749842</v>
      </c>
      <c r="L388" s="295" t="s">
        <v>665</v>
      </c>
      <c r="M388" s="296" t="s">
        <v>85</v>
      </c>
      <c r="N388" s="297" t="s">
        <v>192</v>
      </c>
      <c r="O388" s="298" t="s">
        <v>44</v>
      </c>
      <c r="P388" s="314" t="s">
        <v>91</v>
      </c>
      <c r="Q388" s="307" t="s">
        <v>492</v>
      </c>
      <c r="R388" s="299" t="s">
        <v>149</v>
      </c>
      <c r="S388" s="300"/>
    </row>
    <row r="389" spans="1:19">
      <c r="A389" s="167">
        <v>690</v>
      </c>
      <c r="B389" s="428"/>
      <c r="F389" s="657">
        <v>169.91</v>
      </c>
      <c r="G389" s="156" t="s">
        <v>20</v>
      </c>
      <c r="H389" s="244"/>
      <c r="I389" s="449">
        <v>-1.69</v>
      </c>
      <c r="J389" s="462">
        <v>-1.5490806770324701</v>
      </c>
      <c r="K389" s="491">
        <f t="shared" si="6"/>
        <v>16.755652901572045</v>
      </c>
      <c r="L389" s="295" t="s">
        <v>665</v>
      </c>
      <c r="M389" s="296" t="s">
        <v>85</v>
      </c>
      <c r="N389" s="297" t="s">
        <v>192</v>
      </c>
      <c r="O389" s="298" t="s">
        <v>44</v>
      </c>
      <c r="P389" s="314" t="s">
        <v>91</v>
      </c>
      <c r="Q389" s="307" t="s">
        <v>492</v>
      </c>
      <c r="R389" s="299" t="s">
        <v>149</v>
      </c>
      <c r="S389" s="300"/>
    </row>
    <row r="390" spans="1:19">
      <c r="A390" s="167">
        <v>690</v>
      </c>
      <c r="B390" s="428"/>
      <c r="F390" s="657">
        <v>169.91</v>
      </c>
      <c r="G390" s="156" t="s">
        <v>20</v>
      </c>
      <c r="H390" s="244"/>
      <c r="I390" s="449">
        <v>-1.5</v>
      </c>
      <c r="J390" s="462">
        <v>-1.5490806770324701</v>
      </c>
      <c r="K390" s="491">
        <f t="shared" si="6"/>
        <v>15.872482460726557</v>
      </c>
      <c r="L390" s="295" t="s">
        <v>665</v>
      </c>
      <c r="M390" s="296" t="s">
        <v>85</v>
      </c>
      <c r="N390" s="297" t="s">
        <v>192</v>
      </c>
      <c r="O390" s="298" t="s">
        <v>44</v>
      </c>
      <c r="P390" s="314" t="s">
        <v>91</v>
      </c>
      <c r="Q390" s="307" t="s">
        <v>492</v>
      </c>
      <c r="R390" s="299" t="s">
        <v>149</v>
      </c>
      <c r="S390" s="300"/>
    </row>
    <row r="391" spans="1:19">
      <c r="A391" s="167">
        <v>690</v>
      </c>
      <c r="B391" s="428"/>
      <c r="F391" s="657">
        <v>169.97</v>
      </c>
      <c r="G391" s="156" t="s">
        <v>20</v>
      </c>
      <c r="H391" s="244"/>
      <c r="I391" s="449">
        <v>-0.86</v>
      </c>
      <c r="J391" s="462">
        <v>-1.5490806770324701</v>
      </c>
      <c r="K391" s="491">
        <f t="shared" si="6"/>
        <v>12.945400554720697</v>
      </c>
      <c r="L391" s="295" t="s">
        <v>665</v>
      </c>
      <c r="M391" s="296" t="s">
        <v>85</v>
      </c>
      <c r="N391" s="297" t="s">
        <v>192</v>
      </c>
      <c r="O391" s="298" t="s">
        <v>44</v>
      </c>
      <c r="P391" s="314" t="s">
        <v>91</v>
      </c>
      <c r="Q391" s="307" t="s">
        <v>492</v>
      </c>
      <c r="R391" s="299" t="s">
        <v>149</v>
      </c>
      <c r="S391" s="300"/>
    </row>
    <row r="392" spans="1:19">
      <c r="A392" s="167">
        <v>690</v>
      </c>
      <c r="B392" s="428"/>
      <c r="F392" s="657">
        <v>169.97</v>
      </c>
      <c r="G392" s="156" t="s">
        <v>20</v>
      </c>
      <c r="H392" s="244"/>
      <c r="I392" s="449">
        <v>-0.76</v>
      </c>
      <c r="J392" s="462">
        <v>-1.5490806770324701</v>
      </c>
      <c r="K392" s="491">
        <f t="shared" si="6"/>
        <v>12.494704006907282</v>
      </c>
      <c r="L392" s="295" t="s">
        <v>665</v>
      </c>
      <c r="M392" s="296" t="s">
        <v>85</v>
      </c>
      <c r="N392" s="297" t="s">
        <v>192</v>
      </c>
      <c r="O392" s="298" t="s">
        <v>44</v>
      </c>
      <c r="P392" s="314" t="s">
        <v>91</v>
      </c>
      <c r="Q392" s="307" t="s">
        <v>492</v>
      </c>
      <c r="R392" s="299" t="s">
        <v>149</v>
      </c>
      <c r="S392" s="300"/>
    </row>
    <row r="393" spans="1:19">
      <c r="A393" s="167">
        <v>690</v>
      </c>
      <c r="B393" s="428"/>
      <c r="F393" s="657">
        <v>169.97</v>
      </c>
      <c r="G393" s="156" t="s">
        <v>20</v>
      </c>
      <c r="H393" s="244"/>
      <c r="I393" s="449">
        <v>-1.74</v>
      </c>
      <c r="J393" s="462">
        <v>-1.5490806770324701</v>
      </c>
      <c r="K393" s="491">
        <f t="shared" si="6"/>
        <v>16.989146175478755</v>
      </c>
      <c r="L393" s="295" t="s">
        <v>665</v>
      </c>
      <c r="M393" s="296" t="s">
        <v>85</v>
      </c>
      <c r="N393" s="297" t="s">
        <v>192</v>
      </c>
      <c r="O393" s="298" t="s">
        <v>44</v>
      </c>
      <c r="P393" s="314" t="s">
        <v>91</v>
      </c>
      <c r="Q393" s="307" t="s">
        <v>492</v>
      </c>
      <c r="R393" s="299" t="s">
        <v>149</v>
      </c>
      <c r="S393" s="300"/>
    </row>
    <row r="394" spans="1:19">
      <c r="A394" s="167">
        <v>690</v>
      </c>
      <c r="B394" s="428"/>
      <c r="F394" s="657">
        <v>170.04</v>
      </c>
      <c r="G394" s="156" t="s">
        <v>20</v>
      </c>
      <c r="H394" s="244"/>
      <c r="I394" s="449">
        <v>-0.87</v>
      </c>
      <c r="J394" s="462">
        <v>-1.5490806770324701</v>
      </c>
      <c r="K394" s="491">
        <f t="shared" ref="K394:K457" si="7">16.1-4.64*($I394-J394)+0.09*($I394-J394)^2</f>
        <v>12.99056920950204</v>
      </c>
      <c r="L394" s="295" t="s">
        <v>665</v>
      </c>
      <c r="M394" s="296" t="s">
        <v>85</v>
      </c>
      <c r="N394" s="297" t="s">
        <v>192</v>
      </c>
      <c r="O394" s="298" t="s">
        <v>44</v>
      </c>
      <c r="P394" s="314" t="s">
        <v>91</v>
      </c>
      <c r="Q394" s="307" t="s">
        <v>492</v>
      </c>
      <c r="R394" s="299" t="s">
        <v>149</v>
      </c>
      <c r="S394" s="300"/>
    </row>
    <row r="395" spans="1:19">
      <c r="A395" s="167">
        <v>690</v>
      </c>
      <c r="B395" s="428"/>
      <c r="F395" s="657">
        <v>170.04</v>
      </c>
      <c r="G395" s="156" t="s">
        <v>20</v>
      </c>
      <c r="H395" s="244"/>
      <c r="I395" s="449">
        <v>-1.1299999999999999</v>
      </c>
      <c r="J395" s="462">
        <v>-1.5490806770324701</v>
      </c>
      <c r="K395" s="491">
        <f t="shared" si="7"/>
        <v>14.171272233816918</v>
      </c>
      <c r="L395" s="295" t="s">
        <v>665</v>
      </c>
      <c r="M395" s="296" t="s">
        <v>85</v>
      </c>
      <c r="N395" s="297" t="s">
        <v>192</v>
      </c>
      <c r="O395" s="298" t="s">
        <v>44</v>
      </c>
      <c r="P395" s="314" t="s">
        <v>91</v>
      </c>
      <c r="Q395" s="307" t="s">
        <v>492</v>
      </c>
      <c r="R395" s="299" t="s">
        <v>149</v>
      </c>
      <c r="S395" s="300"/>
    </row>
    <row r="396" spans="1:19">
      <c r="A396" s="167">
        <v>690</v>
      </c>
      <c r="B396" s="428"/>
      <c r="F396" s="657">
        <v>170.04</v>
      </c>
      <c r="G396" s="156" t="s">
        <v>20</v>
      </c>
      <c r="H396" s="244"/>
      <c r="I396" s="449">
        <v>-0.74</v>
      </c>
      <c r="J396" s="462">
        <v>-1.5490806770324701</v>
      </c>
      <c r="K396" s="491">
        <f t="shared" si="7"/>
        <v>12.4047806973446</v>
      </c>
      <c r="L396" s="295" t="s">
        <v>665</v>
      </c>
      <c r="M396" s="296" t="s">
        <v>85</v>
      </c>
      <c r="N396" s="297" t="s">
        <v>192</v>
      </c>
      <c r="O396" s="298" t="s">
        <v>44</v>
      </c>
      <c r="P396" s="314" t="s">
        <v>91</v>
      </c>
      <c r="Q396" s="307" t="s">
        <v>492</v>
      </c>
      <c r="R396" s="299" t="s">
        <v>149</v>
      </c>
      <c r="S396" s="300"/>
    </row>
    <row r="397" spans="1:19">
      <c r="A397" s="167">
        <v>690</v>
      </c>
      <c r="B397" s="428"/>
      <c r="F397" s="657">
        <v>170.04</v>
      </c>
      <c r="G397" s="156" t="s">
        <v>20</v>
      </c>
      <c r="H397" s="244"/>
      <c r="I397" s="449">
        <v>-1.62</v>
      </c>
      <c r="J397" s="462">
        <v>-1.5490806770324701</v>
      </c>
      <c r="K397" s="491">
        <f t="shared" si="7"/>
        <v>16.429518318102655</v>
      </c>
      <c r="L397" s="295" t="s">
        <v>665</v>
      </c>
      <c r="M397" s="296" t="s">
        <v>85</v>
      </c>
      <c r="N397" s="297" t="s">
        <v>192</v>
      </c>
      <c r="O397" s="298" t="s">
        <v>44</v>
      </c>
      <c r="P397" s="314" t="s">
        <v>91</v>
      </c>
      <c r="Q397" s="307" t="s">
        <v>492</v>
      </c>
      <c r="R397" s="299" t="s">
        <v>149</v>
      </c>
      <c r="S397" s="300"/>
    </row>
    <row r="398" spans="1:19">
      <c r="A398" s="167">
        <v>690</v>
      </c>
      <c r="B398" s="428"/>
      <c r="F398" s="657">
        <v>170.06</v>
      </c>
      <c r="G398" s="156" t="s">
        <v>20</v>
      </c>
      <c r="H398" s="244"/>
      <c r="I398" s="449">
        <v>-0.8</v>
      </c>
      <c r="J398" s="462">
        <v>-1.5490806770324701</v>
      </c>
      <c r="K398" s="491">
        <f t="shared" si="7"/>
        <v>12.67476662603265</v>
      </c>
      <c r="L398" s="295" t="s">
        <v>665</v>
      </c>
      <c r="M398" s="296" t="s">
        <v>85</v>
      </c>
      <c r="N398" s="297" t="s">
        <v>192</v>
      </c>
      <c r="O398" s="298" t="s">
        <v>44</v>
      </c>
      <c r="P398" s="314" t="s">
        <v>91</v>
      </c>
      <c r="Q398" s="307" t="s">
        <v>492</v>
      </c>
      <c r="R398" s="299" t="s">
        <v>149</v>
      </c>
      <c r="S398" s="300"/>
    </row>
    <row r="399" spans="1:19">
      <c r="A399" s="167">
        <v>690</v>
      </c>
      <c r="B399" s="428"/>
      <c r="F399" s="657">
        <v>170.06</v>
      </c>
      <c r="G399" s="156" t="s">
        <v>20</v>
      </c>
      <c r="H399" s="244"/>
      <c r="I399" s="449">
        <v>-1.04</v>
      </c>
      <c r="J399" s="462">
        <v>-1.5490806770324701</v>
      </c>
      <c r="K399" s="491">
        <f t="shared" si="7"/>
        <v>13.761190340784847</v>
      </c>
      <c r="L399" s="295" t="s">
        <v>665</v>
      </c>
      <c r="M399" s="296" t="s">
        <v>85</v>
      </c>
      <c r="N399" s="297" t="s">
        <v>192</v>
      </c>
      <c r="O399" s="298" t="s">
        <v>44</v>
      </c>
      <c r="P399" s="314" t="s">
        <v>91</v>
      </c>
      <c r="Q399" s="307" t="s">
        <v>492</v>
      </c>
      <c r="R399" s="299" t="s">
        <v>149</v>
      </c>
      <c r="S399" s="300"/>
    </row>
    <row r="400" spans="1:19">
      <c r="A400" s="167">
        <v>690</v>
      </c>
      <c r="B400" s="428"/>
      <c r="F400" s="657">
        <v>170.11</v>
      </c>
      <c r="G400" s="156" t="s">
        <v>20</v>
      </c>
      <c r="H400" s="244"/>
      <c r="I400" s="449">
        <v>-1.04</v>
      </c>
      <c r="J400" s="462">
        <v>-1.5490806770324701</v>
      </c>
      <c r="K400" s="491">
        <f t="shared" si="7"/>
        <v>13.761190340784847</v>
      </c>
      <c r="L400" s="295" t="s">
        <v>665</v>
      </c>
      <c r="M400" s="296" t="s">
        <v>85</v>
      </c>
      <c r="N400" s="297" t="s">
        <v>192</v>
      </c>
      <c r="O400" s="298" t="s">
        <v>44</v>
      </c>
      <c r="P400" s="314" t="s">
        <v>91</v>
      </c>
      <c r="Q400" s="307" t="s">
        <v>492</v>
      </c>
      <c r="R400" s="299" t="s">
        <v>149</v>
      </c>
      <c r="S400" s="300"/>
    </row>
    <row r="401" spans="1:19">
      <c r="A401" s="167">
        <v>690</v>
      </c>
      <c r="B401" s="428"/>
      <c r="F401" s="657">
        <v>170.11</v>
      </c>
      <c r="G401" s="156" t="s">
        <v>20</v>
      </c>
      <c r="H401" s="244"/>
      <c r="I401" s="449">
        <v>-0.92</v>
      </c>
      <c r="J401" s="462">
        <v>-1.5490806770324701</v>
      </c>
      <c r="K401" s="491">
        <f t="shared" si="7"/>
        <v>13.216682483408748</v>
      </c>
      <c r="L401" s="295" t="s">
        <v>665</v>
      </c>
      <c r="M401" s="296" t="s">
        <v>85</v>
      </c>
      <c r="N401" s="297" t="s">
        <v>192</v>
      </c>
      <c r="O401" s="298" t="s">
        <v>44</v>
      </c>
      <c r="P401" s="314" t="s">
        <v>91</v>
      </c>
      <c r="Q401" s="307" t="s">
        <v>492</v>
      </c>
      <c r="R401" s="299" t="s">
        <v>149</v>
      </c>
      <c r="S401" s="300"/>
    </row>
    <row r="402" spans="1:19">
      <c r="A402" s="167">
        <v>690</v>
      </c>
      <c r="B402" s="428"/>
      <c r="F402" s="657">
        <v>170.11</v>
      </c>
      <c r="G402" s="156" t="s">
        <v>20</v>
      </c>
      <c r="H402" s="244"/>
      <c r="I402" s="449">
        <v>-0.97</v>
      </c>
      <c r="J402" s="462">
        <v>-1.5490806770324701</v>
      </c>
      <c r="K402" s="491">
        <f t="shared" si="7"/>
        <v>13.443245757315456</v>
      </c>
      <c r="L402" s="295" t="s">
        <v>665</v>
      </c>
      <c r="M402" s="296" t="s">
        <v>85</v>
      </c>
      <c r="N402" s="297" t="s">
        <v>192</v>
      </c>
      <c r="O402" s="298" t="s">
        <v>44</v>
      </c>
      <c r="P402" s="314" t="s">
        <v>91</v>
      </c>
      <c r="Q402" s="307" t="s">
        <v>492</v>
      </c>
      <c r="R402" s="299" t="s">
        <v>149</v>
      </c>
      <c r="S402" s="300"/>
    </row>
    <row r="403" spans="1:19">
      <c r="A403" s="167">
        <v>690</v>
      </c>
      <c r="B403" s="428"/>
      <c r="F403" s="657">
        <v>170.11</v>
      </c>
      <c r="G403" s="156" t="s">
        <v>20</v>
      </c>
      <c r="H403" s="244"/>
      <c r="I403" s="449">
        <v>-0.98</v>
      </c>
      <c r="J403" s="462">
        <v>-1.5490806770324701</v>
      </c>
      <c r="K403" s="491">
        <f t="shared" si="7"/>
        <v>13.488612412096796</v>
      </c>
      <c r="L403" s="295" t="s">
        <v>665</v>
      </c>
      <c r="M403" s="296" t="s">
        <v>85</v>
      </c>
      <c r="N403" s="297" t="s">
        <v>192</v>
      </c>
      <c r="O403" s="298" t="s">
        <v>44</v>
      </c>
      <c r="P403" s="314" t="s">
        <v>91</v>
      </c>
      <c r="Q403" s="307" t="s">
        <v>492</v>
      </c>
      <c r="R403" s="299" t="s">
        <v>149</v>
      </c>
      <c r="S403" s="300"/>
    </row>
    <row r="404" spans="1:19">
      <c r="A404" s="167">
        <v>690</v>
      </c>
      <c r="B404" s="428"/>
      <c r="F404" s="657">
        <v>170.11</v>
      </c>
      <c r="G404" s="156" t="s">
        <v>20</v>
      </c>
      <c r="H404" s="244"/>
      <c r="I404" s="449">
        <v>-0.92</v>
      </c>
      <c r="J404" s="462">
        <v>-1.5490806770324701</v>
      </c>
      <c r="K404" s="491">
        <f t="shared" si="7"/>
        <v>13.216682483408748</v>
      </c>
      <c r="L404" s="295" t="s">
        <v>665</v>
      </c>
      <c r="M404" s="296" t="s">
        <v>85</v>
      </c>
      <c r="N404" s="297" t="s">
        <v>192</v>
      </c>
      <c r="O404" s="298" t="s">
        <v>44</v>
      </c>
      <c r="P404" s="314" t="s">
        <v>91</v>
      </c>
      <c r="Q404" s="307" t="s">
        <v>492</v>
      </c>
      <c r="R404" s="299" t="s">
        <v>149</v>
      </c>
      <c r="S404" s="300"/>
    </row>
    <row r="405" spans="1:19">
      <c r="A405" s="167">
        <v>690</v>
      </c>
      <c r="B405" s="428"/>
      <c r="F405" s="657">
        <v>170.11</v>
      </c>
      <c r="G405" s="156" t="s">
        <v>20</v>
      </c>
      <c r="H405" s="244"/>
      <c r="I405" s="449">
        <v>-1.55</v>
      </c>
      <c r="J405" s="462">
        <v>-1.5490806770324701</v>
      </c>
      <c r="K405" s="491">
        <f t="shared" si="7"/>
        <v>16.104265734633262</v>
      </c>
      <c r="L405" s="295" t="s">
        <v>665</v>
      </c>
      <c r="M405" s="296" t="s">
        <v>85</v>
      </c>
      <c r="N405" s="297" t="s">
        <v>192</v>
      </c>
      <c r="O405" s="298" t="s">
        <v>44</v>
      </c>
      <c r="P405" s="314" t="s">
        <v>91</v>
      </c>
      <c r="Q405" s="307" t="s">
        <v>492</v>
      </c>
      <c r="R405" s="299" t="s">
        <v>149</v>
      </c>
      <c r="S405" s="300"/>
    </row>
    <row r="406" spans="1:19">
      <c r="A406" s="167">
        <v>690</v>
      </c>
      <c r="B406" s="428"/>
      <c r="F406" s="657">
        <v>170.16</v>
      </c>
      <c r="G406" s="156" t="s">
        <v>20</v>
      </c>
      <c r="H406" s="244"/>
      <c r="I406" s="449">
        <v>-1.08</v>
      </c>
      <c r="J406" s="462">
        <v>-1.5490806770324701</v>
      </c>
      <c r="K406" s="491">
        <f t="shared" si="7"/>
        <v>13.943268959910213</v>
      </c>
      <c r="L406" s="295" t="s">
        <v>665</v>
      </c>
      <c r="M406" s="296" t="s">
        <v>85</v>
      </c>
      <c r="N406" s="297" t="s">
        <v>192</v>
      </c>
      <c r="O406" s="298" t="s">
        <v>44</v>
      </c>
      <c r="P406" s="314" t="s">
        <v>91</v>
      </c>
      <c r="Q406" s="307" t="s">
        <v>492</v>
      </c>
      <c r="R406" s="299" t="s">
        <v>149</v>
      </c>
      <c r="S406" s="300"/>
    </row>
    <row r="407" spans="1:19">
      <c r="A407" s="167">
        <v>690</v>
      </c>
      <c r="B407" s="428"/>
      <c r="F407" s="657">
        <v>170.16</v>
      </c>
      <c r="G407" s="156" t="s">
        <v>20</v>
      </c>
      <c r="H407" s="244"/>
      <c r="I407" s="449">
        <v>-0.95</v>
      </c>
      <c r="J407" s="462">
        <v>-1.5490806770324701</v>
      </c>
      <c r="K407" s="491">
        <f t="shared" si="7"/>
        <v>13.352566447752771</v>
      </c>
      <c r="L407" s="295" t="s">
        <v>665</v>
      </c>
      <c r="M407" s="296" t="s">
        <v>85</v>
      </c>
      <c r="N407" s="297" t="s">
        <v>192</v>
      </c>
      <c r="O407" s="298" t="s">
        <v>44</v>
      </c>
      <c r="P407" s="314" t="s">
        <v>91</v>
      </c>
      <c r="Q407" s="307" t="s">
        <v>492</v>
      </c>
      <c r="R407" s="299" t="s">
        <v>149</v>
      </c>
      <c r="S407" s="300"/>
    </row>
    <row r="408" spans="1:19">
      <c r="A408" s="167">
        <v>690</v>
      </c>
      <c r="B408" s="428"/>
      <c r="F408" s="657">
        <v>170.16</v>
      </c>
      <c r="G408" s="156" t="s">
        <v>20</v>
      </c>
      <c r="H408" s="244"/>
      <c r="I408" s="449">
        <v>-1.01</v>
      </c>
      <c r="J408" s="462">
        <v>-1.5490806770324701</v>
      </c>
      <c r="K408" s="491">
        <f t="shared" si="7"/>
        <v>13.624820376440821</v>
      </c>
      <c r="L408" s="295" t="s">
        <v>665</v>
      </c>
      <c r="M408" s="296" t="s">
        <v>85</v>
      </c>
      <c r="N408" s="297" t="s">
        <v>192</v>
      </c>
      <c r="O408" s="298" t="s">
        <v>44</v>
      </c>
      <c r="P408" s="314" t="s">
        <v>91</v>
      </c>
      <c r="Q408" s="307" t="s">
        <v>492</v>
      </c>
      <c r="R408" s="299" t="s">
        <v>149</v>
      </c>
      <c r="S408" s="300"/>
    </row>
    <row r="409" spans="1:19">
      <c r="A409" s="167">
        <v>690</v>
      </c>
      <c r="B409" s="428"/>
      <c r="F409" s="657">
        <v>170.16</v>
      </c>
      <c r="G409" s="156" t="s">
        <v>20</v>
      </c>
      <c r="H409" s="244"/>
      <c r="I409" s="449">
        <v>-1.05</v>
      </c>
      <c r="J409" s="462">
        <v>-1.5490806770324701</v>
      </c>
      <c r="K409" s="491">
        <f t="shared" si="7"/>
        <v>13.806682995566188</v>
      </c>
      <c r="L409" s="295" t="s">
        <v>665</v>
      </c>
      <c r="M409" s="296" t="s">
        <v>85</v>
      </c>
      <c r="N409" s="297" t="s">
        <v>192</v>
      </c>
      <c r="O409" s="298" t="s">
        <v>44</v>
      </c>
      <c r="P409" s="314" t="s">
        <v>91</v>
      </c>
      <c r="Q409" s="307" t="s">
        <v>492</v>
      </c>
      <c r="R409" s="299" t="s">
        <v>149</v>
      </c>
      <c r="S409" s="300"/>
    </row>
    <row r="410" spans="1:19">
      <c r="A410" s="167">
        <v>690</v>
      </c>
      <c r="B410" s="428"/>
      <c r="F410" s="657">
        <v>170.16</v>
      </c>
      <c r="G410" s="156" t="s">
        <v>20</v>
      </c>
      <c r="H410" s="244"/>
      <c r="I410" s="449">
        <v>-0.99</v>
      </c>
      <c r="J410" s="462">
        <v>-1.5490806770324701</v>
      </c>
      <c r="K410" s="491">
        <f t="shared" si="7"/>
        <v>13.53399706687814</v>
      </c>
      <c r="L410" s="295" t="s">
        <v>665</v>
      </c>
      <c r="M410" s="296" t="s">
        <v>85</v>
      </c>
      <c r="N410" s="297" t="s">
        <v>192</v>
      </c>
      <c r="O410" s="298" t="s">
        <v>44</v>
      </c>
      <c r="P410" s="314" t="s">
        <v>91</v>
      </c>
      <c r="Q410" s="307" t="s">
        <v>492</v>
      </c>
      <c r="R410" s="299" t="s">
        <v>149</v>
      </c>
      <c r="S410" s="300"/>
    </row>
    <row r="411" spans="1:19">
      <c r="A411" s="167">
        <v>690</v>
      </c>
      <c r="B411" s="428"/>
      <c r="F411" s="657">
        <v>170.16</v>
      </c>
      <c r="G411" s="156" t="s">
        <v>20</v>
      </c>
      <c r="H411" s="244"/>
      <c r="I411" s="449">
        <v>-1.1100000000000001</v>
      </c>
      <c r="J411" s="462">
        <v>-1.5490806770324701</v>
      </c>
      <c r="K411" s="491">
        <f t="shared" si="7"/>
        <v>14.080016924254236</v>
      </c>
      <c r="L411" s="295" t="s">
        <v>665</v>
      </c>
      <c r="M411" s="296" t="s">
        <v>85</v>
      </c>
      <c r="N411" s="297" t="s">
        <v>192</v>
      </c>
      <c r="O411" s="298" t="s">
        <v>44</v>
      </c>
      <c r="P411" s="314" t="s">
        <v>91</v>
      </c>
      <c r="Q411" s="307" t="s">
        <v>492</v>
      </c>
      <c r="R411" s="299" t="s">
        <v>149</v>
      </c>
      <c r="S411" s="300"/>
    </row>
    <row r="412" spans="1:19">
      <c r="A412" s="167">
        <v>690</v>
      </c>
      <c r="B412" s="428"/>
      <c r="F412" s="657">
        <v>170.21</v>
      </c>
      <c r="G412" s="156" t="s">
        <v>20</v>
      </c>
      <c r="H412" s="244"/>
      <c r="I412" s="449">
        <v>-1.02</v>
      </c>
      <c r="J412" s="462">
        <v>-1.5490806770324701</v>
      </c>
      <c r="K412" s="491">
        <f t="shared" si="7"/>
        <v>13.670259031222162</v>
      </c>
      <c r="L412" s="295" t="s">
        <v>665</v>
      </c>
      <c r="M412" s="296" t="s">
        <v>85</v>
      </c>
      <c r="N412" s="297" t="s">
        <v>192</v>
      </c>
      <c r="O412" s="298" t="s">
        <v>44</v>
      </c>
      <c r="P412" s="314" t="s">
        <v>91</v>
      </c>
      <c r="Q412" s="307" t="s">
        <v>492</v>
      </c>
      <c r="R412" s="299" t="s">
        <v>149</v>
      </c>
      <c r="S412" s="300"/>
    </row>
    <row r="413" spans="1:19">
      <c r="A413" s="167">
        <v>690</v>
      </c>
      <c r="B413" s="428"/>
      <c r="F413" s="657">
        <v>170.21</v>
      </c>
      <c r="G413" s="156" t="s">
        <v>20</v>
      </c>
      <c r="H413" s="244"/>
      <c r="I413" s="449">
        <v>-1.1499999999999999</v>
      </c>
      <c r="J413" s="462">
        <v>-1.5490806770324701</v>
      </c>
      <c r="K413" s="491">
        <f t="shared" si="7"/>
        <v>14.262599543379602</v>
      </c>
      <c r="L413" s="295" t="s">
        <v>665</v>
      </c>
      <c r="M413" s="296" t="s">
        <v>85</v>
      </c>
      <c r="N413" s="297" t="s">
        <v>192</v>
      </c>
      <c r="O413" s="298" t="s">
        <v>44</v>
      </c>
      <c r="P413" s="314" t="s">
        <v>91</v>
      </c>
      <c r="Q413" s="307" t="s">
        <v>492</v>
      </c>
      <c r="R413" s="299" t="s">
        <v>149</v>
      </c>
      <c r="S413" s="300"/>
    </row>
    <row r="414" spans="1:19">
      <c r="A414" s="167">
        <v>690</v>
      </c>
      <c r="B414" s="428"/>
      <c r="F414" s="657">
        <v>170.21</v>
      </c>
      <c r="G414" s="156" t="s">
        <v>20</v>
      </c>
      <c r="H414" s="244"/>
      <c r="I414" s="449">
        <v>-1.02</v>
      </c>
      <c r="J414" s="462">
        <v>-1.5490806770324701</v>
      </c>
      <c r="K414" s="491">
        <f t="shared" si="7"/>
        <v>13.670259031222162</v>
      </c>
      <c r="L414" s="295" t="s">
        <v>665</v>
      </c>
      <c r="M414" s="296" t="s">
        <v>85</v>
      </c>
      <c r="N414" s="297" t="s">
        <v>192</v>
      </c>
      <c r="O414" s="298" t="s">
        <v>44</v>
      </c>
      <c r="P414" s="314" t="s">
        <v>91</v>
      </c>
      <c r="Q414" s="307" t="s">
        <v>492</v>
      </c>
      <c r="R414" s="299" t="s">
        <v>149</v>
      </c>
      <c r="S414" s="300"/>
    </row>
    <row r="415" spans="1:19">
      <c r="A415" s="167">
        <v>690</v>
      </c>
      <c r="B415" s="428"/>
      <c r="F415" s="657">
        <v>170.21</v>
      </c>
      <c r="G415" s="156" t="s">
        <v>20</v>
      </c>
      <c r="H415" s="244"/>
      <c r="I415" s="449">
        <v>-0.92</v>
      </c>
      <c r="J415" s="462">
        <v>-1.5490806770324701</v>
      </c>
      <c r="K415" s="491">
        <f t="shared" si="7"/>
        <v>13.216682483408748</v>
      </c>
      <c r="L415" s="295" t="s">
        <v>665</v>
      </c>
      <c r="M415" s="296" t="s">
        <v>85</v>
      </c>
      <c r="N415" s="297" t="s">
        <v>192</v>
      </c>
      <c r="O415" s="298" t="s">
        <v>44</v>
      </c>
      <c r="P415" s="314" t="s">
        <v>91</v>
      </c>
      <c r="Q415" s="307" t="s">
        <v>492</v>
      </c>
      <c r="R415" s="299" t="s">
        <v>149</v>
      </c>
      <c r="S415" s="300"/>
    </row>
    <row r="416" spans="1:19">
      <c r="A416" s="167">
        <v>690</v>
      </c>
      <c r="B416" s="428"/>
      <c r="F416" s="657">
        <v>170.21</v>
      </c>
      <c r="G416" s="156" t="s">
        <v>20</v>
      </c>
      <c r="H416" s="244"/>
      <c r="I416" s="449">
        <v>-0.95</v>
      </c>
      <c r="J416" s="462">
        <v>-1.5490806770324701</v>
      </c>
      <c r="K416" s="491">
        <f t="shared" si="7"/>
        <v>13.352566447752771</v>
      </c>
      <c r="L416" s="295" t="s">
        <v>665</v>
      </c>
      <c r="M416" s="296" t="s">
        <v>85</v>
      </c>
      <c r="N416" s="297" t="s">
        <v>192</v>
      </c>
      <c r="O416" s="298" t="s">
        <v>44</v>
      </c>
      <c r="P416" s="314" t="s">
        <v>91</v>
      </c>
      <c r="Q416" s="307" t="s">
        <v>492</v>
      </c>
      <c r="R416" s="299" t="s">
        <v>149</v>
      </c>
      <c r="S416" s="300"/>
    </row>
    <row r="417" spans="1:19">
      <c r="A417" s="167">
        <v>690</v>
      </c>
      <c r="B417" s="428"/>
      <c r="F417" s="657">
        <v>170.21</v>
      </c>
      <c r="G417" s="156" t="s">
        <v>20</v>
      </c>
      <c r="H417" s="244"/>
      <c r="I417" s="449">
        <v>-0.96</v>
      </c>
      <c r="J417" s="462">
        <v>-1.5490806770324701</v>
      </c>
      <c r="K417" s="491">
        <f t="shared" si="7"/>
        <v>13.397897102534113</v>
      </c>
      <c r="L417" s="295" t="s">
        <v>665</v>
      </c>
      <c r="M417" s="296" t="s">
        <v>85</v>
      </c>
      <c r="N417" s="297" t="s">
        <v>192</v>
      </c>
      <c r="O417" s="298" t="s">
        <v>44</v>
      </c>
      <c r="P417" s="314" t="s">
        <v>91</v>
      </c>
      <c r="Q417" s="307" t="s">
        <v>492</v>
      </c>
      <c r="R417" s="299" t="s">
        <v>149</v>
      </c>
      <c r="S417" s="300"/>
    </row>
    <row r="418" spans="1:19">
      <c r="A418" s="167">
        <v>690</v>
      </c>
      <c r="B418" s="428"/>
      <c r="F418" s="657">
        <v>170.26</v>
      </c>
      <c r="G418" s="156" t="s">
        <v>20</v>
      </c>
      <c r="H418" s="244"/>
      <c r="I418" s="449">
        <v>-1.34</v>
      </c>
      <c r="J418" s="462">
        <v>-1.5490806770324701</v>
      </c>
      <c r="K418" s="491">
        <f t="shared" si="7"/>
        <v>15.133799984225092</v>
      </c>
      <c r="L418" s="295" t="s">
        <v>665</v>
      </c>
      <c r="M418" s="296" t="s">
        <v>85</v>
      </c>
      <c r="N418" s="297" t="s">
        <v>192</v>
      </c>
      <c r="O418" s="298" t="s">
        <v>44</v>
      </c>
      <c r="P418" s="314" t="s">
        <v>91</v>
      </c>
      <c r="Q418" s="307" t="s">
        <v>492</v>
      </c>
      <c r="R418" s="299" t="s">
        <v>149</v>
      </c>
      <c r="S418" s="300"/>
    </row>
    <row r="419" spans="1:19">
      <c r="A419" s="167">
        <v>690</v>
      </c>
      <c r="B419" s="428"/>
      <c r="F419" s="657">
        <v>170.26</v>
      </c>
      <c r="G419" s="156" t="s">
        <v>20</v>
      </c>
      <c r="H419" s="244"/>
      <c r="I419" s="449">
        <v>-1.1299999999999999</v>
      </c>
      <c r="J419" s="462">
        <v>-1.5490806770324701</v>
      </c>
      <c r="K419" s="491">
        <f t="shared" si="7"/>
        <v>14.171272233816918</v>
      </c>
      <c r="L419" s="295" t="s">
        <v>665</v>
      </c>
      <c r="M419" s="296" t="s">
        <v>85</v>
      </c>
      <c r="N419" s="297" t="s">
        <v>192</v>
      </c>
      <c r="O419" s="298" t="s">
        <v>44</v>
      </c>
      <c r="P419" s="314" t="s">
        <v>91</v>
      </c>
      <c r="Q419" s="307" t="s">
        <v>492</v>
      </c>
      <c r="R419" s="299" t="s">
        <v>149</v>
      </c>
      <c r="S419" s="300"/>
    </row>
    <row r="420" spans="1:19">
      <c r="A420" s="167">
        <v>690</v>
      </c>
      <c r="B420" s="428"/>
      <c r="F420" s="657">
        <v>170.26</v>
      </c>
      <c r="G420" s="156" t="s">
        <v>20</v>
      </c>
      <c r="H420" s="244"/>
      <c r="I420" s="449">
        <v>-1.01</v>
      </c>
      <c r="J420" s="462">
        <v>-1.5490806770324701</v>
      </c>
      <c r="K420" s="491">
        <f t="shared" si="7"/>
        <v>13.624820376440821</v>
      </c>
      <c r="L420" s="295" t="s">
        <v>665</v>
      </c>
      <c r="M420" s="296" t="s">
        <v>85</v>
      </c>
      <c r="N420" s="297" t="s">
        <v>192</v>
      </c>
      <c r="O420" s="298" t="s">
        <v>44</v>
      </c>
      <c r="P420" s="314" t="s">
        <v>91</v>
      </c>
      <c r="Q420" s="307" t="s">
        <v>492</v>
      </c>
      <c r="R420" s="299" t="s">
        <v>149</v>
      </c>
      <c r="S420" s="300"/>
    </row>
    <row r="421" spans="1:19">
      <c r="A421" s="167">
        <v>690</v>
      </c>
      <c r="B421" s="428"/>
      <c r="F421" s="657">
        <v>170.26</v>
      </c>
      <c r="G421" s="156" t="s">
        <v>20</v>
      </c>
      <c r="H421" s="244"/>
      <c r="I421" s="449">
        <v>-1.01</v>
      </c>
      <c r="J421" s="462">
        <v>-1.5490806770324701</v>
      </c>
      <c r="K421" s="491">
        <f t="shared" si="7"/>
        <v>13.624820376440821</v>
      </c>
      <c r="L421" s="295" t="s">
        <v>665</v>
      </c>
      <c r="M421" s="296" t="s">
        <v>85</v>
      </c>
      <c r="N421" s="297" t="s">
        <v>192</v>
      </c>
      <c r="O421" s="298" t="s">
        <v>44</v>
      </c>
      <c r="P421" s="314" t="s">
        <v>91</v>
      </c>
      <c r="Q421" s="307" t="s">
        <v>492</v>
      </c>
      <c r="R421" s="299" t="s">
        <v>149</v>
      </c>
      <c r="S421" s="300"/>
    </row>
    <row r="422" spans="1:19">
      <c r="A422" s="167">
        <v>690</v>
      </c>
      <c r="B422" s="428"/>
      <c r="F422" s="657">
        <v>170.26</v>
      </c>
      <c r="G422" s="156" t="s">
        <v>20</v>
      </c>
      <c r="H422" s="244"/>
      <c r="I422" s="449">
        <v>-1.02</v>
      </c>
      <c r="J422" s="462">
        <v>-1.5490806770324701</v>
      </c>
      <c r="K422" s="491">
        <f t="shared" si="7"/>
        <v>13.670259031222162</v>
      </c>
      <c r="L422" s="295" t="s">
        <v>665</v>
      </c>
      <c r="M422" s="296" t="s">
        <v>85</v>
      </c>
      <c r="N422" s="297" t="s">
        <v>192</v>
      </c>
      <c r="O422" s="298" t="s">
        <v>44</v>
      </c>
      <c r="P422" s="314" t="s">
        <v>91</v>
      </c>
      <c r="Q422" s="307" t="s">
        <v>492</v>
      </c>
      <c r="R422" s="299" t="s">
        <v>149</v>
      </c>
      <c r="S422" s="300"/>
    </row>
    <row r="423" spans="1:19">
      <c r="A423" s="167">
        <v>690</v>
      </c>
      <c r="B423" s="428"/>
      <c r="F423" s="657">
        <v>170.26</v>
      </c>
      <c r="G423" s="156" t="s">
        <v>20</v>
      </c>
      <c r="H423" s="244"/>
      <c r="I423" s="449">
        <v>-1.06</v>
      </c>
      <c r="J423" s="462">
        <v>-1.5490806770324701</v>
      </c>
      <c r="K423" s="491">
        <f t="shared" si="7"/>
        <v>13.85219365034753</v>
      </c>
      <c r="L423" s="295" t="s">
        <v>665</v>
      </c>
      <c r="M423" s="296" t="s">
        <v>85</v>
      </c>
      <c r="N423" s="297" t="s">
        <v>192</v>
      </c>
      <c r="O423" s="298" t="s">
        <v>44</v>
      </c>
      <c r="P423" s="314" t="s">
        <v>91</v>
      </c>
      <c r="Q423" s="307" t="s">
        <v>492</v>
      </c>
      <c r="R423" s="299" t="s">
        <v>149</v>
      </c>
      <c r="S423" s="300"/>
    </row>
    <row r="424" spans="1:19">
      <c r="A424" s="167">
        <v>690</v>
      </c>
      <c r="B424" s="428"/>
      <c r="F424" s="657">
        <v>170.31</v>
      </c>
      <c r="G424" s="156" t="s">
        <v>20</v>
      </c>
      <c r="H424" s="244"/>
      <c r="I424" s="449">
        <v>-1.1000000000000001</v>
      </c>
      <c r="J424" s="462">
        <v>-1.5490806770324701</v>
      </c>
      <c r="K424" s="491">
        <f t="shared" si="7"/>
        <v>14.034416269472896</v>
      </c>
      <c r="L424" s="295" t="s">
        <v>665</v>
      </c>
      <c r="M424" s="296" t="s">
        <v>85</v>
      </c>
      <c r="N424" s="297" t="s">
        <v>192</v>
      </c>
      <c r="O424" s="298" t="s">
        <v>44</v>
      </c>
      <c r="P424" s="314" t="s">
        <v>91</v>
      </c>
      <c r="Q424" s="307" t="s">
        <v>492</v>
      </c>
      <c r="R424" s="299" t="s">
        <v>149</v>
      </c>
      <c r="S424" s="300"/>
    </row>
    <row r="425" spans="1:19">
      <c r="A425" s="167">
        <v>690</v>
      </c>
      <c r="B425" s="428"/>
      <c r="F425" s="657">
        <v>170.31</v>
      </c>
      <c r="G425" s="156" t="s">
        <v>20</v>
      </c>
      <c r="H425" s="244"/>
      <c r="I425" s="449">
        <v>-1.22</v>
      </c>
      <c r="J425" s="462">
        <v>-1.5490806770324701</v>
      </c>
      <c r="K425" s="491">
        <f t="shared" si="7"/>
        <v>14.582812126848994</v>
      </c>
      <c r="L425" s="295" t="s">
        <v>665</v>
      </c>
      <c r="M425" s="296" t="s">
        <v>85</v>
      </c>
      <c r="N425" s="297" t="s">
        <v>192</v>
      </c>
      <c r="O425" s="298" t="s">
        <v>44</v>
      </c>
      <c r="P425" s="314" t="s">
        <v>91</v>
      </c>
      <c r="Q425" s="307" t="s">
        <v>492</v>
      </c>
      <c r="R425" s="299" t="s">
        <v>149</v>
      </c>
      <c r="S425" s="300"/>
    </row>
    <row r="426" spans="1:19">
      <c r="A426" s="167">
        <v>690</v>
      </c>
      <c r="B426" s="428"/>
      <c r="F426" s="657">
        <v>170.31</v>
      </c>
      <c r="G426" s="156" t="s">
        <v>20</v>
      </c>
      <c r="H426" s="244"/>
      <c r="I426" s="449">
        <v>-1.1299999999999999</v>
      </c>
      <c r="J426" s="462">
        <v>-1.5490806770324701</v>
      </c>
      <c r="K426" s="491">
        <f t="shared" si="7"/>
        <v>14.171272233816918</v>
      </c>
      <c r="L426" s="295" t="s">
        <v>665</v>
      </c>
      <c r="M426" s="296" t="s">
        <v>85</v>
      </c>
      <c r="N426" s="297" t="s">
        <v>192</v>
      </c>
      <c r="O426" s="298" t="s">
        <v>44</v>
      </c>
      <c r="P426" s="314" t="s">
        <v>91</v>
      </c>
      <c r="Q426" s="307" t="s">
        <v>492</v>
      </c>
      <c r="R426" s="299" t="s">
        <v>149</v>
      </c>
      <c r="S426" s="300"/>
    </row>
    <row r="427" spans="1:19">
      <c r="A427" s="167">
        <v>690</v>
      </c>
      <c r="B427" s="428"/>
      <c r="F427" s="657">
        <v>170.31</v>
      </c>
      <c r="G427" s="156" t="s">
        <v>20</v>
      </c>
      <c r="H427" s="244"/>
      <c r="I427" s="449">
        <v>-1.01</v>
      </c>
      <c r="J427" s="462">
        <v>-1.5490806770324701</v>
      </c>
      <c r="K427" s="491">
        <f t="shared" si="7"/>
        <v>13.624820376440821</v>
      </c>
      <c r="L427" s="295" t="s">
        <v>665</v>
      </c>
      <c r="M427" s="296" t="s">
        <v>85</v>
      </c>
      <c r="N427" s="297" t="s">
        <v>192</v>
      </c>
      <c r="O427" s="298" t="s">
        <v>44</v>
      </c>
      <c r="P427" s="314" t="s">
        <v>91</v>
      </c>
      <c r="Q427" s="307" t="s">
        <v>492</v>
      </c>
      <c r="R427" s="299" t="s">
        <v>149</v>
      </c>
      <c r="S427" s="300"/>
    </row>
    <row r="428" spans="1:19">
      <c r="A428" s="167">
        <v>690</v>
      </c>
      <c r="B428" s="428"/>
      <c r="F428" s="657">
        <v>170.31</v>
      </c>
      <c r="G428" s="156" t="s">
        <v>20</v>
      </c>
      <c r="H428" s="244"/>
      <c r="I428" s="449">
        <v>-0.94</v>
      </c>
      <c r="J428" s="462">
        <v>-1.5490806770324701</v>
      </c>
      <c r="K428" s="491">
        <f t="shared" si="7"/>
        <v>13.30725379297143</v>
      </c>
      <c r="L428" s="295" t="s">
        <v>665</v>
      </c>
      <c r="M428" s="296" t="s">
        <v>85</v>
      </c>
      <c r="N428" s="297" t="s">
        <v>192</v>
      </c>
      <c r="O428" s="298" t="s">
        <v>44</v>
      </c>
      <c r="P428" s="314" t="s">
        <v>91</v>
      </c>
      <c r="Q428" s="307" t="s">
        <v>492</v>
      </c>
      <c r="R428" s="299" t="s">
        <v>149</v>
      </c>
      <c r="S428" s="300"/>
    </row>
    <row r="429" spans="1:19">
      <c r="A429" s="167">
        <v>690</v>
      </c>
      <c r="B429" s="428"/>
      <c r="F429" s="657">
        <v>170.31</v>
      </c>
      <c r="G429" s="156" t="s">
        <v>20</v>
      </c>
      <c r="H429" s="244"/>
      <c r="I429" s="449">
        <v>-2.0299999999999998</v>
      </c>
      <c r="J429" s="462">
        <v>-1.5490806770324701</v>
      </c>
      <c r="K429" s="491">
        <f t="shared" si="7"/>
        <v>18.352281164137658</v>
      </c>
      <c r="L429" s="295" t="s">
        <v>665</v>
      </c>
      <c r="M429" s="296" t="s">
        <v>85</v>
      </c>
      <c r="N429" s="297" t="s">
        <v>192</v>
      </c>
      <c r="O429" s="298" t="s">
        <v>44</v>
      </c>
      <c r="P429" s="314" t="s">
        <v>91</v>
      </c>
      <c r="Q429" s="307" t="s">
        <v>492</v>
      </c>
      <c r="R429" s="299" t="s">
        <v>149</v>
      </c>
      <c r="S429" s="300"/>
    </row>
    <row r="430" spans="1:19">
      <c r="A430" s="167">
        <v>690</v>
      </c>
      <c r="B430" s="428"/>
      <c r="F430" s="657">
        <v>170.34</v>
      </c>
      <c r="G430" s="156" t="s">
        <v>20</v>
      </c>
      <c r="H430" s="244"/>
      <c r="I430" s="449">
        <v>-1.24</v>
      </c>
      <c r="J430" s="462">
        <v>-1.5490806770324701</v>
      </c>
      <c r="K430" s="491">
        <f t="shared" si="7"/>
        <v>14.674463436411676</v>
      </c>
      <c r="L430" s="295" t="s">
        <v>665</v>
      </c>
      <c r="M430" s="296" t="s">
        <v>85</v>
      </c>
      <c r="N430" s="297" t="s">
        <v>192</v>
      </c>
      <c r="O430" s="298" t="s">
        <v>44</v>
      </c>
      <c r="P430" s="314" t="s">
        <v>91</v>
      </c>
      <c r="Q430" s="307" t="s">
        <v>492</v>
      </c>
      <c r="R430" s="299" t="s">
        <v>149</v>
      </c>
      <c r="S430" s="300"/>
    </row>
    <row r="431" spans="1:19">
      <c r="A431" s="167">
        <v>690</v>
      </c>
      <c r="B431" s="428"/>
      <c r="F431" s="657">
        <v>170.34</v>
      </c>
      <c r="G431" s="156" t="s">
        <v>20</v>
      </c>
      <c r="H431" s="244"/>
      <c r="I431" s="449">
        <v>-1.1499999999999999</v>
      </c>
      <c r="J431" s="462">
        <v>-1.5490806770324701</v>
      </c>
      <c r="K431" s="491">
        <f t="shared" si="7"/>
        <v>14.262599543379602</v>
      </c>
      <c r="L431" s="295" t="s">
        <v>665</v>
      </c>
      <c r="M431" s="296" t="s">
        <v>85</v>
      </c>
      <c r="N431" s="297" t="s">
        <v>192</v>
      </c>
      <c r="O431" s="298" t="s">
        <v>44</v>
      </c>
      <c r="P431" s="314" t="s">
        <v>91</v>
      </c>
      <c r="Q431" s="307" t="s">
        <v>492</v>
      </c>
      <c r="R431" s="299" t="s">
        <v>149</v>
      </c>
      <c r="S431" s="300"/>
    </row>
    <row r="432" spans="1:19">
      <c r="A432" s="167">
        <v>690</v>
      </c>
      <c r="B432" s="428"/>
      <c r="F432" s="657">
        <v>170.34</v>
      </c>
      <c r="G432" s="156" t="s">
        <v>20</v>
      </c>
      <c r="H432" s="244"/>
      <c r="I432" s="449">
        <v>-1.07</v>
      </c>
      <c r="J432" s="462">
        <v>-1.5490806770324701</v>
      </c>
      <c r="K432" s="491">
        <f t="shared" si="7"/>
        <v>13.897722305128871</v>
      </c>
      <c r="L432" s="295" t="s">
        <v>665</v>
      </c>
      <c r="M432" s="296" t="s">
        <v>85</v>
      </c>
      <c r="N432" s="297" t="s">
        <v>192</v>
      </c>
      <c r="O432" s="298" t="s">
        <v>44</v>
      </c>
      <c r="P432" s="314" t="s">
        <v>91</v>
      </c>
      <c r="Q432" s="307" t="s">
        <v>492</v>
      </c>
      <c r="R432" s="299" t="s">
        <v>149</v>
      </c>
      <c r="S432" s="300"/>
    </row>
    <row r="433" spans="1:19">
      <c r="A433" s="167">
        <v>690</v>
      </c>
      <c r="B433" s="428"/>
      <c r="F433" s="657">
        <v>170.34</v>
      </c>
      <c r="G433" s="156" t="s">
        <v>20</v>
      </c>
      <c r="H433" s="244"/>
      <c r="I433" s="449">
        <v>-0.95</v>
      </c>
      <c r="J433" s="462">
        <v>-1.5490806770324701</v>
      </c>
      <c r="K433" s="491">
        <f t="shared" si="7"/>
        <v>13.352566447752771</v>
      </c>
      <c r="L433" s="295" t="s">
        <v>665</v>
      </c>
      <c r="M433" s="296" t="s">
        <v>85</v>
      </c>
      <c r="N433" s="297" t="s">
        <v>192</v>
      </c>
      <c r="O433" s="298" t="s">
        <v>44</v>
      </c>
      <c r="P433" s="314" t="s">
        <v>91</v>
      </c>
      <c r="Q433" s="307" t="s">
        <v>492</v>
      </c>
      <c r="R433" s="299" t="s">
        <v>149</v>
      </c>
      <c r="S433" s="300"/>
    </row>
    <row r="434" spans="1:19">
      <c r="A434" s="167">
        <v>690</v>
      </c>
      <c r="B434" s="428"/>
      <c r="F434" s="657">
        <v>170.34</v>
      </c>
      <c r="G434" s="156" t="s">
        <v>20</v>
      </c>
      <c r="H434" s="244"/>
      <c r="I434" s="449">
        <v>-1.1299999999999999</v>
      </c>
      <c r="J434" s="462">
        <v>-1.5490806770324701</v>
      </c>
      <c r="K434" s="491">
        <f t="shared" si="7"/>
        <v>14.171272233816918</v>
      </c>
      <c r="L434" s="295" t="s">
        <v>665</v>
      </c>
      <c r="M434" s="296" t="s">
        <v>85</v>
      </c>
      <c r="N434" s="297" t="s">
        <v>192</v>
      </c>
      <c r="O434" s="298" t="s">
        <v>44</v>
      </c>
      <c r="P434" s="314" t="s">
        <v>91</v>
      </c>
      <c r="Q434" s="307" t="s">
        <v>492</v>
      </c>
      <c r="R434" s="299" t="s">
        <v>149</v>
      </c>
      <c r="S434" s="300"/>
    </row>
    <row r="435" spans="1:19">
      <c r="A435" s="167">
        <v>690</v>
      </c>
      <c r="B435" s="428"/>
      <c r="F435" s="657">
        <v>170.34</v>
      </c>
      <c r="G435" s="156" t="s">
        <v>20</v>
      </c>
      <c r="H435" s="244"/>
      <c r="I435" s="449">
        <v>-0.92</v>
      </c>
      <c r="J435" s="462">
        <v>-1.5490806770324701</v>
      </c>
      <c r="K435" s="491">
        <f t="shared" si="7"/>
        <v>13.216682483408748</v>
      </c>
      <c r="L435" s="295" t="s">
        <v>665</v>
      </c>
      <c r="M435" s="296" t="s">
        <v>85</v>
      </c>
      <c r="N435" s="297" t="s">
        <v>192</v>
      </c>
      <c r="O435" s="298" t="s">
        <v>44</v>
      </c>
      <c r="P435" s="314" t="s">
        <v>91</v>
      </c>
      <c r="Q435" s="307" t="s">
        <v>492</v>
      </c>
      <c r="R435" s="299" t="s">
        <v>149</v>
      </c>
      <c r="S435" s="300"/>
    </row>
    <row r="436" spans="1:19">
      <c r="A436" s="167">
        <v>690</v>
      </c>
      <c r="B436" s="428"/>
      <c r="F436" s="657">
        <v>170.37</v>
      </c>
      <c r="G436" s="156" t="s">
        <v>20</v>
      </c>
      <c r="H436" s="244"/>
      <c r="I436" s="449">
        <v>-1.1599999999999999</v>
      </c>
      <c r="J436" s="462">
        <v>-1.5490806770324701</v>
      </c>
      <c r="K436" s="491">
        <f t="shared" si="7"/>
        <v>14.308290198160943</v>
      </c>
      <c r="L436" s="295" t="s">
        <v>665</v>
      </c>
      <c r="M436" s="296" t="s">
        <v>85</v>
      </c>
      <c r="N436" s="297" t="s">
        <v>192</v>
      </c>
      <c r="O436" s="298" t="s">
        <v>44</v>
      </c>
      <c r="P436" s="314" t="s">
        <v>91</v>
      </c>
      <c r="Q436" s="307" t="s">
        <v>492</v>
      </c>
      <c r="R436" s="299" t="s">
        <v>149</v>
      </c>
      <c r="S436" s="300"/>
    </row>
    <row r="437" spans="1:19">
      <c r="A437" s="167">
        <v>690</v>
      </c>
      <c r="B437" s="428"/>
      <c r="F437" s="657">
        <v>170.37</v>
      </c>
      <c r="G437" s="156" t="s">
        <v>20</v>
      </c>
      <c r="H437" s="244"/>
      <c r="I437" s="449">
        <v>-1.1200000000000001</v>
      </c>
      <c r="J437" s="462">
        <v>-1.5490806770324701</v>
      </c>
      <c r="K437" s="491">
        <f t="shared" si="7"/>
        <v>14.125635579035578</v>
      </c>
      <c r="L437" s="295" t="s">
        <v>665</v>
      </c>
      <c r="M437" s="296" t="s">
        <v>85</v>
      </c>
      <c r="N437" s="297" t="s">
        <v>192</v>
      </c>
      <c r="O437" s="298" t="s">
        <v>44</v>
      </c>
      <c r="P437" s="314" t="s">
        <v>91</v>
      </c>
      <c r="Q437" s="307" t="s">
        <v>492</v>
      </c>
      <c r="R437" s="299" t="s">
        <v>149</v>
      </c>
      <c r="S437" s="300"/>
    </row>
    <row r="438" spans="1:19">
      <c r="A438" s="167">
        <v>690</v>
      </c>
      <c r="B438" s="428"/>
      <c r="F438" s="657">
        <v>170.37</v>
      </c>
      <c r="G438" s="156" t="s">
        <v>20</v>
      </c>
      <c r="H438" s="244"/>
      <c r="I438" s="449">
        <v>-1.24</v>
      </c>
      <c r="J438" s="462">
        <v>-1.5490806770324701</v>
      </c>
      <c r="K438" s="491">
        <f t="shared" si="7"/>
        <v>14.674463436411676</v>
      </c>
      <c r="L438" s="295" t="s">
        <v>665</v>
      </c>
      <c r="M438" s="296" t="s">
        <v>85</v>
      </c>
      <c r="N438" s="297" t="s">
        <v>192</v>
      </c>
      <c r="O438" s="298" t="s">
        <v>44</v>
      </c>
      <c r="P438" s="314" t="s">
        <v>91</v>
      </c>
      <c r="Q438" s="307" t="s">
        <v>492</v>
      </c>
      <c r="R438" s="299" t="s">
        <v>149</v>
      </c>
      <c r="S438" s="300"/>
    </row>
    <row r="439" spans="1:19">
      <c r="A439" s="167">
        <v>690</v>
      </c>
      <c r="B439" s="428"/>
      <c r="F439" s="657">
        <v>170.37</v>
      </c>
      <c r="G439" s="156" t="s">
        <v>20</v>
      </c>
      <c r="H439" s="244"/>
      <c r="I439" s="449">
        <v>-1.31</v>
      </c>
      <c r="J439" s="462">
        <v>-1.5490806770324701</v>
      </c>
      <c r="K439" s="491">
        <f t="shared" si="7"/>
        <v>14.995810019881068</v>
      </c>
      <c r="L439" s="295" t="s">
        <v>665</v>
      </c>
      <c r="M439" s="296" t="s">
        <v>85</v>
      </c>
      <c r="N439" s="297" t="s">
        <v>192</v>
      </c>
      <c r="O439" s="298" t="s">
        <v>44</v>
      </c>
      <c r="P439" s="314" t="s">
        <v>91</v>
      </c>
      <c r="Q439" s="307" t="s">
        <v>492</v>
      </c>
      <c r="R439" s="299" t="s">
        <v>149</v>
      </c>
      <c r="S439" s="300"/>
    </row>
    <row r="440" spans="1:19">
      <c r="A440" s="167">
        <v>690</v>
      </c>
      <c r="B440" s="428"/>
      <c r="F440" s="657">
        <v>170.37</v>
      </c>
      <c r="G440" s="156" t="s">
        <v>20</v>
      </c>
      <c r="H440" s="244"/>
      <c r="I440" s="449">
        <v>-1.0900000000000001</v>
      </c>
      <c r="J440" s="462">
        <v>-1.5490806770324701</v>
      </c>
      <c r="K440" s="491">
        <f t="shared" si="7"/>
        <v>13.988833614691552</v>
      </c>
      <c r="L440" s="295" t="s">
        <v>665</v>
      </c>
      <c r="M440" s="296" t="s">
        <v>85</v>
      </c>
      <c r="N440" s="297" t="s">
        <v>192</v>
      </c>
      <c r="O440" s="298" t="s">
        <v>44</v>
      </c>
      <c r="P440" s="314" t="s">
        <v>91</v>
      </c>
      <c r="Q440" s="307" t="s">
        <v>492</v>
      </c>
      <c r="R440" s="299" t="s">
        <v>149</v>
      </c>
      <c r="S440" s="300"/>
    </row>
    <row r="441" spans="1:19">
      <c r="A441" s="167">
        <v>690</v>
      </c>
      <c r="B441" s="428"/>
      <c r="F441" s="657">
        <v>170.37</v>
      </c>
      <c r="G441" s="156" t="s">
        <v>20</v>
      </c>
      <c r="H441" s="244"/>
      <c r="I441" s="449">
        <v>-1.29</v>
      </c>
      <c r="J441" s="462">
        <v>-1.5490806770324701</v>
      </c>
      <c r="K441" s="491">
        <f t="shared" si="7"/>
        <v>14.903906710318385</v>
      </c>
      <c r="L441" s="295" t="s">
        <v>665</v>
      </c>
      <c r="M441" s="296" t="s">
        <v>85</v>
      </c>
      <c r="N441" s="297" t="s">
        <v>192</v>
      </c>
      <c r="O441" s="298" t="s">
        <v>44</v>
      </c>
      <c r="P441" s="314" t="s">
        <v>91</v>
      </c>
      <c r="Q441" s="307" t="s">
        <v>492</v>
      </c>
      <c r="R441" s="299" t="s">
        <v>149</v>
      </c>
      <c r="S441" s="300"/>
    </row>
    <row r="442" spans="1:19">
      <c r="A442" s="167">
        <v>690</v>
      </c>
      <c r="B442" s="428"/>
      <c r="F442" s="657">
        <v>170.42</v>
      </c>
      <c r="G442" s="156" t="s">
        <v>20</v>
      </c>
      <c r="H442" s="244"/>
      <c r="I442" s="449">
        <v>-1.56</v>
      </c>
      <c r="J442" s="462">
        <v>-1.5490806770324701</v>
      </c>
      <c r="K442" s="491">
        <f t="shared" si="7"/>
        <v>16.150676389414606</v>
      </c>
      <c r="L442" s="295" t="s">
        <v>665</v>
      </c>
      <c r="M442" s="296" t="s">
        <v>85</v>
      </c>
      <c r="N442" s="297" t="s">
        <v>192</v>
      </c>
      <c r="O442" s="298" t="s">
        <v>44</v>
      </c>
      <c r="P442" s="314" t="s">
        <v>91</v>
      </c>
      <c r="Q442" s="307" t="s">
        <v>492</v>
      </c>
      <c r="R442" s="299" t="s">
        <v>149</v>
      </c>
      <c r="S442" s="300"/>
    </row>
    <row r="443" spans="1:19">
      <c r="A443" s="167">
        <v>690</v>
      </c>
      <c r="B443" s="428"/>
      <c r="F443" s="657">
        <v>170.42</v>
      </c>
      <c r="G443" s="156" t="s">
        <v>20</v>
      </c>
      <c r="H443" s="244"/>
      <c r="I443" s="449">
        <v>-1.1000000000000001</v>
      </c>
      <c r="J443" s="462">
        <v>-1.5490806770324701</v>
      </c>
      <c r="K443" s="491">
        <f t="shared" si="7"/>
        <v>14.034416269472896</v>
      </c>
      <c r="L443" s="295" t="s">
        <v>665</v>
      </c>
      <c r="M443" s="296" t="s">
        <v>85</v>
      </c>
      <c r="N443" s="297" t="s">
        <v>192</v>
      </c>
      <c r="O443" s="298" t="s">
        <v>44</v>
      </c>
      <c r="P443" s="314" t="s">
        <v>91</v>
      </c>
      <c r="Q443" s="307" t="s">
        <v>492</v>
      </c>
      <c r="R443" s="299" t="s">
        <v>149</v>
      </c>
      <c r="S443" s="300"/>
    </row>
    <row r="444" spans="1:19">
      <c r="A444" s="167">
        <v>690</v>
      </c>
      <c r="B444" s="428"/>
      <c r="F444" s="657">
        <v>170.44</v>
      </c>
      <c r="G444" s="156" t="s">
        <v>20</v>
      </c>
      <c r="H444" s="244"/>
      <c r="I444" s="449">
        <v>-1.02</v>
      </c>
      <c r="J444" s="462">
        <v>-1.5490806770324701</v>
      </c>
      <c r="K444" s="491">
        <f t="shared" si="7"/>
        <v>13.670259031222162</v>
      </c>
      <c r="L444" s="295" t="s">
        <v>665</v>
      </c>
      <c r="M444" s="296" t="s">
        <v>85</v>
      </c>
      <c r="N444" s="297" t="s">
        <v>192</v>
      </c>
      <c r="O444" s="298" t="s">
        <v>44</v>
      </c>
      <c r="P444" s="314" t="s">
        <v>91</v>
      </c>
      <c r="Q444" s="307" t="s">
        <v>492</v>
      </c>
      <c r="R444" s="299" t="s">
        <v>149</v>
      </c>
      <c r="S444" s="300"/>
    </row>
    <row r="445" spans="1:19">
      <c r="A445" s="167">
        <v>690</v>
      </c>
      <c r="B445" s="428"/>
      <c r="F445" s="657">
        <v>170.44</v>
      </c>
      <c r="G445" s="156" t="s">
        <v>20</v>
      </c>
      <c r="H445" s="244"/>
      <c r="I445" s="449">
        <v>-1</v>
      </c>
      <c r="J445" s="462">
        <v>-1.5490806770324701</v>
      </c>
      <c r="K445" s="491">
        <f t="shared" si="7"/>
        <v>13.579399721659479</v>
      </c>
      <c r="L445" s="295" t="s">
        <v>665</v>
      </c>
      <c r="M445" s="296" t="s">
        <v>85</v>
      </c>
      <c r="N445" s="297" t="s">
        <v>192</v>
      </c>
      <c r="O445" s="298" t="s">
        <v>44</v>
      </c>
      <c r="P445" s="314" t="s">
        <v>91</v>
      </c>
      <c r="Q445" s="307" t="s">
        <v>492</v>
      </c>
      <c r="R445" s="299" t="s">
        <v>149</v>
      </c>
      <c r="S445" s="300"/>
    </row>
    <row r="446" spans="1:19">
      <c r="A446" s="167">
        <v>690</v>
      </c>
      <c r="B446" s="428"/>
      <c r="F446" s="657">
        <v>170.44</v>
      </c>
      <c r="G446" s="156" t="s">
        <v>20</v>
      </c>
      <c r="H446" s="244"/>
      <c r="I446" s="449">
        <v>-1.07</v>
      </c>
      <c r="J446" s="462">
        <v>-1.5490806770324701</v>
      </c>
      <c r="K446" s="491">
        <f t="shared" si="7"/>
        <v>13.897722305128871</v>
      </c>
      <c r="L446" s="295" t="s">
        <v>665</v>
      </c>
      <c r="M446" s="296" t="s">
        <v>85</v>
      </c>
      <c r="N446" s="297" t="s">
        <v>192</v>
      </c>
      <c r="O446" s="298" t="s">
        <v>44</v>
      </c>
      <c r="P446" s="314" t="s">
        <v>91</v>
      </c>
      <c r="Q446" s="307" t="s">
        <v>492</v>
      </c>
      <c r="R446" s="299" t="s">
        <v>149</v>
      </c>
      <c r="S446" s="300"/>
    </row>
    <row r="447" spans="1:19">
      <c r="A447" s="167">
        <v>690</v>
      </c>
      <c r="B447" s="428"/>
      <c r="F447" s="657">
        <v>170.44</v>
      </c>
      <c r="G447" s="156" t="s">
        <v>20</v>
      </c>
      <c r="H447" s="244"/>
      <c r="I447" s="449">
        <v>-0.98</v>
      </c>
      <c r="J447" s="462">
        <v>-1.5490806770324701</v>
      </c>
      <c r="K447" s="491">
        <f t="shared" si="7"/>
        <v>13.488612412096796</v>
      </c>
      <c r="L447" s="295" t="s">
        <v>665</v>
      </c>
      <c r="M447" s="296" t="s">
        <v>85</v>
      </c>
      <c r="N447" s="297" t="s">
        <v>192</v>
      </c>
      <c r="O447" s="298" t="s">
        <v>44</v>
      </c>
      <c r="P447" s="314" t="s">
        <v>91</v>
      </c>
      <c r="Q447" s="307" t="s">
        <v>492</v>
      </c>
      <c r="R447" s="299" t="s">
        <v>149</v>
      </c>
      <c r="S447" s="300"/>
    </row>
    <row r="448" spans="1:19">
      <c r="A448" s="167">
        <v>690</v>
      </c>
      <c r="B448" s="428"/>
      <c r="F448" s="657">
        <v>170.44</v>
      </c>
      <c r="G448" s="156" t="s">
        <v>20</v>
      </c>
      <c r="H448" s="244"/>
      <c r="I448" s="449">
        <v>-0.93</v>
      </c>
      <c r="J448" s="462">
        <v>-1.5490806770324701</v>
      </c>
      <c r="K448" s="491">
        <f t="shared" si="7"/>
        <v>13.261959138190088</v>
      </c>
      <c r="L448" s="295" t="s">
        <v>665</v>
      </c>
      <c r="M448" s="296" t="s">
        <v>85</v>
      </c>
      <c r="N448" s="297" t="s">
        <v>192</v>
      </c>
      <c r="O448" s="298" t="s">
        <v>44</v>
      </c>
      <c r="P448" s="314" t="s">
        <v>91</v>
      </c>
      <c r="Q448" s="307" t="s">
        <v>492</v>
      </c>
      <c r="R448" s="299" t="s">
        <v>149</v>
      </c>
      <c r="S448" s="300"/>
    </row>
    <row r="449" spans="1:19">
      <c r="A449" s="167">
        <v>690</v>
      </c>
      <c r="B449" s="428"/>
      <c r="F449" s="657">
        <v>170.46</v>
      </c>
      <c r="G449" s="156" t="s">
        <v>20</v>
      </c>
      <c r="H449" s="244"/>
      <c r="I449" s="449">
        <v>-1.26</v>
      </c>
      <c r="J449" s="462">
        <v>-1.5490806770324701</v>
      </c>
      <c r="K449" s="491">
        <f t="shared" si="7"/>
        <v>14.766186745974359</v>
      </c>
      <c r="L449" s="295" t="s">
        <v>665</v>
      </c>
      <c r="M449" s="296" t="s">
        <v>85</v>
      </c>
      <c r="N449" s="297" t="s">
        <v>192</v>
      </c>
      <c r="O449" s="298" t="s">
        <v>44</v>
      </c>
      <c r="P449" s="314" t="s">
        <v>91</v>
      </c>
      <c r="Q449" s="307" t="s">
        <v>492</v>
      </c>
      <c r="R449" s="299" t="s">
        <v>149</v>
      </c>
      <c r="S449" s="300"/>
    </row>
    <row r="450" spans="1:19">
      <c r="A450" s="167">
        <v>690</v>
      </c>
      <c r="B450" s="428"/>
      <c r="F450" s="657">
        <v>170.46</v>
      </c>
      <c r="G450" s="156" t="s">
        <v>20</v>
      </c>
      <c r="H450" s="244"/>
      <c r="I450" s="449">
        <v>-1.1200000000000001</v>
      </c>
      <c r="J450" s="462">
        <v>-1.5490806770324701</v>
      </c>
      <c r="K450" s="491">
        <f t="shared" si="7"/>
        <v>14.125635579035578</v>
      </c>
      <c r="L450" s="295" t="s">
        <v>665</v>
      </c>
      <c r="M450" s="296" t="s">
        <v>85</v>
      </c>
      <c r="N450" s="297" t="s">
        <v>192</v>
      </c>
      <c r="O450" s="298" t="s">
        <v>44</v>
      </c>
      <c r="P450" s="314" t="s">
        <v>91</v>
      </c>
      <c r="Q450" s="307" t="s">
        <v>492</v>
      </c>
      <c r="R450" s="299" t="s">
        <v>149</v>
      </c>
      <c r="S450" s="300"/>
    </row>
    <row r="451" spans="1:19">
      <c r="A451" s="167">
        <v>690</v>
      </c>
      <c r="B451" s="428"/>
      <c r="F451" s="657">
        <v>170.46</v>
      </c>
      <c r="G451" s="156" t="s">
        <v>20</v>
      </c>
      <c r="H451" s="244"/>
      <c r="I451" s="449">
        <v>-1.44</v>
      </c>
      <c r="J451" s="462">
        <v>-1.5490806770324701</v>
      </c>
      <c r="K451" s="491">
        <f t="shared" si="7"/>
        <v>15.594936532038508</v>
      </c>
      <c r="L451" s="295" t="s">
        <v>665</v>
      </c>
      <c r="M451" s="296" t="s">
        <v>85</v>
      </c>
      <c r="N451" s="297" t="s">
        <v>192</v>
      </c>
      <c r="O451" s="298" t="s">
        <v>44</v>
      </c>
      <c r="P451" s="314" t="s">
        <v>91</v>
      </c>
      <c r="Q451" s="307" t="s">
        <v>492</v>
      </c>
      <c r="R451" s="299" t="s">
        <v>149</v>
      </c>
      <c r="S451" s="300"/>
    </row>
    <row r="452" spans="1:19">
      <c r="A452" s="167">
        <v>690</v>
      </c>
      <c r="B452" s="428"/>
      <c r="F452" s="657">
        <v>170.48</v>
      </c>
      <c r="G452" s="156" t="s">
        <v>20</v>
      </c>
      <c r="H452" s="244"/>
      <c r="I452" s="449">
        <v>-1.2</v>
      </c>
      <c r="J452" s="462">
        <v>-1.5490806770324701</v>
      </c>
      <c r="K452" s="491">
        <f t="shared" si="7"/>
        <v>14.491232817286312</v>
      </c>
      <c r="L452" s="295" t="s">
        <v>665</v>
      </c>
      <c r="M452" s="296" t="s">
        <v>85</v>
      </c>
      <c r="N452" s="297" t="s">
        <v>192</v>
      </c>
      <c r="O452" s="298" t="s">
        <v>44</v>
      </c>
      <c r="P452" s="314" t="s">
        <v>91</v>
      </c>
      <c r="Q452" s="307" t="s">
        <v>492</v>
      </c>
      <c r="R452" s="299" t="s">
        <v>149</v>
      </c>
      <c r="S452" s="300"/>
    </row>
    <row r="453" spans="1:19">
      <c r="A453" s="167">
        <v>690</v>
      </c>
      <c r="B453" s="428"/>
      <c r="F453" s="657">
        <v>170.5</v>
      </c>
      <c r="G453" s="156" t="s">
        <v>20</v>
      </c>
      <c r="H453" s="244"/>
      <c r="I453" s="449">
        <v>-1.78</v>
      </c>
      <c r="J453" s="462">
        <v>-1.5490806770324701</v>
      </c>
      <c r="K453" s="491">
        <f t="shared" si="7"/>
        <v>17.176264794604119</v>
      </c>
      <c r="L453" s="295" t="s">
        <v>665</v>
      </c>
      <c r="M453" s="296" t="s">
        <v>85</v>
      </c>
      <c r="N453" s="297" t="s">
        <v>192</v>
      </c>
      <c r="O453" s="298" t="s">
        <v>44</v>
      </c>
      <c r="P453" s="314" t="s">
        <v>91</v>
      </c>
      <c r="Q453" s="307" t="s">
        <v>492</v>
      </c>
      <c r="R453" s="299" t="s">
        <v>149</v>
      </c>
      <c r="S453" s="300"/>
    </row>
    <row r="454" spans="1:19">
      <c r="A454" s="167">
        <v>690</v>
      </c>
      <c r="B454" s="428"/>
      <c r="F454" s="657">
        <v>170.5</v>
      </c>
      <c r="G454" s="156" t="s">
        <v>20</v>
      </c>
      <c r="H454" s="244"/>
      <c r="I454" s="449">
        <v>-1.1399999999999999</v>
      </c>
      <c r="J454" s="462">
        <v>-1.5490806770324701</v>
      </c>
      <c r="K454" s="491">
        <f t="shared" si="7"/>
        <v>14.216926888598261</v>
      </c>
      <c r="L454" s="295" t="s">
        <v>665</v>
      </c>
      <c r="M454" s="296" t="s">
        <v>85</v>
      </c>
      <c r="N454" s="297" t="s">
        <v>192</v>
      </c>
      <c r="O454" s="298" t="s">
        <v>44</v>
      </c>
      <c r="P454" s="314" t="s">
        <v>91</v>
      </c>
      <c r="Q454" s="307" t="s">
        <v>492</v>
      </c>
      <c r="R454" s="299" t="s">
        <v>149</v>
      </c>
      <c r="S454" s="300"/>
    </row>
    <row r="455" spans="1:19">
      <c r="A455" s="167">
        <v>690</v>
      </c>
      <c r="B455" s="428"/>
      <c r="F455" s="657">
        <v>170.5</v>
      </c>
      <c r="G455" s="156" t="s">
        <v>20</v>
      </c>
      <c r="H455" s="244"/>
      <c r="I455" s="449">
        <v>-1.6</v>
      </c>
      <c r="J455" s="462">
        <v>-1.5490806770324701</v>
      </c>
      <c r="K455" s="491">
        <f t="shared" si="7"/>
        <v>16.336499008539974</v>
      </c>
      <c r="L455" s="295" t="s">
        <v>665</v>
      </c>
      <c r="M455" s="296" t="s">
        <v>85</v>
      </c>
      <c r="N455" s="297" t="s">
        <v>192</v>
      </c>
      <c r="O455" s="298" t="s">
        <v>44</v>
      </c>
      <c r="P455" s="314" t="s">
        <v>91</v>
      </c>
      <c r="Q455" s="307" t="s">
        <v>492</v>
      </c>
      <c r="R455" s="299" t="s">
        <v>149</v>
      </c>
      <c r="S455" s="300"/>
    </row>
    <row r="456" spans="1:19">
      <c r="A456" s="167">
        <v>690</v>
      </c>
      <c r="B456" s="428"/>
      <c r="F456" s="657">
        <v>170.5</v>
      </c>
      <c r="G456" s="156" t="s">
        <v>20</v>
      </c>
      <c r="H456" s="244"/>
      <c r="I456" s="449">
        <v>-1.08</v>
      </c>
      <c r="J456" s="462">
        <v>-1.5490806770324701</v>
      </c>
      <c r="K456" s="491">
        <f t="shared" si="7"/>
        <v>13.943268959910213</v>
      </c>
      <c r="L456" s="295" t="s">
        <v>665</v>
      </c>
      <c r="M456" s="296" t="s">
        <v>85</v>
      </c>
      <c r="N456" s="297" t="s">
        <v>192</v>
      </c>
      <c r="O456" s="298" t="s">
        <v>44</v>
      </c>
      <c r="P456" s="314" t="s">
        <v>91</v>
      </c>
      <c r="Q456" s="307" t="s">
        <v>492</v>
      </c>
      <c r="R456" s="299" t="s">
        <v>149</v>
      </c>
      <c r="S456" s="300"/>
    </row>
    <row r="457" spans="1:19">
      <c r="A457" s="167">
        <v>690</v>
      </c>
      <c r="B457" s="428"/>
      <c r="F457" s="657">
        <v>170.5</v>
      </c>
      <c r="G457" s="156" t="s">
        <v>20</v>
      </c>
      <c r="H457" s="244"/>
      <c r="I457" s="449">
        <v>-1.33</v>
      </c>
      <c r="J457" s="462">
        <v>-1.5490806770324701</v>
      </c>
      <c r="K457" s="491">
        <f t="shared" si="7"/>
        <v>15.087785329443751</v>
      </c>
      <c r="L457" s="295" t="s">
        <v>665</v>
      </c>
      <c r="M457" s="296" t="s">
        <v>85</v>
      </c>
      <c r="N457" s="297" t="s">
        <v>192</v>
      </c>
      <c r="O457" s="298" t="s">
        <v>44</v>
      </c>
      <c r="P457" s="314" t="s">
        <v>91</v>
      </c>
      <c r="Q457" s="307" t="s">
        <v>492</v>
      </c>
      <c r="R457" s="299" t="s">
        <v>149</v>
      </c>
      <c r="S457" s="300"/>
    </row>
    <row r="458" spans="1:19">
      <c r="A458" s="167">
        <v>690</v>
      </c>
      <c r="B458" s="428"/>
      <c r="F458" s="228">
        <v>170.5</v>
      </c>
      <c r="G458" s="156" t="s">
        <v>20</v>
      </c>
      <c r="H458" s="244"/>
      <c r="I458" s="658">
        <v>0.14000000000000001</v>
      </c>
      <c r="J458" s="462">
        <v>-1.5490806770324701</v>
      </c>
      <c r="K458" s="491">
        <f t="shared" ref="K458:K521" si="8">16.1-4.64*($I458-J458)+0.09*($I458-J458)^2</f>
        <v>8.5194350765865412</v>
      </c>
      <c r="L458" s="295" t="s">
        <v>665</v>
      </c>
      <c r="M458" s="296" t="s">
        <v>85</v>
      </c>
      <c r="N458" s="297" t="s">
        <v>192</v>
      </c>
      <c r="O458" s="298" t="s">
        <v>44</v>
      </c>
      <c r="P458" s="314" t="s">
        <v>91</v>
      </c>
      <c r="Q458" s="307" t="s">
        <v>492</v>
      </c>
      <c r="R458" s="299" t="s">
        <v>149</v>
      </c>
      <c r="S458" s="300"/>
    </row>
    <row r="459" spans="1:19">
      <c r="A459" s="167">
        <v>690</v>
      </c>
      <c r="B459" s="428"/>
      <c r="F459" s="657">
        <v>170.52</v>
      </c>
      <c r="G459" s="156" t="s">
        <v>20</v>
      </c>
      <c r="H459" s="244"/>
      <c r="I459" s="449">
        <v>-0.98</v>
      </c>
      <c r="J459" s="462">
        <v>-1.5490806770324701</v>
      </c>
      <c r="K459" s="491">
        <f t="shared" si="8"/>
        <v>13.488612412096796</v>
      </c>
      <c r="L459" s="295" t="s">
        <v>665</v>
      </c>
      <c r="M459" s="296" t="s">
        <v>85</v>
      </c>
      <c r="N459" s="297" t="s">
        <v>192</v>
      </c>
      <c r="O459" s="298" t="s">
        <v>44</v>
      </c>
      <c r="P459" s="314" t="s">
        <v>91</v>
      </c>
      <c r="Q459" s="307" t="s">
        <v>492</v>
      </c>
      <c r="R459" s="299" t="s">
        <v>149</v>
      </c>
      <c r="S459" s="300"/>
    </row>
    <row r="460" spans="1:19">
      <c r="A460" s="167">
        <v>690</v>
      </c>
      <c r="B460" s="428"/>
      <c r="F460" s="657">
        <v>170.52</v>
      </c>
      <c r="G460" s="156" t="s">
        <v>20</v>
      </c>
      <c r="H460" s="244"/>
      <c r="I460" s="449">
        <v>-0.96</v>
      </c>
      <c r="J460" s="462">
        <v>-1.5490806770324701</v>
      </c>
      <c r="K460" s="491">
        <f t="shared" si="8"/>
        <v>13.397897102534113</v>
      </c>
      <c r="L460" s="295" t="s">
        <v>665</v>
      </c>
      <c r="M460" s="296" t="s">
        <v>85</v>
      </c>
      <c r="N460" s="297" t="s">
        <v>192</v>
      </c>
      <c r="O460" s="298" t="s">
        <v>44</v>
      </c>
      <c r="P460" s="314" t="s">
        <v>91</v>
      </c>
      <c r="Q460" s="307" t="s">
        <v>492</v>
      </c>
      <c r="R460" s="299" t="s">
        <v>149</v>
      </c>
      <c r="S460" s="300"/>
    </row>
    <row r="461" spans="1:19">
      <c r="A461" s="167">
        <v>690</v>
      </c>
      <c r="B461" s="428"/>
      <c r="F461" s="657">
        <v>170.54</v>
      </c>
      <c r="G461" s="156" t="s">
        <v>20</v>
      </c>
      <c r="H461" s="244"/>
      <c r="I461" s="449">
        <v>-1.04</v>
      </c>
      <c r="J461" s="462">
        <v>-1.5490806770324701</v>
      </c>
      <c r="K461" s="491">
        <f t="shared" si="8"/>
        <v>13.761190340784847</v>
      </c>
      <c r="L461" s="295" t="s">
        <v>665</v>
      </c>
      <c r="M461" s="296" t="s">
        <v>85</v>
      </c>
      <c r="N461" s="297" t="s">
        <v>192</v>
      </c>
      <c r="O461" s="298" t="s">
        <v>44</v>
      </c>
      <c r="P461" s="314" t="s">
        <v>91</v>
      </c>
      <c r="Q461" s="307" t="s">
        <v>492</v>
      </c>
      <c r="R461" s="299" t="s">
        <v>149</v>
      </c>
      <c r="S461" s="300"/>
    </row>
    <row r="462" spans="1:19">
      <c r="A462" s="167">
        <v>690</v>
      </c>
      <c r="B462" s="428"/>
      <c r="F462" s="657">
        <v>170.54</v>
      </c>
      <c r="G462" s="156" t="s">
        <v>20</v>
      </c>
      <c r="H462" s="244"/>
      <c r="I462" s="449">
        <v>-1.1399999999999999</v>
      </c>
      <c r="J462" s="462">
        <v>-1.5490806770324701</v>
      </c>
      <c r="K462" s="491">
        <f t="shared" si="8"/>
        <v>14.216926888598261</v>
      </c>
      <c r="L462" s="295" t="s">
        <v>665</v>
      </c>
      <c r="M462" s="296" t="s">
        <v>85</v>
      </c>
      <c r="N462" s="297" t="s">
        <v>192</v>
      </c>
      <c r="O462" s="298" t="s">
        <v>44</v>
      </c>
      <c r="P462" s="314" t="s">
        <v>91</v>
      </c>
      <c r="Q462" s="307" t="s">
        <v>492</v>
      </c>
      <c r="R462" s="299" t="s">
        <v>149</v>
      </c>
      <c r="S462" s="300"/>
    </row>
    <row r="463" spans="1:19">
      <c r="A463" s="167">
        <v>690</v>
      </c>
      <c r="B463" s="428"/>
      <c r="F463" s="657">
        <v>170.54</v>
      </c>
      <c r="G463" s="156" t="s">
        <v>20</v>
      </c>
      <c r="H463" s="244"/>
      <c r="I463" s="449">
        <v>-1.03</v>
      </c>
      <c r="J463" s="462">
        <v>-1.5490806770324701</v>
      </c>
      <c r="K463" s="491">
        <f t="shared" si="8"/>
        <v>13.715715686003504</v>
      </c>
      <c r="L463" s="295" t="s">
        <v>665</v>
      </c>
      <c r="M463" s="296" t="s">
        <v>85</v>
      </c>
      <c r="N463" s="297" t="s">
        <v>192</v>
      </c>
      <c r="O463" s="298" t="s">
        <v>44</v>
      </c>
      <c r="P463" s="314" t="s">
        <v>91</v>
      </c>
      <c r="Q463" s="307" t="s">
        <v>492</v>
      </c>
      <c r="R463" s="299" t="s">
        <v>149</v>
      </c>
      <c r="S463" s="300"/>
    </row>
    <row r="464" spans="1:19">
      <c r="A464" s="167">
        <v>690</v>
      </c>
      <c r="B464" s="428"/>
      <c r="F464" s="657">
        <v>170.54</v>
      </c>
      <c r="G464" s="156" t="s">
        <v>20</v>
      </c>
      <c r="H464" s="244"/>
      <c r="I464" s="449">
        <v>-0.86</v>
      </c>
      <c r="J464" s="462">
        <v>-1.5490806770324701</v>
      </c>
      <c r="K464" s="491">
        <f t="shared" si="8"/>
        <v>12.945400554720697</v>
      </c>
      <c r="L464" s="295" t="s">
        <v>665</v>
      </c>
      <c r="M464" s="296" t="s">
        <v>85</v>
      </c>
      <c r="N464" s="297" t="s">
        <v>192</v>
      </c>
      <c r="O464" s="298" t="s">
        <v>44</v>
      </c>
      <c r="P464" s="314" t="s">
        <v>91</v>
      </c>
      <c r="Q464" s="307" t="s">
        <v>492</v>
      </c>
      <c r="R464" s="299" t="s">
        <v>149</v>
      </c>
      <c r="S464" s="300"/>
    </row>
    <row r="465" spans="1:19">
      <c r="A465" s="167">
        <v>690</v>
      </c>
      <c r="B465" s="428"/>
      <c r="F465" s="228">
        <v>170.54</v>
      </c>
      <c r="H465" s="244"/>
      <c r="I465" s="658">
        <v>-0.05</v>
      </c>
      <c r="J465" s="462">
        <v>-1.5490806770324701</v>
      </c>
      <c r="K465" s="491">
        <f t="shared" si="8"/>
        <v>9.3465175174320336</v>
      </c>
      <c r="L465" s="295" t="s">
        <v>665</v>
      </c>
      <c r="M465" s="296" t="s">
        <v>85</v>
      </c>
      <c r="N465" s="297" t="s">
        <v>192</v>
      </c>
      <c r="O465" s="298" t="s">
        <v>44</v>
      </c>
      <c r="P465" s="314" t="s">
        <v>91</v>
      </c>
      <c r="Q465" s="307" t="s">
        <v>492</v>
      </c>
      <c r="R465" s="299" t="s">
        <v>149</v>
      </c>
      <c r="S465" s="300"/>
    </row>
    <row r="466" spans="1:19">
      <c r="A466" s="167">
        <v>690</v>
      </c>
      <c r="B466" s="428"/>
      <c r="F466" s="391">
        <v>170.56</v>
      </c>
      <c r="H466" s="244"/>
      <c r="I466" s="449">
        <v>-1.25</v>
      </c>
      <c r="J466" s="462">
        <v>-1.5490806770324701</v>
      </c>
      <c r="K466" s="491">
        <f t="shared" si="8"/>
        <v>14.720316091193018</v>
      </c>
      <c r="L466" s="295" t="s">
        <v>665</v>
      </c>
      <c r="M466" s="296" t="s">
        <v>85</v>
      </c>
      <c r="N466" s="297" t="s">
        <v>192</v>
      </c>
      <c r="O466" s="298" t="s">
        <v>44</v>
      </c>
      <c r="P466" s="314" t="s">
        <v>91</v>
      </c>
      <c r="Q466" s="307" t="s">
        <v>492</v>
      </c>
      <c r="R466" s="299" t="s">
        <v>149</v>
      </c>
      <c r="S466" s="300"/>
    </row>
    <row r="467" spans="1:19">
      <c r="A467" s="167">
        <v>690</v>
      </c>
      <c r="B467" s="428"/>
      <c r="F467" s="391">
        <v>170.56</v>
      </c>
      <c r="H467" s="244"/>
      <c r="I467" s="449">
        <v>-1.0900000000000001</v>
      </c>
      <c r="J467" s="462">
        <v>-1.5490806770324701</v>
      </c>
      <c r="K467" s="491">
        <f t="shared" si="8"/>
        <v>13.988833614691552</v>
      </c>
      <c r="L467" s="295" t="s">
        <v>665</v>
      </c>
      <c r="M467" s="296" t="s">
        <v>85</v>
      </c>
      <c r="N467" s="297" t="s">
        <v>192</v>
      </c>
      <c r="O467" s="298" t="s">
        <v>44</v>
      </c>
      <c r="P467" s="314" t="s">
        <v>91</v>
      </c>
      <c r="Q467" s="307" t="s">
        <v>492</v>
      </c>
      <c r="R467" s="299" t="s">
        <v>149</v>
      </c>
      <c r="S467" s="300"/>
    </row>
    <row r="468" spans="1:19">
      <c r="A468" s="167">
        <v>690</v>
      </c>
      <c r="B468" s="428"/>
      <c r="F468" s="391">
        <v>170.56</v>
      </c>
      <c r="H468" s="244"/>
      <c r="I468" s="449">
        <v>-2.1</v>
      </c>
      <c r="J468" s="462">
        <v>-1.5490806770324701</v>
      </c>
      <c r="K468" s="491">
        <f t="shared" si="8"/>
        <v>18.68358174760705</v>
      </c>
      <c r="L468" s="295" t="s">
        <v>665</v>
      </c>
      <c r="M468" s="296" t="s">
        <v>85</v>
      </c>
      <c r="N468" s="297" t="s">
        <v>192</v>
      </c>
      <c r="O468" s="298" t="s">
        <v>44</v>
      </c>
      <c r="P468" s="314" t="s">
        <v>91</v>
      </c>
      <c r="Q468" s="307" t="s">
        <v>492</v>
      </c>
      <c r="R468" s="299" t="s">
        <v>149</v>
      </c>
      <c r="S468" s="300"/>
    </row>
    <row r="469" spans="1:19">
      <c r="A469" s="167">
        <v>690</v>
      </c>
      <c r="B469" s="428"/>
      <c r="F469" s="391">
        <v>170.56</v>
      </c>
      <c r="H469" s="244"/>
      <c r="I469" s="449">
        <v>-1.59</v>
      </c>
      <c r="J469" s="462">
        <v>-1.5490806770324701</v>
      </c>
      <c r="K469" s="491">
        <f t="shared" si="8"/>
        <v>16.290016353758631</v>
      </c>
      <c r="L469" s="295" t="s">
        <v>665</v>
      </c>
      <c r="M469" s="296" t="s">
        <v>85</v>
      </c>
      <c r="N469" s="297" t="s">
        <v>192</v>
      </c>
      <c r="O469" s="298" t="s">
        <v>44</v>
      </c>
      <c r="P469" s="314" t="s">
        <v>91</v>
      </c>
      <c r="Q469" s="307" t="s">
        <v>492</v>
      </c>
      <c r="R469" s="299" t="s">
        <v>149</v>
      </c>
      <c r="S469" s="300"/>
    </row>
    <row r="470" spans="1:19">
      <c r="A470" s="167">
        <v>690</v>
      </c>
      <c r="B470" s="428"/>
      <c r="F470" s="391">
        <v>170.57</v>
      </c>
      <c r="H470" s="244"/>
      <c r="I470" s="449">
        <v>-1.19</v>
      </c>
      <c r="J470" s="462">
        <v>-1.5490806770324701</v>
      </c>
      <c r="K470" s="491">
        <f t="shared" si="8"/>
        <v>14.44547016250497</v>
      </c>
      <c r="L470" s="295" t="s">
        <v>665</v>
      </c>
      <c r="M470" s="296" t="s">
        <v>85</v>
      </c>
      <c r="N470" s="297" t="s">
        <v>192</v>
      </c>
      <c r="O470" s="298" t="s">
        <v>44</v>
      </c>
      <c r="P470" s="314" t="s">
        <v>91</v>
      </c>
      <c r="Q470" s="307" t="s">
        <v>492</v>
      </c>
      <c r="R470" s="299" t="s">
        <v>149</v>
      </c>
      <c r="S470" s="300"/>
    </row>
    <row r="471" spans="1:19">
      <c r="A471" s="167">
        <v>690</v>
      </c>
      <c r="B471" s="428"/>
      <c r="F471" s="391">
        <v>170.57</v>
      </c>
      <c r="H471" s="244"/>
      <c r="I471" s="449">
        <v>-1.54</v>
      </c>
      <c r="J471" s="462">
        <v>-1.5490806770324701</v>
      </c>
      <c r="K471" s="491">
        <f t="shared" si="8"/>
        <v>16.057873079851923</v>
      </c>
      <c r="L471" s="295" t="s">
        <v>665</v>
      </c>
      <c r="M471" s="296" t="s">
        <v>85</v>
      </c>
      <c r="N471" s="297" t="s">
        <v>192</v>
      </c>
      <c r="O471" s="298" t="s">
        <v>44</v>
      </c>
      <c r="P471" s="314" t="s">
        <v>91</v>
      </c>
      <c r="Q471" s="307" t="s">
        <v>492</v>
      </c>
      <c r="R471" s="299" t="s">
        <v>149</v>
      </c>
      <c r="S471" s="300"/>
    </row>
    <row r="472" spans="1:19">
      <c r="A472" s="167">
        <v>690</v>
      </c>
      <c r="B472" s="428"/>
      <c r="F472" s="391">
        <v>170.57</v>
      </c>
      <c r="H472" s="244"/>
      <c r="I472" s="449">
        <v>-1.2</v>
      </c>
      <c r="J472" s="462">
        <v>-1.5490806770324701</v>
      </c>
      <c r="K472" s="491">
        <f t="shared" si="8"/>
        <v>14.491232817286312</v>
      </c>
      <c r="L472" s="295" t="s">
        <v>665</v>
      </c>
      <c r="M472" s="296" t="s">
        <v>85</v>
      </c>
      <c r="N472" s="297" t="s">
        <v>192</v>
      </c>
      <c r="O472" s="298" t="s">
        <v>44</v>
      </c>
      <c r="P472" s="314" t="s">
        <v>91</v>
      </c>
      <c r="Q472" s="307" t="s">
        <v>492</v>
      </c>
      <c r="R472" s="299" t="s">
        <v>149</v>
      </c>
      <c r="S472" s="300"/>
    </row>
    <row r="473" spans="1:19">
      <c r="A473" s="167">
        <v>690</v>
      </c>
      <c r="B473" s="428"/>
      <c r="F473" s="391">
        <v>170.57</v>
      </c>
      <c r="H473" s="244"/>
      <c r="I473" s="449">
        <v>-1.8</v>
      </c>
      <c r="J473" s="462">
        <v>-1.5490806770324701</v>
      </c>
      <c r="K473" s="491">
        <f t="shared" si="8"/>
        <v>17.269932104166802</v>
      </c>
      <c r="L473" s="295" t="s">
        <v>665</v>
      </c>
      <c r="M473" s="296" t="s">
        <v>85</v>
      </c>
      <c r="N473" s="297" t="s">
        <v>192</v>
      </c>
      <c r="O473" s="298" t="s">
        <v>44</v>
      </c>
      <c r="P473" s="314" t="s">
        <v>91</v>
      </c>
      <c r="Q473" s="307" t="s">
        <v>492</v>
      </c>
      <c r="R473" s="299" t="s">
        <v>149</v>
      </c>
      <c r="S473" s="300"/>
    </row>
    <row r="474" spans="1:19">
      <c r="A474" s="167">
        <v>690</v>
      </c>
      <c r="B474" s="428"/>
      <c r="F474" s="391">
        <v>170.57</v>
      </c>
      <c r="H474" s="244"/>
      <c r="I474" s="449">
        <v>-1.83</v>
      </c>
      <c r="J474" s="462">
        <v>-1.5490806770324701</v>
      </c>
      <c r="K474" s="491">
        <f t="shared" si="8"/>
        <v>17.41056806851083</v>
      </c>
      <c r="L474" s="295" t="s">
        <v>665</v>
      </c>
      <c r="M474" s="296" t="s">
        <v>85</v>
      </c>
      <c r="N474" s="297" t="s">
        <v>192</v>
      </c>
      <c r="O474" s="298" t="s">
        <v>44</v>
      </c>
      <c r="P474" s="314" t="s">
        <v>91</v>
      </c>
      <c r="Q474" s="307" t="s">
        <v>492</v>
      </c>
      <c r="R474" s="299" t="s">
        <v>149</v>
      </c>
      <c r="S474" s="300"/>
    </row>
    <row r="475" spans="1:19">
      <c r="A475" s="167">
        <v>690</v>
      </c>
      <c r="B475" s="428"/>
      <c r="F475" s="391">
        <v>170.58</v>
      </c>
      <c r="H475" s="244"/>
      <c r="I475" s="449">
        <v>-1.19</v>
      </c>
      <c r="J475" s="462">
        <v>-1.5490806770324701</v>
      </c>
      <c r="K475" s="491">
        <f t="shared" si="8"/>
        <v>14.44547016250497</v>
      </c>
      <c r="L475" s="295" t="s">
        <v>665</v>
      </c>
      <c r="M475" s="296" t="s">
        <v>85</v>
      </c>
      <c r="N475" s="297" t="s">
        <v>192</v>
      </c>
      <c r="O475" s="298" t="s">
        <v>44</v>
      </c>
      <c r="P475" s="314" t="s">
        <v>91</v>
      </c>
      <c r="Q475" s="307" t="s">
        <v>492</v>
      </c>
      <c r="R475" s="299" t="s">
        <v>149</v>
      </c>
      <c r="S475" s="300"/>
    </row>
    <row r="476" spans="1:19">
      <c r="A476" s="167">
        <v>690</v>
      </c>
      <c r="B476" s="428"/>
      <c r="F476" s="391">
        <v>170.62</v>
      </c>
      <c r="H476" s="244"/>
      <c r="I476" s="449">
        <v>-1.07</v>
      </c>
      <c r="J476" s="462">
        <v>-1.5490806770324701</v>
      </c>
      <c r="K476" s="491">
        <f t="shared" si="8"/>
        <v>13.897722305128871</v>
      </c>
      <c r="L476" s="295" t="s">
        <v>665</v>
      </c>
      <c r="M476" s="296" t="s">
        <v>85</v>
      </c>
      <c r="N476" s="297" t="s">
        <v>192</v>
      </c>
      <c r="O476" s="298" t="s">
        <v>44</v>
      </c>
      <c r="P476" s="314" t="s">
        <v>91</v>
      </c>
      <c r="Q476" s="307" t="s">
        <v>492</v>
      </c>
      <c r="R476" s="299" t="s">
        <v>149</v>
      </c>
      <c r="S476" s="300"/>
    </row>
    <row r="477" spans="1:19">
      <c r="A477" s="167">
        <v>690</v>
      </c>
      <c r="B477" s="428"/>
      <c r="F477" s="391">
        <v>170.62</v>
      </c>
      <c r="H477" s="244"/>
      <c r="I477" s="449">
        <v>-7.0000000000000007E-2</v>
      </c>
      <c r="J477" s="462">
        <v>-1.5490806770324701</v>
      </c>
      <c r="K477" s="491">
        <f t="shared" si="8"/>
        <v>9.4339568269947147</v>
      </c>
      <c r="L477" s="295" t="s">
        <v>665</v>
      </c>
      <c r="M477" s="296" t="s">
        <v>85</v>
      </c>
      <c r="N477" s="297" t="s">
        <v>192</v>
      </c>
      <c r="O477" s="298" t="s">
        <v>44</v>
      </c>
      <c r="P477" s="314" t="s">
        <v>91</v>
      </c>
      <c r="Q477" s="307" t="s">
        <v>492</v>
      </c>
      <c r="R477" s="299" t="s">
        <v>149</v>
      </c>
      <c r="S477" s="300"/>
    </row>
    <row r="478" spans="1:19">
      <c r="A478" s="167">
        <v>690</v>
      </c>
      <c r="B478" s="428"/>
      <c r="F478" s="391">
        <v>170.63</v>
      </c>
      <c r="H478" s="244"/>
      <c r="I478" s="449">
        <v>-1.2</v>
      </c>
      <c r="J478" s="462">
        <v>-1.5490806770324701</v>
      </c>
      <c r="K478" s="491">
        <f t="shared" si="8"/>
        <v>14.491232817286312</v>
      </c>
      <c r="L478" s="295" t="s">
        <v>665</v>
      </c>
      <c r="M478" s="296" t="s">
        <v>85</v>
      </c>
      <c r="N478" s="297" t="s">
        <v>192</v>
      </c>
      <c r="O478" s="298" t="s">
        <v>44</v>
      </c>
      <c r="P478" s="314" t="s">
        <v>91</v>
      </c>
      <c r="Q478" s="307" t="s">
        <v>492</v>
      </c>
      <c r="R478" s="299" t="s">
        <v>149</v>
      </c>
      <c r="S478" s="300"/>
    </row>
    <row r="479" spans="1:19">
      <c r="A479" s="167">
        <v>690</v>
      </c>
      <c r="B479" s="428"/>
      <c r="F479" s="391">
        <v>170.63</v>
      </c>
      <c r="H479" s="244"/>
      <c r="I479" s="449">
        <v>-1.66</v>
      </c>
      <c r="J479" s="462">
        <v>-1.5490806770324701</v>
      </c>
      <c r="K479" s="491">
        <f t="shared" si="8"/>
        <v>16.615772937228023</v>
      </c>
      <c r="L479" s="295" t="s">
        <v>665</v>
      </c>
      <c r="M479" s="296" t="s">
        <v>85</v>
      </c>
      <c r="N479" s="297" t="s">
        <v>192</v>
      </c>
      <c r="O479" s="298" t="s">
        <v>44</v>
      </c>
      <c r="P479" s="314" t="s">
        <v>91</v>
      </c>
      <c r="Q479" s="307" t="s">
        <v>492</v>
      </c>
      <c r="R479" s="299" t="s">
        <v>149</v>
      </c>
      <c r="S479" s="300"/>
    </row>
    <row r="480" spans="1:19">
      <c r="A480" s="167">
        <v>690</v>
      </c>
      <c r="B480" s="428"/>
      <c r="F480" s="391">
        <v>170.63</v>
      </c>
      <c r="H480" s="244"/>
      <c r="I480" s="449">
        <v>-1.0900000000000001</v>
      </c>
      <c r="J480" s="462">
        <v>-1.5490806770324701</v>
      </c>
      <c r="K480" s="491">
        <f t="shared" si="8"/>
        <v>13.988833614691552</v>
      </c>
      <c r="L480" s="295" t="s">
        <v>665</v>
      </c>
      <c r="M480" s="296" t="s">
        <v>85</v>
      </c>
      <c r="N480" s="297" t="s">
        <v>192</v>
      </c>
      <c r="O480" s="298" t="s">
        <v>44</v>
      </c>
      <c r="P480" s="314" t="s">
        <v>91</v>
      </c>
      <c r="Q480" s="307" t="s">
        <v>492</v>
      </c>
      <c r="R480" s="299" t="s">
        <v>149</v>
      </c>
      <c r="S480" s="300"/>
    </row>
    <row r="481" spans="1:19">
      <c r="A481" s="167">
        <v>690</v>
      </c>
      <c r="B481" s="428"/>
      <c r="F481" s="391">
        <v>170.63</v>
      </c>
      <c r="H481" s="244"/>
      <c r="I481" s="449">
        <v>-1.03</v>
      </c>
      <c r="J481" s="462">
        <v>-1.5490806770324701</v>
      </c>
      <c r="K481" s="491">
        <f t="shared" si="8"/>
        <v>13.715715686003504</v>
      </c>
      <c r="L481" s="295" t="s">
        <v>665</v>
      </c>
      <c r="M481" s="296" t="s">
        <v>85</v>
      </c>
      <c r="N481" s="297" t="s">
        <v>192</v>
      </c>
      <c r="O481" s="298" t="s">
        <v>44</v>
      </c>
      <c r="P481" s="314" t="s">
        <v>91</v>
      </c>
      <c r="Q481" s="307" t="s">
        <v>492</v>
      </c>
      <c r="R481" s="299" t="s">
        <v>149</v>
      </c>
      <c r="S481" s="300"/>
    </row>
    <row r="482" spans="1:19">
      <c r="A482" s="167">
        <v>690</v>
      </c>
      <c r="B482" s="428"/>
      <c r="F482" s="391">
        <v>170.63</v>
      </c>
      <c r="H482" s="244"/>
      <c r="I482" s="449">
        <v>0.48</v>
      </c>
      <c r="J482" s="462">
        <v>-1.5490806770324701</v>
      </c>
      <c r="K482" s="491">
        <f t="shared" si="8"/>
        <v>7.0556108140209304</v>
      </c>
      <c r="L482" s="295" t="s">
        <v>665</v>
      </c>
      <c r="M482" s="296" t="s">
        <v>85</v>
      </c>
      <c r="N482" s="297" t="s">
        <v>192</v>
      </c>
      <c r="O482" s="298" t="s">
        <v>44</v>
      </c>
      <c r="P482" s="314" t="s">
        <v>91</v>
      </c>
      <c r="Q482" s="307" t="s">
        <v>492</v>
      </c>
      <c r="R482" s="299" t="s">
        <v>149</v>
      </c>
      <c r="S482" s="300"/>
    </row>
    <row r="483" spans="1:19">
      <c r="A483" s="167">
        <v>690</v>
      </c>
      <c r="B483" s="428"/>
      <c r="F483" s="391">
        <v>170.64</v>
      </c>
      <c r="H483" s="244"/>
      <c r="I483" s="449">
        <v>-1.58</v>
      </c>
      <c r="J483" s="462">
        <v>-1.5490806770324701</v>
      </c>
      <c r="K483" s="491">
        <f t="shared" si="8"/>
        <v>16.243551698977292</v>
      </c>
      <c r="L483" s="295" t="s">
        <v>665</v>
      </c>
      <c r="M483" s="296" t="s">
        <v>85</v>
      </c>
      <c r="N483" s="297" t="s">
        <v>192</v>
      </c>
      <c r="O483" s="298" t="s">
        <v>44</v>
      </c>
      <c r="P483" s="314" t="s">
        <v>91</v>
      </c>
      <c r="Q483" s="307" t="s">
        <v>492</v>
      </c>
      <c r="R483" s="299" t="s">
        <v>149</v>
      </c>
      <c r="S483" s="300"/>
    </row>
    <row r="484" spans="1:19">
      <c r="A484" s="167">
        <v>690</v>
      </c>
      <c r="B484" s="428"/>
      <c r="F484" s="391">
        <v>170.64</v>
      </c>
      <c r="H484" s="244"/>
      <c r="I484" s="449">
        <v>-1.56</v>
      </c>
      <c r="J484" s="462">
        <v>-1.5490806770324701</v>
      </c>
      <c r="K484" s="491">
        <f t="shared" si="8"/>
        <v>16.150676389414606</v>
      </c>
      <c r="L484" s="295" t="s">
        <v>665</v>
      </c>
      <c r="M484" s="296" t="s">
        <v>85</v>
      </c>
      <c r="N484" s="297" t="s">
        <v>192</v>
      </c>
      <c r="O484" s="298" t="s">
        <v>44</v>
      </c>
      <c r="P484" s="314" t="s">
        <v>91</v>
      </c>
      <c r="Q484" s="307" t="s">
        <v>492</v>
      </c>
      <c r="R484" s="299" t="s">
        <v>149</v>
      </c>
      <c r="S484" s="300"/>
    </row>
    <row r="485" spans="1:19">
      <c r="A485" s="167">
        <v>690</v>
      </c>
      <c r="B485" s="428"/>
      <c r="F485" s="391">
        <v>170.64</v>
      </c>
      <c r="H485" s="244"/>
      <c r="I485" s="449">
        <v>-1.07</v>
      </c>
      <c r="J485" s="462">
        <v>-1.5490806770324701</v>
      </c>
      <c r="K485" s="491">
        <f t="shared" si="8"/>
        <v>13.897722305128871</v>
      </c>
      <c r="L485" s="295" t="s">
        <v>665</v>
      </c>
      <c r="M485" s="296" t="s">
        <v>85</v>
      </c>
      <c r="N485" s="297" t="s">
        <v>192</v>
      </c>
      <c r="O485" s="298" t="s">
        <v>44</v>
      </c>
      <c r="P485" s="314" t="s">
        <v>91</v>
      </c>
      <c r="Q485" s="307" t="s">
        <v>492</v>
      </c>
      <c r="R485" s="299" t="s">
        <v>149</v>
      </c>
      <c r="S485" s="300"/>
    </row>
    <row r="486" spans="1:19">
      <c r="A486" s="167">
        <v>690</v>
      </c>
      <c r="B486" s="428"/>
      <c r="F486" s="391">
        <v>170.64</v>
      </c>
      <c r="H486" s="244"/>
      <c r="I486" s="449">
        <v>-1.94</v>
      </c>
      <c r="J486" s="462">
        <v>-1.5490806770324701</v>
      </c>
      <c r="K486" s="491">
        <f t="shared" si="8"/>
        <v>17.927619271105584</v>
      </c>
      <c r="L486" s="295" t="s">
        <v>665</v>
      </c>
      <c r="M486" s="296" t="s">
        <v>85</v>
      </c>
      <c r="N486" s="297" t="s">
        <v>192</v>
      </c>
      <c r="O486" s="298" t="s">
        <v>44</v>
      </c>
      <c r="P486" s="314" t="s">
        <v>91</v>
      </c>
      <c r="Q486" s="307" t="s">
        <v>492</v>
      </c>
      <c r="R486" s="299" t="s">
        <v>149</v>
      </c>
      <c r="S486" s="300"/>
    </row>
    <row r="487" spans="1:19">
      <c r="A487" s="167">
        <v>690</v>
      </c>
      <c r="B487" s="428"/>
      <c r="F487" s="391">
        <v>170.64</v>
      </c>
      <c r="H487" s="244"/>
      <c r="I487" s="449">
        <v>0.52</v>
      </c>
      <c r="J487" s="462">
        <v>-1.5490806770324701</v>
      </c>
      <c r="K487" s="491">
        <f t="shared" si="8"/>
        <v>6.8847641948955633</v>
      </c>
      <c r="L487" s="295" t="s">
        <v>665</v>
      </c>
      <c r="M487" s="296" t="s">
        <v>85</v>
      </c>
      <c r="N487" s="297" t="s">
        <v>192</v>
      </c>
      <c r="O487" s="298" t="s">
        <v>44</v>
      </c>
      <c r="P487" s="314" t="s">
        <v>91</v>
      </c>
      <c r="Q487" s="307" t="s">
        <v>492</v>
      </c>
      <c r="R487" s="299" t="s">
        <v>149</v>
      </c>
      <c r="S487" s="300"/>
    </row>
    <row r="488" spans="1:19">
      <c r="A488" s="167">
        <v>690</v>
      </c>
      <c r="B488" s="428"/>
      <c r="F488" s="391">
        <v>170.65</v>
      </c>
      <c r="H488" s="244"/>
      <c r="I488" s="449">
        <v>-1.24</v>
      </c>
      <c r="J488" s="462">
        <v>-1.5490806770324701</v>
      </c>
      <c r="K488" s="491">
        <f t="shared" si="8"/>
        <v>14.674463436411676</v>
      </c>
      <c r="L488" s="295" t="s">
        <v>665</v>
      </c>
      <c r="M488" s="296" t="s">
        <v>85</v>
      </c>
      <c r="N488" s="297" t="s">
        <v>192</v>
      </c>
      <c r="O488" s="298" t="s">
        <v>44</v>
      </c>
      <c r="P488" s="314" t="s">
        <v>91</v>
      </c>
      <c r="Q488" s="307" t="s">
        <v>492</v>
      </c>
      <c r="R488" s="299" t="s">
        <v>149</v>
      </c>
      <c r="S488" s="300"/>
    </row>
    <row r="489" spans="1:19">
      <c r="A489" s="167">
        <v>690</v>
      </c>
      <c r="B489" s="428"/>
      <c r="F489" s="391">
        <v>170.65</v>
      </c>
      <c r="H489" s="244"/>
      <c r="I489" s="449">
        <v>-1.41</v>
      </c>
      <c r="J489" s="462">
        <v>-1.5490806770324701</v>
      </c>
      <c r="K489" s="491">
        <f t="shared" si="8"/>
        <v>15.456406567694483</v>
      </c>
      <c r="L489" s="295" t="s">
        <v>665</v>
      </c>
      <c r="M489" s="296" t="s">
        <v>85</v>
      </c>
      <c r="N489" s="297" t="s">
        <v>192</v>
      </c>
      <c r="O489" s="298" t="s">
        <v>44</v>
      </c>
      <c r="P489" s="314" t="s">
        <v>91</v>
      </c>
      <c r="Q489" s="307" t="s">
        <v>492</v>
      </c>
      <c r="R489" s="299" t="s">
        <v>149</v>
      </c>
      <c r="S489" s="300"/>
    </row>
    <row r="490" spans="1:19">
      <c r="A490" s="167">
        <v>690</v>
      </c>
      <c r="B490" s="428"/>
      <c r="F490" s="391">
        <v>170.65</v>
      </c>
      <c r="H490" s="244"/>
      <c r="I490" s="449">
        <v>-1.28</v>
      </c>
      <c r="J490" s="462">
        <v>-1.5490806770324701</v>
      </c>
      <c r="K490" s="491">
        <f t="shared" si="8"/>
        <v>14.857982055537043</v>
      </c>
      <c r="L490" s="295" t="s">
        <v>665</v>
      </c>
      <c r="M490" s="296" t="s">
        <v>85</v>
      </c>
      <c r="N490" s="297" t="s">
        <v>192</v>
      </c>
      <c r="O490" s="298" t="s">
        <v>44</v>
      </c>
      <c r="P490" s="314" t="s">
        <v>91</v>
      </c>
      <c r="Q490" s="307" t="s">
        <v>492</v>
      </c>
      <c r="R490" s="299" t="s">
        <v>149</v>
      </c>
      <c r="S490" s="300"/>
    </row>
    <row r="491" spans="1:19">
      <c r="A491" s="167">
        <v>690</v>
      </c>
      <c r="B491" s="428"/>
      <c r="F491" s="391">
        <v>170.65</v>
      </c>
      <c r="H491" s="244"/>
      <c r="I491" s="449">
        <v>-0.56000000000000005</v>
      </c>
      <c r="J491" s="462">
        <v>-1.5490806770324701</v>
      </c>
      <c r="K491" s="491">
        <f t="shared" si="8"/>
        <v>11.598710911280451</v>
      </c>
      <c r="L491" s="295" t="s">
        <v>665</v>
      </c>
      <c r="M491" s="296" t="s">
        <v>85</v>
      </c>
      <c r="N491" s="297" t="s">
        <v>192</v>
      </c>
      <c r="O491" s="298" t="s">
        <v>44</v>
      </c>
      <c r="P491" s="314" t="s">
        <v>91</v>
      </c>
      <c r="Q491" s="307" t="s">
        <v>492</v>
      </c>
      <c r="R491" s="299" t="s">
        <v>149</v>
      </c>
      <c r="S491" s="300"/>
    </row>
    <row r="492" spans="1:19">
      <c r="A492" s="167">
        <v>690</v>
      </c>
      <c r="B492" s="428"/>
      <c r="F492" s="391">
        <v>170.65</v>
      </c>
      <c r="H492" s="244"/>
      <c r="I492" s="449">
        <v>0.42</v>
      </c>
      <c r="J492" s="462">
        <v>-1.5490806770324701</v>
      </c>
      <c r="K492" s="491">
        <f t="shared" si="8"/>
        <v>7.3124207427089791</v>
      </c>
      <c r="L492" s="295" t="s">
        <v>665</v>
      </c>
      <c r="M492" s="296" t="s">
        <v>85</v>
      </c>
      <c r="N492" s="297" t="s">
        <v>192</v>
      </c>
      <c r="O492" s="298" t="s">
        <v>44</v>
      </c>
      <c r="P492" s="314" t="s">
        <v>91</v>
      </c>
      <c r="Q492" s="307" t="s">
        <v>492</v>
      </c>
      <c r="R492" s="299" t="s">
        <v>149</v>
      </c>
      <c r="S492" s="300"/>
    </row>
    <row r="493" spans="1:19">
      <c r="A493" s="167">
        <v>690</v>
      </c>
      <c r="B493" s="428"/>
      <c r="F493" s="391">
        <v>170.65</v>
      </c>
      <c r="H493" s="244"/>
      <c r="I493" s="449">
        <v>-0.94</v>
      </c>
      <c r="J493" s="462">
        <v>-1.5490806770324701</v>
      </c>
      <c r="K493" s="491">
        <f t="shared" si="8"/>
        <v>13.30725379297143</v>
      </c>
      <c r="L493" s="295" t="s">
        <v>665</v>
      </c>
      <c r="M493" s="296" t="s">
        <v>85</v>
      </c>
      <c r="N493" s="297" t="s">
        <v>192</v>
      </c>
      <c r="O493" s="298" t="s">
        <v>44</v>
      </c>
      <c r="P493" s="314" t="s">
        <v>91</v>
      </c>
      <c r="Q493" s="307" t="s">
        <v>492</v>
      </c>
      <c r="R493" s="299" t="s">
        <v>149</v>
      </c>
      <c r="S493" s="300"/>
    </row>
    <row r="494" spans="1:19">
      <c r="A494" s="167">
        <v>690</v>
      </c>
      <c r="B494" s="428"/>
      <c r="F494" s="391">
        <v>170.66</v>
      </c>
      <c r="H494" s="244"/>
      <c r="I494" s="449">
        <v>0.27</v>
      </c>
      <c r="J494" s="462">
        <v>-1.5490806770324701</v>
      </c>
      <c r="K494" s="491">
        <f t="shared" si="8"/>
        <v>7.9572805644291025</v>
      </c>
      <c r="L494" s="295" t="s">
        <v>665</v>
      </c>
      <c r="M494" s="296" t="s">
        <v>85</v>
      </c>
      <c r="N494" s="297" t="s">
        <v>192</v>
      </c>
      <c r="O494" s="298" t="s">
        <v>44</v>
      </c>
      <c r="P494" s="314" t="s">
        <v>91</v>
      </c>
      <c r="Q494" s="307" t="s">
        <v>492</v>
      </c>
      <c r="R494" s="299" t="s">
        <v>149</v>
      </c>
      <c r="S494" s="300"/>
    </row>
    <row r="495" spans="1:19">
      <c r="A495" s="167">
        <v>690</v>
      </c>
      <c r="B495" s="428"/>
      <c r="F495" s="391">
        <v>170.66</v>
      </c>
      <c r="H495" s="244"/>
      <c r="I495" s="449">
        <v>0.14000000000000001</v>
      </c>
      <c r="J495" s="462">
        <v>-1.5490806770324701</v>
      </c>
      <c r="K495" s="491">
        <f t="shared" si="8"/>
        <v>8.5194350765865412</v>
      </c>
      <c r="L495" s="295" t="s">
        <v>665</v>
      </c>
      <c r="M495" s="296" t="s">
        <v>85</v>
      </c>
      <c r="N495" s="297" t="s">
        <v>192</v>
      </c>
      <c r="O495" s="298" t="s">
        <v>44</v>
      </c>
      <c r="P495" s="314" t="s">
        <v>91</v>
      </c>
      <c r="Q495" s="307" t="s">
        <v>492</v>
      </c>
      <c r="R495" s="299" t="s">
        <v>149</v>
      </c>
      <c r="S495" s="300"/>
    </row>
    <row r="496" spans="1:19">
      <c r="A496" s="167">
        <v>690</v>
      </c>
      <c r="B496" s="428"/>
      <c r="F496" s="391">
        <v>170.66</v>
      </c>
      <c r="H496" s="244"/>
      <c r="I496" s="449">
        <v>0.21</v>
      </c>
      <c r="J496" s="462">
        <v>-1.5490806770324701</v>
      </c>
      <c r="K496" s="491">
        <f t="shared" si="8"/>
        <v>8.2163584931171521</v>
      </c>
      <c r="L496" s="295" t="s">
        <v>665</v>
      </c>
      <c r="M496" s="296" t="s">
        <v>85</v>
      </c>
      <c r="N496" s="297" t="s">
        <v>192</v>
      </c>
      <c r="O496" s="298" t="s">
        <v>44</v>
      </c>
      <c r="P496" s="314" t="s">
        <v>91</v>
      </c>
      <c r="Q496" s="307" t="s">
        <v>492</v>
      </c>
      <c r="R496" s="299" t="s">
        <v>149</v>
      </c>
      <c r="S496" s="300"/>
    </row>
    <row r="497" spans="1:19">
      <c r="A497" s="167">
        <v>690</v>
      </c>
      <c r="B497" s="428"/>
      <c r="F497" s="391">
        <v>170.66</v>
      </c>
      <c r="H497" s="244"/>
      <c r="I497" s="449">
        <v>0.37</v>
      </c>
      <c r="J497" s="462">
        <v>-1.5490806770324701</v>
      </c>
      <c r="K497" s="491">
        <f t="shared" si="8"/>
        <v>7.5269240166156859</v>
      </c>
      <c r="L497" s="295" t="s">
        <v>665</v>
      </c>
      <c r="M497" s="296" t="s">
        <v>85</v>
      </c>
      <c r="N497" s="297" t="s">
        <v>192</v>
      </c>
      <c r="O497" s="298" t="s">
        <v>44</v>
      </c>
      <c r="P497" s="314" t="s">
        <v>91</v>
      </c>
      <c r="Q497" s="307" t="s">
        <v>492</v>
      </c>
      <c r="R497" s="299" t="s">
        <v>149</v>
      </c>
      <c r="S497" s="300"/>
    </row>
    <row r="498" spans="1:19">
      <c r="A498" s="167">
        <v>690</v>
      </c>
      <c r="B498" s="428"/>
      <c r="F498" s="391">
        <v>170.66</v>
      </c>
      <c r="H498" s="244"/>
      <c r="I498" s="449">
        <v>0.36</v>
      </c>
      <c r="J498" s="462">
        <v>-1.5490806770324701</v>
      </c>
      <c r="K498" s="491">
        <f t="shared" si="8"/>
        <v>7.5698786713970296</v>
      </c>
      <c r="L498" s="295" t="s">
        <v>665</v>
      </c>
      <c r="M498" s="296" t="s">
        <v>85</v>
      </c>
      <c r="N498" s="297" t="s">
        <v>192</v>
      </c>
      <c r="O498" s="298" t="s">
        <v>44</v>
      </c>
      <c r="P498" s="314" t="s">
        <v>91</v>
      </c>
      <c r="Q498" s="307" t="s">
        <v>492</v>
      </c>
      <c r="R498" s="299" t="s">
        <v>149</v>
      </c>
      <c r="S498" s="300"/>
    </row>
    <row r="499" spans="1:19">
      <c r="A499" s="167">
        <v>690</v>
      </c>
      <c r="B499" s="428"/>
      <c r="F499" s="391">
        <v>170.66</v>
      </c>
      <c r="H499" s="244"/>
      <c r="I499" s="449">
        <v>-0.31</v>
      </c>
      <c r="J499" s="462">
        <v>-1.5490806770324701</v>
      </c>
      <c r="K499" s="491">
        <f t="shared" si="8"/>
        <v>10.488844541746912</v>
      </c>
      <c r="L499" s="295" t="s">
        <v>665</v>
      </c>
      <c r="M499" s="296" t="s">
        <v>85</v>
      </c>
      <c r="N499" s="297" t="s">
        <v>192</v>
      </c>
      <c r="O499" s="298" t="s">
        <v>44</v>
      </c>
      <c r="P499" s="314" t="s">
        <v>91</v>
      </c>
      <c r="Q499" s="307" t="s">
        <v>492</v>
      </c>
      <c r="R499" s="299" t="s">
        <v>149</v>
      </c>
      <c r="S499" s="300"/>
    </row>
    <row r="500" spans="1:19">
      <c r="A500" s="167">
        <v>690</v>
      </c>
      <c r="B500" s="428"/>
      <c r="F500" s="391">
        <v>170.66</v>
      </c>
      <c r="H500" s="244"/>
      <c r="I500" s="449">
        <v>-1.01</v>
      </c>
      <c r="J500" s="462">
        <v>-1.5490806770324701</v>
      </c>
      <c r="K500" s="491">
        <f t="shared" si="8"/>
        <v>13.624820376440821</v>
      </c>
      <c r="L500" s="295" t="s">
        <v>665</v>
      </c>
      <c r="M500" s="296" t="s">
        <v>85</v>
      </c>
      <c r="N500" s="297" t="s">
        <v>192</v>
      </c>
      <c r="O500" s="298" t="s">
        <v>44</v>
      </c>
      <c r="P500" s="314" t="s">
        <v>91</v>
      </c>
      <c r="Q500" s="307" t="s">
        <v>492</v>
      </c>
      <c r="R500" s="299" t="s">
        <v>149</v>
      </c>
      <c r="S500" s="300"/>
    </row>
    <row r="501" spans="1:19">
      <c r="A501" s="167">
        <v>690</v>
      </c>
      <c r="B501" s="428"/>
      <c r="F501" s="391">
        <v>170.66</v>
      </c>
      <c r="H501" s="244"/>
      <c r="I501" s="449">
        <v>-0.92</v>
      </c>
      <c r="J501" s="462">
        <v>-1.5490806770324701</v>
      </c>
      <c r="K501" s="491">
        <f t="shared" si="8"/>
        <v>13.216682483408748</v>
      </c>
      <c r="L501" s="295" t="s">
        <v>665</v>
      </c>
      <c r="M501" s="296" t="s">
        <v>85</v>
      </c>
      <c r="N501" s="297" t="s">
        <v>192</v>
      </c>
      <c r="O501" s="298" t="s">
        <v>44</v>
      </c>
      <c r="P501" s="314" t="s">
        <v>91</v>
      </c>
      <c r="Q501" s="307" t="s">
        <v>492</v>
      </c>
      <c r="R501" s="299" t="s">
        <v>149</v>
      </c>
      <c r="S501" s="300"/>
    </row>
    <row r="502" spans="1:19">
      <c r="A502" s="167">
        <v>690</v>
      </c>
      <c r="B502" s="428"/>
      <c r="F502" s="391">
        <v>170.67</v>
      </c>
      <c r="H502" s="244"/>
      <c r="I502" s="449">
        <v>-1.51</v>
      </c>
      <c r="J502" s="462">
        <v>-1.5490806770324701</v>
      </c>
      <c r="K502" s="491">
        <f t="shared" si="8"/>
        <v>15.918803115507899</v>
      </c>
      <c r="L502" s="295" t="s">
        <v>665</v>
      </c>
      <c r="M502" s="296" t="s">
        <v>85</v>
      </c>
      <c r="N502" s="297" t="s">
        <v>192</v>
      </c>
      <c r="O502" s="298" t="s">
        <v>44</v>
      </c>
      <c r="P502" s="314" t="s">
        <v>91</v>
      </c>
      <c r="Q502" s="307" t="s">
        <v>492</v>
      </c>
      <c r="R502" s="299" t="s">
        <v>149</v>
      </c>
      <c r="S502" s="300"/>
    </row>
    <row r="503" spans="1:19">
      <c r="A503" s="167">
        <v>690</v>
      </c>
      <c r="B503" s="428"/>
      <c r="F503" s="391">
        <v>170.67</v>
      </c>
      <c r="H503" s="244"/>
      <c r="I503" s="449">
        <v>0.36</v>
      </c>
      <c r="J503" s="462">
        <v>-1.5490806770324701</v>
      </c>
      <c r="K503" s="491">
        <f t="shared" si="8"/>
        <v>7.5698786713970296</v>
      </c>
      <c r="L503" s="295" t="s">
        <v>665</v>
      </c>
      <c r="M503" s="296" t="s">
        <v>85</v>
      </c>
      <c r="N503" s="297" t="s">
        <v>192</v>
      </c>
      <c r="O503" s="298" t="s">
        <v>44</v>
      </c>
      <c r="P503" s="314" t="s">
        <v>91</v>
      </c>
      <c r="Q503" s="307" t="s">
        <v>492</v>
      </c>
      <c r="R503" s="299" t="s">
        <v>149</v>
      </c>
      <c r="S503" s="300"/>
    </row>
    <row r="504" spans="1:19">
      <c r="A504" s="167">
        <v>690</v>
      </c>
      <c r="B504" s="428"/>
      <c r="F504" s="391">
        <v>170.67</v>
      </c>
      <c r="H504" s="244"/>
      <c r="I504" s="449">
        <v>-0.98</v>
      </c>
      <c r="J504" s="462">
        <v>-1.5490806770324701</v>
      </c>
      <c r="K504" s="491">
        <f t="shared" si="8"/>
        <v>13.488612412096796</v>
      </c>
      <c r="L504" s="295" t="s">
        <v>665</v>
      </c>
      <c r="M504" s="296" t="s">
        <v>85</v>
      </c>
      <c r="N504" s="297" t="s">
        <v>192</v>
      </c>
      <c r="O504" s="298" t="s">
        <v>44</v>
      </c>
      <c r="P504" s="314" t="s">
        <v>91</v>
      </c>
      <c r="Q504" s="307" t="s">
        <v>492</v>
      </c>
      <c r="R504" s="299" t="s">
        <v>149</v>
      </c>
      <c r="S504" s="300"/>
    </row>
    <row r="505" spans="1:19">
      <c r="A505" s="167">
        <v>690</v>
      </c>
      <c r="B505" s="428"/>
      <c r="F505" s="391">
        <v>170.68</v>
      </c>
      <c r="H505" s="244"/>
      <c r="I505" s="449">
        <v>0.1</v>
      </c>
      <c r="J505" s="462">
        <v>-1.5490806770324701</v>
      </c>
      <c r="K505" s="491">
        <f t="shared" si="8"/>
        <v>8.6930176957119087</v>
      </c>
      <c r="L505" s="295" t="s">
        <v>665</v>
      </c>
      <c r="M505" s="296" t="s">
        <v>85</v>
      </c>
      <c r="N505" s="297" t="s">
        <v>192</v>
      </c>
      <c r="O505" s="298" t="s">
        <v>44</v>
      </c>
      <c r="P505" s="314" t="s">
        <v>91</v>
      </c>
      <c r="Q505" s="307" t="s">
        <v>492</v>
      </c>
      <c r="R505" s="299" t="s">
        <v>149</v>
      </c>
      <c r="S505" s="300"/>
    </row>
    <row r="506" spans="1:19">
      <c r="A506" s="167">
        <v>690</v>
      </c>
      <c r="B506" s="428"/>
      <c r="F506" s="391">
        <v>170.68</v>
      </c>
      <c r="H506" s="244"/>
      <c r="I506" s="449">
        <v>0.04</v>
      </c>
      <c r="J506" s="462">
        <v>-1.5490806770324701</v>
      </c>
      <c r="K506" s="491">
        <f t="shared" si="8"/>
        <v>8.9539316243999583</v>
      </c>
      <c r="L506" s="295" t="s">
        <v>665</v>
      </c>
      <c r="M506" s="296" t="s">
        <v>85</v>
      </c>
      <c r="N506" s="297" t="s">
        <v>192</v>
      </c>
      <c r="O506" s="298" t="s">
        <v>44</v>
      </c>
      <c r="P506" s="314" t="s">
        <v>91</v>
      </c>
      <c r="Q506" s="307" t="s">
        <v>492</v>
      </c>
      <c r="R506" s="299" t="s">
        <v>149</v>
      </c>
      <c r="S506" s="300"/>
    </row>
    <row r="507" spans="1:19">
      <c r="A507" s="167">
        <v>690</v>
      </c>
      <c r="B507" s="428"/>
      <c r="F507" s="391">
        <v>170.68</v>
      </c>
      <c r="H507" s="244"/>
      <c r="I507" s="449">
        <v>0.16</v>
      </c>
      <c r="J507" s="462">
        <v>-1.5490806770324701</v>
      </c>
      <c r="K507" s="491">
        <f t="shared" si="8"/>
        <v>8.4327517670238592</v>
      </c>
      <c r="L507" s="295" t="s">
        <v>665</v>
      </c>
      <c r="M507" s="296" t="s">
        <v>85</v>
      </c>
      <c r="N507" s="297" t="s">
        <v>192</v>
      </c>
      <c r="O507" s="298" t="s">
        <v>44</v>
      </c>
      <c r="P507" s="314" t="s">
        <v>91</v>
      </c>
      <c r="Q507" s="307" t="s">
        <v>492</v>
      </c>
      <c r="R507" s="299" t="s">
        <v>149</v>
      </c>
      <c r="S507" s="300"/>
    </row>
    <row r="508" spans="1:19">
      <c r="A508" s="167">
        <v>690</v>
      </c>
      <c r="B508" s="428"/>
      <c r="F508" s="391">
        <v>170.7</v>
      </c>
      <c r="H508" s="244"/>
      <c r="I508" s="449">
        <v>-1.31</v>
      </c>
      <c r="J508" s="462">
        <v>-1.5490806770324701</v>
      </c>
      <c r="K508" s="491">
        <f t="shared" si="8"/>
        <v>14.995810019881068</v>
      </c>
      <c r="L508" s="295" t="s">
        <v>665</v>
      </c>
      <c r="M508" s="296" t="s">
        <v>85</v>
      </c>
      <c r="N508" s="297" t="s">
        <v>192</v>
      </c>
      <c r="O508" s="298" t="s">
        <v>44</v>
      </c>
      <c r="P508" s="314" t="s">
        <v>91</v>
      </c>
      <c r="Q508" s="307" t="s">
        <v>492</v>
      </c>
      <c r="R508" s="299" t="s">
        <v>149</v>
      </c>
      <c r="S508" s="300"/>
    </row>
    <row r="509" spans="1:19">
      <c r="A509" s="167">
        <v>690</v>
      </c>
      <c r="B509" s="428"/>
      <c r="F509" s="391">
        <v>170.7</v>
      </c>
      <c r="H509" s="244"/>
      <c r="I509" s="449">
        <v>0.42</v>
      </c>
      <c r="J509" s="462">
        <v>-1.5490806770324701</v>
      </c>
      <c r="K509" s="491">
        <f t="shared" si="8"/>
        <v>7.3124207427089791</v>
      </c>
      <c r="L509" s="295" t="s">
        <v>665</v>
      </c>
      <c r="M509" s="296" t="s">
        <v>85</v>
      </c>
      <c r="N509" s="297" t="s">
        <v>192</v>
      </c>
      <c r="O509" s="298" t="s">
        <v>44</v>
      </c>
      <c r="P509" s="314" t="s">
        <v>91</v>
      </c>
      <c r="Q509" s="307" t="s">
        <v>492</v>
      </c>
      <c r="R509" s="299" t="s">
        <v>149</v>
      </c>
      <c r="S509" s="300"/>
    </row>
    <row r="510" spans="1:19">
      <c r="A510" s="167">
        <v>690</v>
      </c>
      <c r="B510" s="428"/>
      <c r="F510" s="391">
        <v>170.7</v>
      </c>
      <c r="H510" s="244"/>
      <c r="I510" s="449">
        <v>0.59</v>
      </c>
      <c r="J510" s="462">
        <v>-1.5490806770324701</v>
      </c>
      <c r="K510" s="491">
        <f t="shared" si="8"/>
        <v>6.5864756114261747</v>
      </c>
      <c r="L510" s="295" t="s">
        <v>665</v>
      </c>
      <c r="M510" s="296" t="s">
        <v>85</v>
      </c>
      <c r="N510" s="297" t="s">
        <v>192</v>
      </c>
      <c r="O510" s="298" t="s">
        <v>44</v>
      </c>
      <c r="P510" s="314" t="s">
        <v>91</v>
      </c>
      <c r="Q510" s="307" t="s">
        <v>492</v>
      </c>
      <c r="R510" s="299" t="s">
        <v>149</v>
      </c>
      <c r="S510" s="300"/>
    </row>
    <row r="511" spans="1:19">
      <c r="A511" s="167">
        <v>690</v>
      </c>
      <c r="B511" s="428"/>
      <c r="F511" s="391">
        <v>170.7</v>
      </c>
      <c r="H511" s="244"/>
      <c r="I511" s="449">
        <v>-0.7</v>
      </c>
      <c r="J511" s="462">
        <v>-1.5490806770324701</v>
      </c>
      <c r="K511" s="491">
        <f t="shared" si="8"/>
        <v>12.225150078219233</v>
      </c>
      <c r="L511" s="295" t="s">
        <v>665</v>
      </c>
      <c r="M511" s="296" t="s">
        <v>85</v>
      </c>
      <c r="N511" s="297" t="s">
        <v>192</v>
      </c>
      <c r="O511" s="298" t="s">
        <v>44</v>
      </c>
      <c r="P511" s="314" t="s">
        <v>91</v>
      </c>
      <c r="Q511" s="307" t="s">
        <v>492</v>
      </c>
      <c r="R511" s="299" t="s">
        <v>149</v>
      </c>
      <c r="S511" s="300"/>
    </row>
    <row r="512" spans="1:19">
      <c r="A512" s="167">
        <v>690</v>
      </c>
      <c r="B512" s="428"/>
      <c r="F512" s="391">
        <v>170.7</v>
      </c>
      <c r="H512" s="244"/>
      <c r="I512" s="449">
        <v>-0.63</v>
      </c>
      <c r="J512" s="462">
        <v>-1.5490806770324701</v>
      </c>
      <c r="K512" s="491">
        <f t="shared" si="8"/>
        <v>11.911489494749842</v>
      </c>
      <c r="L512" s="295" t="s">
        <v>665</v>
      </c>
      <c r="M512" s="296" t="s">
        <v>85</v>
      </c>
      <c r="N512" s="297" t="s">
        <v>192</v>
      </c>
      <c r="O512" s="298" t="s">
        <v>44</v>
      </c>
      <c r="P512" s="314" t="s">
        <v>91</v>
      </c>
      <c r="Q512" s="307" t="s">
        <v>492</v>
      </c>
      <c r="R512" s="299" t="s">
        <v>149</v>
      </c>
      <c r="S512" s="300"/>
    </row>
    <row r="513" spans="1:19">
      <c r="A513" s="167">
        <v>690</v>
      </c>
      <c r="B513" s="428"/>
      <c r="F513" s="391">
        <v>170.7</v>
      </c>
      <c r="H513" s="244"/>
      <c r="I513" s="449">
        <v>-0.94</v>
      </c>
      <c r="J513" s="462">
        <v>-1.5490806770324701</v>
      </c>
      <c r="K513" s="491">
        <f t="shared" si="8"/>
        <v>13.30725379297143</v>
      </c>
      <c r="L513" s="295" t="s">
        <v>665</v>
      </c>
      <c r="M513" s="296" t="s">
        <v>85</v>
      </c>
      <c r="N513" s="297" t="s">
        <v>192</v>
      </c>
      <c r="O513" s="298" t="s">
        <v>44</v>
      </c>
      <c r="P513" s="314" t="s">
        <v>91</v>
      </c>
      <c r="Q513" s="307" t="s">
        <v>492</v>
      </c>
      <c r="R513" s="299" t="s">
        <v>149</v>
      </c>
      <c r="S513" s="300"/>
    </row>
    <row r="514" spans="1:19">
      <c r="A514" s="167">
        <v>690</v>
      </c>
      <c r="B514" s="428"/>
      <c r="F514" s="391">
        <v>170.71</v>
      </c>
      <c r="H514" s="244"/>
      <c r="I514" s="449">
        <v>0.41</v>
      </c>
      <c r="J514" s="462">
        <v>-1.5490806770324701</v>
      </c>
      <c r="K514" s="491">
        <f t="shared" si="8"/>
        <v>7.355285397490321</v>
      </c>
      <c r="L514" s="295" t="s">
        <v>665</v>
      </c>
      <c r="M514" s="296" t="s">
        <v>85</v>
      </c>
      <c r="N514" s="297" t="s">
        <v>192</v>
      </c>
      <c r="O514" s="298" t="s">
        <v>44</v>
      </c>
      <c r="P514" s="314" t="s">
        <v>91</v>
      </c>
      <c r="Q514" s="307" t="s">
        <v>492</v>
      </c>
      <c r="R514" s="299" t="s">
        <v>149</v>
      </c>
      <c r="S514" s="300"/>
    </row>
    <row r="515" spans="1:19">
      <c r="A515" s="167">
        <v>690</v>
      </c>
      <c r="B515" s="428"/>
      <c r="F515" s="391">
        <v>170.71</v>
      </c>
      <c r="H515" s="244"/>
      <c r="I515" s="449">
        <v>0.63</v>
      </c>
      <c r="J515" s="462">
        <v>-1.5490806770324701</v>
      </c>
      <c r="K515" s="491">
        <f t="shared" si="8"/>
        <v>6.4164209923008073</v>
      </c>
      <c r="L515" s="295" t="s">
        <v>665</v>
      </c>
      <c r="M515" s="296" t="s">
        <v>85</v>
      </c>
      <c r="N515" s="297" t="s">
        <v>192</v>
      </c>
      <c r="O515" s="298" t="s">
        <v>44</v>
      </c>
      <c r="P515" s="314" t="s">
        <v>91</v>
      </c>
      <c r="Q515" s="307" t="s">
        <v>492</v>
      </c>
      <c r="R515" s="299" t="s">
        <v>149</v>
      </c>
      <c r="S515" s="300"/>
    </row>
    <row r="516" spans="1:19">
      <c r="A516" s="167">
        <v>690</v>
      </c>
      <c r="B516" s="428"/>
      <c r="F516" s="391">
        <v>170.71</v>
      </c>
      <c r="H516" s="244"/>
      <c r="I516" s="449">
        <v>0.46</v>
      </c>
      <c r="J516" s="462">
        <v>-1.5490806770324701</v>
      </c>
      <c r="K516" s="491">
        <f t="shared" si="8"/>
        <v>7.1411421235836139</v>
      </c>
      <c r="L516" s="295" t="s">
        <v>665</v>
      </c>
      <c r="M516" s="296" t="s">
        <v>85</v>
      </c>
      <c r="N516" s="297" t="s">
        <v>192</v>
      </c>
      <c r="O516" s="298" t="s">
        <v>44</v>
      </c>
      <c r="P516" s="314" t="s">
        <v>91</v>
      </c>
      <c r="Q516" s="307" t="s">
        <v>492</v>
      </c>
      <c r="R516" s="299" t="s">
        <v>149</v>
      </c>
      <c r="S516" s="300"/>
    </row>
    <row r="517" spans="1:19">
      <c r="A517" s="167">
        <v>690</v>
      </c>
      <c r="B517" s="428"/>
      <c r="F517" s="391">
        <v>170.71</v>
      </c>
      <c r="H517" s="244"/>
      <c r="I517" s="449">
        <v>0.55000000000000004</v>
      </c>
      <c r="J517" s="462">
        <v>-1.5490806770324701</v>
      </c>
      <c r="K517" s="491">
        <f t="shared" si="8"/>
        <v>6.7568182305515396</v>
      </c>
      <c r="L517" s="295" t="s">
        <v>665</v>
      </c>
      <c r="M517" s="296" t="s">
        <v>85</v>
      </c>
      <c r="N517" s="297" t="s">
        <v>192</v>
      </c>
      <c r="O517" s="298" t="s">
        <v>44</v>
      </c>
      <c r="P517" s="314" t="s">
        <v>91</v>
      </c>
      <c r="Q517" s="307" t="s">
        <v>492</v>
      </c>
      <c r="R517" s="299" t="s">
        <v>149</v>
      </c>
      <c r="S517" s="300"/>
    </row>
    <row r="518" spans="1:19">
      <c r="A518" s="167">
        <v>690</v>
      </c>
      <c r="B518" s="428"/>
      <c r="F518" s="391">
        <v>170.71</v>
      </c>
      <c r="H518" s="244"/>
      <c r="I518" s="449">
        <v>0.5</v>
      </c>
      <c r="J518" s="462">
        <v>-1.5490806770324701</v>
      </c>
      <c r="K518" s="491">
        <f t="shared" si="8"/>
        <v>6.9701515044582472</v>
      </c>
      <c r="L518" s="295" t="s">
        <v>665</v>
      </c>
      <c r="M518" s="296" t="s">
        <v>85</v>
      </c>
      <c r="N518" s="297" t="s">
        <v>192</v>
      </c>
      <c r="O518" s="298" t="s">
        <v>44</v>
      </c>
      <c r="P518" s="314" t="s">
        <v>91</v>
      </c>
      <c r="Q518" s="307" t="s">
        <v>492</v>
      </c>
      <c r="R518" s="299" t="s">
        <v>149</v>
      </c>
      <c r="S518" s="300"/>
    </row>
    <row r="519" spans="1:19">
      <c r="A519" s="167">
        <v>690</v>
      </c>
      <c r="B519" s="428"/>
      <c r="F519" s="391">
        <v>170.72</v>
      </c>
      <c r="H519" s="244"/>
      <c r="I519" s="449">
        <v>0.46</v>
      </c>
      <c r="J519" s="462">
        <v>-1.5490806770324701</v>
      </c>
      <c r="K519" s="491">
        <f t="shared" si="8"/>
        <v>7.1411421235836139</v>
      </c>
      <c r="L519" s="295" t="s">
        <v>665</v>
      </c>
      <c r="M519" s="296" t="s">
        <v>85</v>
      </c>
      <c r="N519" s="297" t="s">
        <v>192</v>
      </c>
      <c r="O519" s="298" t="s">
        <v>44</v>
      </c>
      <c r="P519" s="314" t="s">
        <v>91</v>
      </c>
      <c r="Q519" s="307" t="s">
        <v>492</v>
      </c>
      <c r="R519" s="299" t="s">
        <v>149</v>
      </c>
      <c r="S519" s="300"/>
    </row>
    <row r="520" spans="1:19">
      <c r="A520" s="167">
        <v>690</v>
      </c>
      <c r="B520" s="428"/>
      <c r="F520" s="391">
        <v>170.72</v>
      </c>
      <c r="H520" s="244"/>
      <c r="I520" s="449">
        <v>0.16</v>
      </c>
      <c r="J520" s="462">
        <v>-1.5490806770324701</v>
      </c>
      <c r="K520" s="491">
        <f t="shared" si="8"/>
        <v>8.4327517670238592</v>
      </c>
      <c r="L520" s="295" t="s">
        <v>665</v>
      </c>
      <c r="M520" s="296" t="s">
        <v>85</v>
      </c>
      <c r="N520" s="297" t="s">
        <v>192</v>
      </c>
      <c r="O520" s="298" t="s">
        <v>44</v>
      </c>
      <c r="P520" s="314" t="s">
        <v>91</v>
      </c>
      <c r="Q520" s="307" t="s">
        <v>492</v>
      </c>
      <c r="R520" s="299" t="s">
        <v>149</v>
      </c>
      <c r="S520" s="300"/>
    </row>
    <row r="521" spans="1:19">
      <c r="A521" s="167">
        <v>690</v>
      </c>
      <c r="B521" s="428"/>
      <c r="F521" s="391">
        <v>170.72</v>
      </c>
      <c r="H521" s="244"/>
      <c r="I521" s="449">
        <v>0.54</v>
      </c>
      <c r="J521" s="462">
        <v>-1.5490806770324701</v>
      </c>
      <c r="K521" s="491">
        <f t="shared" si="8"/>
        <v>6.7994488853328798</v>
      </c>
      <c r="L521" s="295" t="s">
        <v>665</v>
      </c>
      <c r="M521" s="296" t="s">
        <v>85</v>
      </c>
      <c r="N521" s="297" t="s">
        <v>192</v>
      </c>
      <c r="O521" s="298" t="s">
        <v>44</v>
      </c>
      <c r="P521" s="314" t="s">
        <v>91</v>
      </c>
      <c r="Q521" s="307" t="s">
        <v>492</v>
      </c>
      <c r="R521" s="299" t="s">
        <v>149</v>
      </c>
      <c r="S521" s="300"/>
    </row>
    <row r="522" spans="1:19">
      <c r="A522" s="167">
        <v>690</v>
      </c>
      <c r="B522" s="428"/>
      <c r="F522" s="391">
        <v>170.72</v>
      </c>
      <c r="H522" s="244"/>
      <c r="I522" s="449">
        <v>0.54</v>
      </c>
      <c r="J522" s="462">
        <v>-1.5490806770324701</v>
      </c>
      <c r="K522" s="491">
        <f t="shared" ref="K522:K585" si="9">16.1-4.64*($I522-J522)+0.09*($I522-J522)^2</f>
        <v>6.7994488853328798</v>
      </c>
      <c r="L522" s="295" t="s">
        <v>665</v>
      </c>
      <c r="M522" s="296" t="s">
        <v>85</v>
      </c>
      <c r="N522" s="297" t="s">
        <v>192</v>
      </c>
      <c r="O522" s="298" t="s">
        <v>44</v>
      </c>
      <c r="P522" s="314" t="s">
        <v>91</v>
      </c>
      <c r="Q522" s="307" t="s">
        <v>492</v>
      </c>
      <c r="R522" s="299" t="s">
        <v>149</v>
      </c>
      <c r="S522" s="300"/>
    </row>
    <row r="523" spans="1:19">
      <c r="A523" s="167">
        <v>690</v>
      </c>
      <c r="B523" s="428"/>
      <c r="F523" s="391">
        <v>170.72</v>
      </c>
      <c r="H523" s="244"/>
      <c r="I523" s="449">
        <v>0.47</v>
      </c>
      <c r="J523" s="462">
        <v>-1.5490806770324701</v>
      </c>
      <c r="K523" s="491">
        <f t="shared" si="9"/>
        <v>7.0983674688022722</v>
      </c>
      <c r="L523" s="295" t="s">
        <v>665</v>
      </c>
      <c r="M523" s="296" t="s">
        <v>85</v>
      </c>
      <c r="N523" s="297" t="s">
        <v>192</v>
      </c>
      <c r="O523" s="298" t="s">
        <v>44</v>
      </c>
      <c r="P523" s="314" t="s">
        <v>91</v>
      </c>
      <c r="Q523" s="307" t="s">
        <v>492</v>
      </c>
      <c r="R523" s="299" t="s">
        <v>149</v>
      </c>
      <c r="S523" s="300"/>
    </row>
    <row r="524" spans="1:19">
      <c r="A524" s="167">
        <v>690</v>
      </c>
      <c r="B524" s="428"/>
      <c r="F524" s="391">
        <v>170.73</v>
      </c>
      <c r="H524" s="244"/>
      <c r="I524" s="449">
        <v>-0.8</v>
      </c>
      <c r="J524" s="462">
        <v>-1.5490806770324701</v>
      </c>
      <c r="K524" s="491">
        <f t="shared" si="9"/>
        <v>12.67476662603265</v>
      </c>
      <c r="L524" s="295" t="s">
        <v>665</v>
      </c>
      <c r="M524" s="296" t="s">
        <v>85</v>
      </c>
      <c r="N524" s="297" t="s">
        <v>192</v>
      </c>
      <c r="O524" s="298" t="s">
        <v>44</v>
      </c>
      <c r="P524" s="314" t="s">
        <v>91</v>
      </c>
      <c r="Q524" s="307" t="s">
        <v>492</v>
      </c>
      <c r="R524" s="299" t="s">
        <v>149</v>
      </c>
      <c r="S524" s="300"/>
    </row>
    <row r="525" spans="1:19">
      <c r="A525" s="167">
        <v>690</v>
      </c>
      <c r="B525" s="428"/>
      <c r="F525" s="391">
        <v>170.73</v>
      </c>
      <c r="H525" s="244"/>
      <c r="I525" s="449">
        <v>0.01</v>
      </c>
      <c r="J525" s="462">
        <v>-1.5490806770324701</v>
      </c>
      <c r="K525" s="491">
        <f t="shared" si="9"/>
        <v>9.0846315887439832</v>
      </c>
      <c r="L525" s="295" t="s">
        <v>665</v>
      </c>
      <c r="M525" s="296" t="s">
        <v>85</v>
      </c>
      <c r="N525" s="297" t="s">
        <v>192</v>
      </c>
      <c r="O525" s="298" t="s">
        <v>44</v>
      </c>
      <c r="P525" s="314" t="s">
        <v>91</v>
      </c>
      <c r="Q525" s="307" t="s">
        <v>492</v>
      </c>
      <c r="R525" s="299" t="s">
        <v>149</v>
      </c>
      <c r="S525" s="300"/>
    </row>
    <row r="526" spans="1:19">
      <c r="A526" s="167">
        <v>690</v>
      </c>
      <c r="B526" s="428"/>
      <c r="F526" s="391">
        <v>170.73</v>
      </c>
      <c r="H526" s="244"/>
      <c r="I526" s="449">
        <v>-0.06</v>
      </c>
      <c r="J526" s="462">
        <v>-1.5490806770324701</v>
      </c>
      <c r="K526" s="491">
        <f t="shared" si="9"/>
        <v>9.3902281722133729</v>
      </c>
      <c r="L526" s="295" t="s">
        <v>665</v>
      </c>
      <c r="M526" s="296" t="s">
        <v>85</v>
      </c>
      <c r="N526" s="297" t="s">
        <v>192</v>
      </c>
      <c r="O526" s="298" t="s">
        <v>44</v>
      </c>
      <c r="P526" s="314" t="s">
        <v>91</v>
      </c>
      <c r="Q526" s="307" t="s">
        <v>492</v>
      </c>
      <c r="R526" s="299" t="s">
        <v>149</v>
      </c>
      <c r="S526" s="300"/>
    </row>
    <row r="527" spans="1:19">
      <c r="A527" s="167">
        <v>690</v>
      </c>
      <c r="B527" s="428"/>
      <c r="F527" s="391">
        <v>170.73</v>
      </c>
      <c r="H527" s="244"/>
      <c r="I527" s="449">
        <v>-0.55000000000000004</v>
      </c>
      <c r="J527" s="462">
        <v>-1.5490806770324701</v>
      </c>
      <c r="K527" s="491">
        <f t="shared" si="9"/>
        <v>11.55410025649911</v>
      </c>
      <c r="L527" s="295" t="s">
        <v>665</v>
      </c>
      <c r="M527" s="296" t="s">
        <v>85</v>
      </c>
      <c r="N527" s="297" t="s">
        <v>192</v>
      </c>
      <c r="O527" s="298" t="s">
        <v>44</v>
      </c>
      <c r="P527" s="314" t="s">
        <v>91</v>
      </c>
      <c r="Q527" s="307" t="s">
        <v>492</v>
      </c>
      <c r="R527" s="299" t="s">
        <v>149</v>
      </c>
      <c r="S527" s="300"/>
    </row>
    <row r="528" spans="1:19">
      <c r="A528" s="167">
        <v>690</v>
      </c>
      <c r="B528" s="428"/>
      <c r="F528" s="391">
        <v>170.73</v>
      </c>
      <c r="H528" s="244"/>
      <c r="I528" s="449">
        <v>-0.08</v>
      </c>
      <c r="J528" s="462">
        <v>-1.5490806770324701</v>
      </c>
      <c r="K528" s="491">
        <f t="shared" si="9"/>
        <v>9.4777034817760573</v>
      </c>
      <c r="L528" s="295" t="s">
        <v>665</v>
      </c>
      <c r="M528" s="296" t="s">
        <v>85</v>
      </c>
      <c r="N528" s="297" t="s">
        <v>192</v>
      </c>
      <c r="O528" s="298" t="s">
        <v>44</v>
      </c>
      <c r="P528" s="314" t="s">
        <v>91</v>
      </c>
      <c r="Q528" s="307" t="s">
        <v>492</v>
      </c>
      <c r="R528" s="299" t="s">
        <v>149</v>
      </c>
      <c r="S528" s="300"/>
    </row>
    <row r="529" spans="1:19">
      <c r="A529" s="167">
        <v>690</v>
      </c>
      <c r="B529" s="428"/>
      <c r="F529" s="391">
        <v>170.73</v>
      </c>
      <c r="H529" s="244"/>
      <c r="I529" s="449">
        <v>-0.06</v>
      </c>
      <c r="J529" s="462">
        <v>-1.5490806770324701</v>
      </c>
      <c r="K529" s="491">
        <f t="shared" si="9"/>
        <v>9.3902281722133729</v>
      </c>
      <c r="L529" s="295" t="s">
        <v>665</v>
      </c>
      <c r="M529" s="296" t="s">
        <v>85</v>
      </c>
      <c r="N529" s="297" t="s">
        <v>192</v>
      </c>
      <c r="O529" s="298" t="s">
        <v>44</v>
      </c>
      <c r="P529" s="314" t="s">
        <v>91</v>
      </c>
      <c r="Q529" s="307" t="s">
        <v>492</v>
      </c>
      <c r="R529" s="299" t="s">
        <v>149</v>
      </c>
      <c r="S529" s="300"/>
    </row>
    <row r="530" spans="1:19">
      <c r="A530" s="167">
        <v>690</v>
      </c>
      <c r="B530" s="428"/>
      <c r="F530" s="391">
        <v>170.73</v>
      </c>
      <c r="H530" s="244"/>
      <c r="I530" s="449">
        <v>-0.04</v>
      </c>
      <c r="J530" s="462">
        <v>-1.5490806770324701</v>
      </c>
      <c r="K530" s="491">
        <f t="shared" si="9"/>
        <v>9.3028248626506898</v>
      </c>
      <c r="L530" s="295" t="s">
        <v>665</v>
      </c>
      <c r="M530" s="296" t="s">
        <v>85</v>
      </c>
      <c r="N530" s="297" t="s">
        <v>192</v>
      </c>
      <c r="O530" s="298" t="s">
        <v>44</v>
      </c>
      <c r="P530" s="314" t="s">
        <v>91</v>
      </c>
      <c r="Q530" s="307" t="s">
        <v>492</v>
      </c>
      <c r="R530" s="299" t="s">
        <v>149</v>
      </c>
      <c r="S530" s="300"/>
    </row>
    <row r="531" spans="1:19">
      <c r="A531" s="167">
        <v>690</v>
      </c>
      <c r="B531" s="428"/>
      <c r="F531" s="391">
        <v>170.73</v>
      </c>
      <c r="H531" s="244"/>
      <c r="I531" s="449">
        <v>-0.21</v>
      </c>
      <c r="J531" s="462">
        <v>-1.5490806770324701</v>
      </c>
      <c r="K531" s="491">
        <f t="shared" si="9"/>
        <v>10.048047993933496</v>
      </c>
      <c r="L531" s="295" t="s">
        <v>665</v>
      </c>
      <c r="M531" s="296" t="s">
        <v>85</v>
      </c>
      <c r="N531" s="297" t="s">
        <v>192</v>
      </c>
      <c r="O531" s="298" t="s">
        <v>44</v>
      </c>
      <c r="P531" s="314" t="s">
        <v>91</v>
      </c>
      <c r="Q531" s="307" t="s">
        <v>492</v>
      </c>
      <c r="R531" s="299" t="s">
        <v>149</v>
      </c>
      <c r="S531" s="300"/>
    </row>
    <row r="532" spans="1:19">
      <c r="A532" s="167">
        <v>690</v>
      </c>
      <c r="B532" s="428"/>
      <c r="F532" s="391">
        <v>170.74</v>
      </c>
      <c r="H532" s="244"/>
      <c r="I532" s="449">
        <v>-0.13</v>
      </c>
      <c r="J532" s="462">
        <v>-1.5490806770324701</v>
      </c>
      <c r="K532" s="491">
        <f t="shared" si="9"/>
        <v>9.6967067556827651</v>
      </c>
      <c r="L532" s="295" t="s">
        <v>665</v>
      </c>
      <c r="M532" s="296" t="s">
        <v>85</v>
      </c>
      <c r="N532" s="297" t="s">
        <v>192</v>
      </c>
      <c r="O532" s="298" t="s">
        <v>44</v>
      </c>
      <c r="P532" s="314" t="s">
        <v>91</v>
      </c>
      <c r="Q532" s="307" t="s">
        <v>492</v>
      </c>
      <c r="R532" s="299" t="s">
        <v>149</v>
      </c>
      <c r="S532" s="300"/>
    </row>
    <row r="533" spans="1:19">
      <c r="A533" s="167">
        <v>690</v>
      </c>
      <c r="B533" s="428"/>
      <c r="F533" s="391">
        <v>170.74</v>
      </c>
      <c r="H533" s="244"/>
      <c r="I533" s="449">
        <v>-0.13</v>
      </c>
      <c r="J533" s="462">
        <v>-1.5490806770324701</v>
      </c>
      <c r="K533" s="491">
        <f t="shared" si="9"/>
        <v>9.6967067556827651</v>
      </c>
      <c r="L533" s="295" t="s">
        <v>665</v>
      </c>
      <c r="M533" s="296" t="s">
        <v>85</v>
      </c>
      <c r="N533" s="297" t="s">
        <v>192</v>
      </c>
      <c r="O533" s="298" t="s">
        <v>44</v>
      </c>
      <c r="P533" s="314" t="s">
        <v>91</v>
      </c>
      <c r="Q533" s="307" t="s">
        <v>492</v>
      </c>
      <c r="R533" s="299" t="s">
        <v>149</v>
      </c>
      <c r="S533" s="300"/>
    </row>
    <row r="534" spans="1:19">
      <c r="A534" s="167">
        <v>690</v>
      </c>
      <c r="B534" s="428"/>
      <c r="F534" s="391">
        <v>170.74</v>
      </c>
      <c r="H534" s="244"/>
      <c r="I534" s="449">
        <v>-0.44</v>
      </c>
      <c r="J534" s="462">
        <v>-1.5490806770324701</v>
      </c>
      <c r="K534" s="491">
        <f t="shared" si="9"/>
        <v>11.064571053904352</v>
      </c>
      <c r="L534" s="295" t="s">
        <v>665</v>
      </c>
      <c r="M534" s="296" t="s">
        <v>85</v>
      </c>
      <c r="N534" s="297" t="s">
        <v>192</v>
      </c>
      <c r="O534" s="298" t="s">
        <v>44</v>
      </c>
      <c r="P534" s="314" t="s">
        <v>91</v>
      </c>
      <c r="Q534" s="307" t="s">
        <v>492</v>
      </c>
      <c r="R534" s="299" t="s">
        <v>149</v>
      </c>
      <c r="S534" s="300"/>
    </row>
    <row r="535" spans="1:19">
      <c r="A535" s="167">
        <v>690</v>
      </c>
      <c r="B535" s="428"/>
      <c r="F535" s="391">
        <v>170.74</v>
      </c>
      <c r="H535" s="244"/>
      <c r="I535" s="449">
        <v>-0.74</v>
      </c>
      <c r="J535" s="462">
        <v>-1.5490806770324701</v>
      </c>
      <c r="K535" s="491">
        <f t="shared" si="9"/>
        <v>12.4047806973446</v>
      </c>
      <c r="L535" s="295" t="s">
        <v>665</v>
      </c>
      <c r="M535" s="296" t="s">
        <v>85</v>
      </c>
      <c r="N535" s="297" t="s">
        <v>192</v>
      </c>
      <c r="O535" s="298" t="s">
        <v>44</v>
      </c>
      <c r="P535" s="314" t="s">
        <v>91</v>
      </c>
      <c r="Q535" s="307" t="s">
        <v>492</v>
      </c>
      <c r="R535" s="299" t="s">
        <v>149</v>
      </c>
      <c r="S535" s="300"/>
    </row>
    <row r="536" spans="1:19">
      <c r="A536" s="167">
        <v>690</v>
      </c>
      <c r="B536" s="428"/>
      <c r="F536" s="391">
        <v>170.74</v>
      </c>
      <c r="H536" s="244"/>
      <c r="I536" s="449">
        <v>0.5</v>
      </c>
      <c r="J536" s="462">
        <v>-1.5490806770324701</v>
      </c>
      <c r="K536" s="491">
        <f t="shared" si="9"/>
        <v>6.9701515044582472</v>
      </c>
      <c r="L536" s="295" t="s">
        <v>665</v>
      </c>
      <c r="M536" s="296" t="s">
        <v>85</v>
      </c>
      <c r="N536" s="297" t="s">
        <v>192</v>
      </c>
      <c r="O536" s="298" t="s">
        <v>44</v>
      </c>
      <c r="P536" s="314" t="s">
        <v>91</v>
      </c>
      <c r="Q536" s="307" t="s">
        <v>492</v>
      </c>
      <c r="R536" s="299" t="s">
        <v>149</v>
      </c>
      <c r="S536" s="300"/>
    </row>
    <row r="537" spans="1:19">
      <c r="A537" s="167">
        <v>690</v>
      </c>
      <c r="B537" s="428"/>
      <c r="F537" s="391">
        <v>170.74</v>
      </c>
      <c r="H537" s="244"/>
      <c r="I537" s="449">
        <v>-0.04</v>
      </c>
      <c r="J537" s="462">
        <v>-1.5490806770324701</v>
      </c>
      <c r="K537" s="491">
        <f t="shared" si="9"/>
        <v>9.3028248626506898</v>
      </c>
      <c r="L537" s="295" t="s">
        <v>665</v>
      </c>
      <c r="M537" s="296" t="s">
        <v>85</v>
      </c>
      <c r="N537" s="297" t="s">
        <v>192</v>
      </c>
      <c r="O537" s="298" t="s">
        <v>44</v>
      </c>
      <c r="P537" s="314" t="s">
        <v>91</v>
      </c>
      <c r="Q537" s="307" t="s">
        <v>492</v>
      </c>
      <c r="R537" s="299" t="s">
        <v>149</v>
      </c>
      <c r="S537" s="300"/>
    </row>
    <row r="538" spans="1:19">
      <c r="A538" s="167">
        <v>690</v>
      </c>
      <c r="B538" s="428"/>
      <c r="F538" s="391">
        <v>170.75</v>
      </c>
      <c r="H538" s="244"/>
      <c r="I538" s="449">
        <v>-0.02</v>
      </c>
      <c r="J538" s="462">
        <v>-1.5490806770324701</v>
      </c>
      <c r="K538" s="491">
        <f t="shared" si="9"/>
        <v>9.215493553088006</v>
      </c>
      <c r="L538" s="295" t="s">
        <v>665</v>
      </c>
      <c r="M538" s="296" t="s">
        <v>85</v>
      </c>
      <c r="N538" s="297" t="s">
        <v>192</v>
      </c>
      <c r="O538" s="298" t="s">
        <v>44</v>
      </c>
      <c r="P538" s="314" t="s">
        <v>91</v>
      </c>
      <c r="Q538" s="307" t="s">
        <v>492</v>
      </c>
      <c r="R538" s="299" t="s">
        <v>149</v>
      </c>
      <c r="S538" s="300"/>
    </row>
    <row r="539" spans="1:19">
      <c r="A539" s="167">
        <v>690</v>
      </c>
      <c r="B539" s="428"/>
      <c r="F539" s="391">
        <v>170.75</v>
      </c>
      <c r="H539" s="244"/>
      <c r="I539" s="449">
        <v>-0.05</v>
      </c>
      <c r="J539" s="462">
        <v>-1.5490806770324701</v>
      </c>
      <c r="K539" s="491">
        <f t="shared" si="9"/>
        <v>9.3465175174320336</v>
      </c>
      <c r="L539" s="295" t="s">
        <v>665</v>
      </c>
      <c r="M539" s="296" t="s">
        <v>85</v>
      </c>
      <c r="N539" s="297" t="s">
        <v>192</v>
      </c>
      <c r="O539" s="298" t="s">
        <v>44</v>
      </c>
      <c r="P539" s="314" t="s">
        <v>91</v>
      </c>
      <c r="Q539" s="307" t="s">
        <v>492</v>
      </c>
      <c r="R539" s="299" t="s">
        <v>149</v>
      </c>
      <c r="S539" s="300"/>
    </row>
    <row r="540" spans="1:19">
      <c r="A540" s="167">
        <v>690</v>
      </c>
      <c r="B540" s="428"/>
      <c r="F540" s="391">
        <v>170.75</v>
      </c>
      <c r="H540" s="244"/>
      <c r="I540" s="449">
        <v>-0.35</v>
      </c>
      <c r="J540" s="462">
        <v>-1.5490806770324701</v>
      </c>
      <c r="K540" s="491">
        <f t="shared" si="9"/>
        <v>10.66566716087228</v>
      </c>
      <c r="L540" s="295" t="s">
        <v>665</v>
      </c>
      <c r="M540" s="296" t="s">
        <v>85</v>
      </c>
      <c r="N540" s="297" t="s">
        <v>192</v>
      </c>
      <c r="O540" s="298" t="s">
        <v>44</v>
      </c>
      <c r="P540" s="314" t="s">
        <v>91</v>
      </c>
      <c r="Q540" s="307" t="s">
        <v>492</v>
      </c>
      <c r="R540" s="299" t="s">
        <v>149</v>
      </c>
      <c r="S540" s="300"/>
    </row>
    <row r="541" spans="1:19">
      <c r="A541" s="167">
        <v>690</v>
      </c>
      <c r="B541" s="428"/>
      <c r="F541" s="391">
        <v>170.75</v>
      </c>
      <c r="H541" s="244"/>
      <c r="I541" s="449">
        <v>-0.44</v>
      </c>
      <c r="J541" s="462">
        <v>-1.5490806770324701</v>
      </c>
      <c r="K541" s="491">
        <f t="shared" si="9"/>
        <v>11.064571053904352</v>
      </c>
      <c r="L541" s="295" t="s">
        <v>665</v>
      </c>
      <c r="M541" s="296" t="s">
        <v>85</v>
      </c>
      <c r="N541" s="297" t="s">
        <v>192</v>
      </c>
      <c r="O541" s="298" t="s">
        <v>44</v>
      </c>
      <c r="P541" s="314" t="s">
        <v>91</v>
      </c>
      <c r="Q541" s="307" t="s">
        <v>492</v>
      </c>
      <c r="R541" s="299" t="s">
        <v>149</v>
      </c>
      <c r="S541" s="300"/>
    </row>
    <row r="542" spans="1:19">
      <c r="A542" s="167">
        <v>690</v>
      </c>
      <c r="B542" s="428"/>
      <c r="F542" s="391">
        <v>170.75</v>
      </c>
      <c r="H542" s="244"/>
      <c r="I542" s="449">
        <v>-0.19</v>
      </c>
      <c r="J542" s="462">
        <v>-1.5490806770324701</v>
      </c>
      <c r="K542" s="491">
        <f t="shared" si="9"/>
        <v>9.9601046843708154</v>
      </c>
      <c r="L542" s="295" t="s">
        <v>665</v>
      </c>
      <c r="M542" s="296" t="s">
        <v>85</v>
      </c>
      <c r="N542" s="297" t="s">
        <v>192</v>
      </c>
      <c r="O542" s="298" t="s">
        <v>44</v>
      </c>
      <c r="P542" s="314" t="s">
        <v>91</v>
      </c>
      <c r="Q542" s="307" t="s">
        <v>492</v>
      </c>
      <c r="R542" s="299" t="s">
        <v>149</v>
      </c>
      <c r="S542" s="300"/>
    </row>
    <row r="543" spans="1:19">
      <c r="A543" s="167">
        <v>690</v>
      </c>
      <c r="B543" s="428"/>
      <c r="F543" s="391">
        <v>170.75</v>
      </c>
      <c r="H543" s="244"/>
      <c r="I543" s="449">
        <v>0.26</v>
      </c>
      <c r="J543" s="462">
        <v>-1.5490806770324701</v>
      </c>
      <c r="K543" s="491">
        <f t="shared" si="9"/>
        <v>8.0004152192104439</v>
      </c>
      <c r="L543" s="295" t="s">
        <v>665</v>
      </c>
      <c r="M543" s="296" t="s">
        <v>85</v>
      </c>
      <c r="N543" s="297" t="s">
        <v>192</v>
      </c>
      <c r="O543" s="298" t="s">
        <v>44</v>
      </c>
      <c r="P543" s="314" t="s">
        <v>91</v>
      </c>
      <c r="Q543" s="307" t="s">
        <v>492</v>
      </c>
      <c r="R543" s="299" t="s">
        <v>149</v>
      </c>
      <c r="S543" s="300"/>
    </row>
    <row r="544" spans="1:19">
      <c r="A544" s="167">
        <v>690</v>
      </c>
      <c r="B544" s="428"/>
      <c r="F544" s="391">
        <v>170.75</v>
      </c>
      <c r="H544" s="244"/>
      <c r="I544" s="449">
        <v>-0.24</v>
      </c>
      <c r="J544" s="462">
        <v>-1.5490806770324701</v>
      </c>
      <c r="K544" s="491">
        <f t="shared" si="9"/>
        <v>10.180097958277521</v>
      </c>
      <c r="L544" s="295" t="s">
        <v>665</v>
      </c>
      <c r="M544" s="296" t="s">
        <v>85</v>
      </c>
      <c r="N544" s="297" t="s">
        <v>192</v>
      </c>
      <c r="O544" s="298" t="s">
        <v>44</v>
      </c>
      <c r="P544" s="314" t="s">
        <v>91</v>
      </c>
      <c r="Q544" s="307" t="s">
        <v>492</v>
      </c>
      <c r="R544" s="299" t="s">
        <v>149</v>
      </c>
      <c r="S544" s="300"/>
    </row>
    <row r="545" spans="1:19">
      <c r="A545" s="167">
        <v>690</v>
      </c>
      <c r="B545" s="428"/>
      <c r="F545" s="391">
        <v>170.76</v>
      </c>
      <c r="H545" s="244"/>
      <c r="I545" s="449">
        <v>-0.45</v>
      </c>
      <c r="J545" s="462">
        <v>-1.5490806770324701</v>
      </c>
      <c r="K545" s="491">
        <f t="shared" si="9"/>
        <v>11.108983708685694</v>
      </c>
      <c r="L545" s="295" t="s">
        <v>665</v>
      </c>
      <c r="M545" s="296" t="s">
        <v>85</v>
      </c>
      <c r="N545" s="297" t="s">
        <v>192</v>
      </c>
      <c r="O545" s="298" t="s">
        <v>44</v>
      </c>
      <c r="P545" s="314" t="s">
        <v>91</v>
      </c>
      <c r="Q545" s="307" t="s">
        <v>492</v>
      </c>
      <c r="R545" s="299" t="s">
        <v>149</v>
      </c>
      <c r="S545" s="300"/>
    </row>
    <row r="546" spans="1:19">
      <c r="A546" s="167">
        <v>690</v>
      </c>
      <c r="B546" s="428"/>
      <c r="F546" s="391">
        <v>170.76</v>
      </c>
      <c r="H546" s="244"/>
      <c r="I546" s="449">
        <v>-0.1</v>
      </c>
      <c r="J546" s="462">
        <v>-1.5490806770324701</v>
      </c>
      <c r="K546" s="491">
        <f t="shared" si="9"/>
        <v>9.565250791338741</v>
      </c>
      <c r="L546" s="295" t="s">
        <v>665</v>
      </c>
      <c r="M546" s="296" t="s">
        <v>85</v>
      </c>
      <c r="N546" s="297" t="s">
        <v>192</v>
      </c>
      <c r="O546" s="298" t="s">
        <v>44</v>
      </c>
      <c r="P546" s="314" t="s">
        <v>91</v>
      </c>
      <c r="Q546" s="307" t="s">
        <v>492</v>
      </c>
      <c r="R546" s="299" t="s">
        <v>149</v>
      </c>
      <c r="S546" s="300"/>
    </row>
    <row r="547" spans="1:19">
      <c r="A547" s="167">
        <v>690</v>
      </c>
      <c r="B547" s="428"/>
      <c r="F547" s="391">
        <v>170.76</v>
      </c>
      <c r="H547" s="244"/>
      <c r="I547" s="449">
        <v>0.09</v>
      </c>
      <c r="J547" s="462">
        <v>-1.5490806770324701</v>
      </c>
      <c r="K547" s="491">
        <f t="shared" si="9"/>
        <v>8.7364583504932511</v>
      </c>
      <c r="L547" s="295" t="s">
        <v>665</v>
      </c>
      <c r="M547" s="296" t="s">
        <v>85</v>
      </c>
      <c r="N547" s="297" t="s">
        <v>192</v>
      </c>
      <c r="O547" s="298" t="s">
        <v>44</v>
      </c>
      <c r="P547" s="314" t="s">
        <v>91</v>
      </c>
      <c r="Q547" s="307" t="s">
        <v>492</v>
      </c>
      <c r="R547" s="299" t="s">
        <v>149</v>
      </c>
      <c r="S547" s="300"/>
    </row>
    <row r="548" spans="1:19">
      <c r="A548" s="167">
        <v>690</v>
      </c>
      <c r="B548" s="428"/>
      <c r="F548" s="391">
        <v>170.76</v>
      </c>
      <c r="H548" s="244"/>
      <c r="I548" s="449">
        <v>-0.04</v>
      </c>
      <c r="J548" s="462">
        <v>-1.5490806770324701</v>
      </c>
      <c r="K548" s="491">
        <f t="shared" si="9"/>
        <v>9.3028248626506898</v>
      </c>
      <c r="L548" s="295" t="s">
        <v>665</v>
      </c>
      <c r="M548" s="296" t="s">
        <v>85</v>
      </c>
      <c r="N548" s="297" t="s">
        <v>192</v>
      </c>
      <c r="O548" s="298" t="s">
        <v>44</v>
      </c>
      <c r="P548" s="314" t="s">
        <v>91</v>
      </c>
      <c r="Q548" s="307" t="s">
        <v>492</v>
      </c>
      <c r="R548" s="299" t="s">
        <v>149</v>
      </c>
      <c r="S548" s="300"/>
    </row>
    <row r="549" spans="1:19">
      <c r="A549" s="167">
        <v>690</v>
      </c>
      <c r="B549" s="428"/>
      <c r="F549" s="391">
        <v>170.76</v>
      </c>
      <c r="H549" s="244"/>
      <c r="I549" s="449">
        <v>-0.3</v>
      </c>
      <c r="J549" s="462">
        <v>-1.5490806770324701</v>
      </c>
      <c r="K549" s="491">
        <f t="shared" si="9"/>
        <v>10.444683886965571</v>
      </c>
      <c r="L549" s="295" t="s">
        <v>665</v>
      </c>
      <c r="M549" s="296" t="s">
        <v>85</v>
      </c>
      <c r="N549" s="297" t="s">
        <v>192</v>
      </c>
      <c r="O549" s="298" t="s">
        <v>44</v>
      </c>
      <c r="P549" s="314" t="s">
        <v>91</v>
      </c>
      <c r="Q549" s="307" t="s">
        <v>492</v>
      </c>
      <c r="R549" s="299" t="s">
        <v>149</v>
      </c>
      <c r="S549" s="300"/>
    </row>
    <row r="550" spans="1:19">
      <c r="A550" s="167">
        <v>690</v>
      </c>
      <c r="B550" s="428"/>
      <c r="F550" s="391">
        <v>170.76</v>
      </c>
      <c r="H550" s="244"/>
      <c r="I550" s="449">
        <v>-1.08</v>
      </c>
      <c r="J550" s="462">
        <v>-1.5490806770324701</v>
      </c>
      <c r="K550" s="491">
        <f t="shared" si="9"/>
        <v>13.943268959910213</v>
      </c>
      <c r="L550" s="295" t="s">
        <v>665</v>
      </c>
      <c r="M550" s="296" t="s">
        <v>85</v>
      </c>
      <c r="N550" s="297" t="s">
        <v>192</v>
      </c>
      <c r="O550" s="298" t="s">
        <v>44</v>
      </c>
      <c r="P550" s="314" t="s">
        <v>91</v>
      </c>
      <c r="Q550" s="307" t="s">
        <v>492</v>
      </c>
      <c r="R550" s="299" t="s">
        <v>149</v>
      </c>
      <c r="S550" s="300"/>
    </row>
    <row r="551" spans="1:19">
      <c r="A551" s="167">
        <v>690</v>
      </c>
      <c r="B551" s="428"/>
      <c r="F551" s="391">
        <v>170.77</v>
      </c>
      <c r="H551" s="244"/>
      <c r="I551" s="449">
        <v>-0.26</v>
      </c>
      <c r="J551" s="462">
        <v>-1.5490806770324701</v>
      </c>
      <c r="K551" s="491">
        <f t="shared" si="9"/>
        <v>10.268221267840206</v>
      </c>
      <c r="L551" s="295" t="s">
        <v>665</v>
      </c>
      <c r="M551" s="296" t="s">
        <v>85</v>
      </c>
      <c r="N551" s="297" t="s">
        <v>192</v>
      </c>
      <c r="O551" s="298" t="s">
        <v>44</v>
      </c>
      <c r="P551" s="314" t="s">
        <v>91</v>
      </c>
      <c r="Q551" s="307" t="s">
        <v>492</v>
      </c>
      <c r="R551" s="299" t="s">
        <v>149</v>
      </c>
      <c r="S551" s="300"/>
    </row>
    <row r="552" spans="1:19">
      <c r="A552" s="167">
        <v>690</v>
      </c>
      <c r="B552" s="428"/>
      <c r="F552" s="391">
        <v>170.77</v>
      </c>
      <c r="H552" s="244"/>
      <c r="I552" s="449">
        <v>0.01</v>
      </c>
      <c r="J552" s="462">
        <v>-1.5490806770324701</v>
      </c>
      <c r="K552" s="491">
        <f t="shared" si="9"/>
        <v>9.0846315887439832</v>
      </c>
      <c r="L552" s="295" t="s">
        <v>665</v>
      </c>
      <c r="M552" s="296" t="s">
        <v>85</v>
      </c>
      <c r="N552" s="297" t="s">
        <v>192</v>
      </c>
      <c r="O552" s="298" t="s">
        <v>44</v>
      </c>
      <c r="P552" s="314" t="s">
        <v>91</v>
      </c>
      <c r="Q552" s="307" t="s">
        <v>492</v>
      </c>
      <c r="R552" s="299" t="s">
        <v>149</v>
      </c>
      <c r="S552" s="300"/>
    </row>
    <row r="553" spans="1:19">
      <c r="A553" s="167">
        <v>690</v>
      </c>
      <c r="B553" s="428"/>
      <c r="F553" s="391">
        <v>170.77</v>
      </c>
      <c r="H553" s="244"/>
      <c r="I553" s="449">
        <v>-0.34</v>
      </c>
      <c r="J553" s="462">
        <v>-1.5490806770324701</v>
      </c>
      <c r="K553" s="491">
        <f t="shared" si="9"/>
        <v>10.621434506090939</v>
      </c>
      <c r="L553" s="295" t="s">
        <v>665</v>
      </c>
      <c r="M553" s="296" t="s">
        <v>85</v>
      </c>
      <c r="N553" s="297" t="s">
        <v>192</v>
      </c>
      <c r="O553" s="298" t="s">
        <v>44</v>
      </c>
      <c r="P553" s="314" t="s">
        <v>91</v>
      </c>
      <c r="Q553" s="307" t="s">
        <v>492</v>
      </c>
      <c r="R553" s="299" t="s">
        <v>149</v>
      </c>
      <c r="S553" s="300"/>
    </row>
    <row r="554" spans="1:19">
      <c r="A554" s="167">
        <v>690</v>
      </c>
      <c r="B554" s="428"/>
      <c r="F554" s="391">
        <v>170.77</v>
      </c>
      <c r="H554" s="244"/>
      <c r="I554" s="449">
        <v>-0.44</v>
      </c>
      <c r="J554" s="462">
        <v>-1.5490806770324701</v>
      </c>
      <c r="K554" s="491">
        <f t="shared" si="9"/>
        <v>11.064571053904352</v>
      </c>
      <c r="L554" s="295" t="s">
        <v>665</v>
      </c>
      <c r="M554" s="296" t="s">
        <v>85</v>
      </c>
      <c r="N554" s="297" t="s">
        <v>192</v>
      </c>
      <c r="O554" s="298" t="s">
        <v>44</v>
      </c>
      <c r="P554" s="314" t="s">
        <v>91</v>
      </c>
      <c r="Q554" s="307" t="s">
        <v>492</v>
      </c>
      <c r="R554" s="299" t="s">
        <v>149</v>
      </c>
      <c r="S554" s="300"/>
    </row>
    <row r="555" spans="1:19">
      <c r="A555" s="167">
        <v>690</v>
      </c>
      <c r="B555" s="428"/>
      <c r="F555" s="391">
        <v>170.77</v>
      </c>
      <c r="H555" s="244"/>
      <c r="I555" s="449">
        <v>0.27</v>
      </c>
      <c r="J555" s="462">
        <v>-1.5490806770324701</v>
      </c>
      <c r="K555" s="491">
        <f t="shared" si="9"/>
        <v>7.9572805644291025</v>
      </c>
      <c r="L555" s="295" t="s">
        <v>665</v>
      </c>
      <c r="M555" s="296" t="s">
        <v>85</v>
      </c>
      <c r="N555" s="297" t="s">
        <v>192</v>
      </c>
      <c r="O555" s="298" t="s">
        <v>44</v>
      </c>
      <c r="P555" s="314" t="s">
        <v>91</v>
      </c>
      <c r="Q555" s="307" t="s">
        <v>492</v>
      </c>
      <c r="R555" s="299" t="s">
        <v>149</v>
      </c>
      <c r="S555" s="300"/>
    </row>
    <row r="556" spans="1:19">
      <c r="A556" s="167">
        <v>690</v>
      </c>
      <c r="B556" s="428"/>
      <c r="F556" s="391">
        <v>170.78</v>
      </c>
      <c r="H556" s="244"/>
      <c r="I556" s="449">
        <v>0.24</v>
      </c>
      <c r="J556" s="462">
        <v>-1.5490806770324701</v>
      </c>
      <c r="K556" s="491">
        <f t="shared" si="9"/>
        <v>8.086738528773127</v>
      </c>
      <c r="L556" s="295" t="s">
        <v>665</v>
      </c>
      <c r="M556" s="296" t="s">
        <v>85</v>
      </c>
      <c r="N556" s="297" t="s">
        <v>192</v>
      </c>
      <c r="O556" s="298" t="s">
        <v>44</v>
      </c>
      <c r="P556" s="314" t="s">
        <v>91</v>
      </c>
      <c r="Q556" s="307" t="s">
        <v>492</v>
      </c>
      <c r="R556" s="299" t="s">
        <v>149</v>
      </c>
      <c r="S556" s="300"/>
    </row>
    <row r="557" spans="1:19">
      <c r="A557" s="167">
        <v>690</v>
      </c>
      <c r="B557" s="428"/>
      <c r="F557" s="391">
        <v>170.78</v>
      </c>
      <c r="H557" s="244"/>
      <c r="I557" s="449">
        <v>0.03</v>
      </c>
      <c r="J557" s="462">
        <v>-1.5490806770324701</v>
      </c>
      <c r="K557" s="491">
        <f t="shared" si="9"/>
        <v>8.9974802791812998</v>
      </c>
      <c r="L557" s="295" t="s">
        <v>665</v>
      </c>
      <c r="M557" s="296" t="s">
        <v>85</v>
      </c>
      <c r="N557" s="297" t="s">
        <v>192</v>
      </c>
      <c r="O557" s="298" t="s">
        <v>44</v>
      </c>
      <c r="P557" s="314" t="s">
        <v>91</v>
      </c>
      <c r="Q557" s="307" t="s">
        <v>492</v>
      </c>
      <c r="R557" s="299" t="s">
        <v>149</v>
      </c>
      <c r="S557" s="300"/>
    </row>
    <row r="558" spans="1:19">
      <c r="A558" s="167">
        <v>690</v>
      </c>
      <c r="B558" s="428"/>
      <c r="F558" s="391">
        <v>170.78</v>
      </c>
      <c r="H558" s="244"/>
      <c r="I558" s="449">
        <v>-0.15</v>
      </c>
      <c r="J558" s="462">
        <v>-1.5490806770324701</v>
      </c>
      <c r="K558" s="491">
        <f t="shared" si="9"/>
        <v>9.7844340652454473</v>
      </c>
      <c r="L558" s="295" t="s">
        <v>665</v>
      </c>
      <c r="M558" s="296" t="s">
        <v>85</v>
      </c>
      <c r="N558" s="297" t="s">
        <v>192</v>
      </c>
      <c r="O558" s="298" t="s">
        <v>44</v>
      </c>
      <c r="P558" s="314" t="s">
        <v>91</v>
      </c>
      <c r="Q558" s="307" t="s">
        <v>492</v>
      </c>
      <c r="R558" s="299" t="s">
        <v>149</v>
      </c>
      <c r="S558" s="300"/>
    </row>
    <row r="559" spans="1:19">
      <c r="A559" s="167">
        <v>690</v>
      </c>
      <c r="B559" s="428"/>
      <c r="F559" s="391">
        <v>170.78</v>
      </c>
      <c r="H559" s="244"/>
      <c r="I559" s="449">
        <v>0.11</v>
      </c>
      <c r="J559" s="462">
        <v>-1.5490806770324701</v>
      </c>
      <c r="K559" s="491">
        <f t="shared" si="9"/>
        <v>8.6495950409305671</v>
      </c>
      <c r="L559" s="295" t="s">
        <v>665</v>
      </c>
      <c r="M559" s="296" t="s">
        <v>85</v>
      </c>
      <c r="N559" s="297" t="s">
        <v>192</v>
      </c>
      <c r="O559" s="298" t="s">
        <v>44</v>
      </c>
      <c r="P559" s="314" t="s">
        <v>91</v>
      </c>
      <c r="Q559" s="307" t="s">
        <v>492</v>
      </c>
      <c r="R559" s="299" t="s">
        <v>149</v>
      </c>
      <c r="S559" s="300"/>
    </row>
    <row r="560" spans="1:19">
      <c r="A560" s="167">
        <v>690</v>
      </c>
      <c r="B560" s="428"/>
      <c r="F560" s="391">
        <v>170.78</v>
      </c>
      <c r="H560" s="244"/>
      <c r="I560" s="449">
        <v>0.11</v>
      </c>
      <c r="J560" s="462">
        <v>-1.5490806770324701</v>
      </c>
      <c r="K560" s="491">
        <f t="shared" si="9"/>
        <v>8.6495950409305671</v>
      </c>
      <c r="L560" s="295" t="s">
        <v>665</v>
      </c>
      <c r="M560" s="296" t="s">
        <v>85</v>
      </c>
      <c r="N560" s="297" t="s">
        <v>192</v>
      </c>
      <c r="O560" s="298" t="s">
        <v>44</v>
      </c>
      <c r="P560" s="314" t="s">
        <v>91</v>
      </c>
      <c r="Q560" s="307" t="s">
        <v>492</v>
      </c>
      <c r="R560" s="299" t="s">
        <v>149</v>
      </c>
      <c r="S560" s="300"/>
    </row>
    <row r="561" spans="1:19">
      <c r="A561" s="167">
        <v>690</v>
      </c>
      <c r="B561" s="428"/>
      <c r="F561" s="391">
        <v>170.79</v>
      </c>
      <c r="H561" s="244"/>
      <c r="I561" s="449">
        <v>0.5</v>
      </c>
      <c r="J561" s="462">
        <v>-1.5490806770324701</v>
      </c>
      <c r="K561" s="491">
        <f t="shared" si="9"/>
        <v>6.9701515044582472</v>
      </c>
      <c r="L561" s="295" t="s">
        <v>665</v>
      </c>
      <c r="M561" s="296" t="s">
        <v>85</v>
      </c>
      <c r="N561" s="297" t="s">
        <v>192</v>
      </c>
      <c r="O561" s="298" t="s">
        <v>44</v>
      </c>
      <c r="P561" s="314" t="s">
        <v>91</v>
      </c>
      <c r="Q561" s="307" t="s">
        <v>492</v>
      </c>
      <c r="R561" s="299" t="s">
        <v>149</v>
      </c>
      <c r="S561" s="300"/>
    </row>
    <row r="562" spans="1:19">
      <c r="A562" s="167">
        <v>690</v>
      </c>
      <c r="B562" s="428"/>
      <c r="F562" s="391">
        <v>170.79</v>
      </c>
      <c r="H562" s="244"/>
      <c r="I562" s="449">
        <v>0.35</v>
      </c>
      <c r="J562" s="462">
        <v>-1.5490806770324701</v>
      </c>
      <c r="K562" s="491">
        <f t="shared" si="9"/>
        <v>7.6128513261783697</v>
      </c>
      <c r="L562" s="295" t="s">
        <v>665</v>
      </c>
      <c r="M562" s="296" t="s">
        <v>85</v>
      </c>
      <c r="N562" s="297" t="s">
        <v>192</v>
      </c>
      <c r="O562" s="298" t="s">
        <v>44</v>
      </c>
      <c r="P562" s="314" t="s">
        <v>91</v>
      </c>
      <c r="Q562" s="307" t="s">
        <v>492</v>
      </c>
      <c r="R562" s="299" t="s">
        <v>149</v>
      </c>
      <c r="S562" s="300"/>
    </row>
    <row r="563" spans="1:19">
      <c r="A563" s="167">
        <v>690</v>
      </c>
      <c r="B563" s="428"/>
      <c r="F563" s="391">
        <v>170.79</v>
      </c>
      <c r="H563" s="244"/>
      <c r="I563" s="449">
        <v>0.27</v>
      </c>
      <c r="J563" s="462">
        <v>-1.5490806770324701</v>
      </c>
      <c r="K563" s="491">
        <f t="shared" si="9"/>
        <v>7.9572805644291025</v>
      </c>
      <c r="L563" s="295" t="s">
        <v>665</v>
      </c>
      <c r="M563" s="296" t="s">
        <v>85</v>
      </c>
      <c r="N563" s="297" t="s">
        <v>192</v>
      </c>
      <c r="O563" s="298" t="s">
        <v>44</v>
      </c>
      <c r="P563" s="314" t="s">
        <v>91</v>
      </c>
      <c r="Q563" s="307" t="s">
        <v>492</v>
      </c>
      <c r="R563" s="299" t="s">
        <v>149</v>
      </c>
      <c r="S563" s="300"/>
    </row>
    <row r="564" spans="1:19">
      <c r="A564" s="167">
        <v>690</v>
      </c>
      <c r="B564" s="428"/>
      <c r="F564" s="391">
        <v>170.79</v>
      </c>
      <c r="H564" s="244"/>
      <c r="I564" s="449">
        <v>0.37</v>
      </c>
      <c r="J564" s="462">
        <v>-1.5490806770324701</v>
      </c>
      <c r="K564" s="491">
        <f t="shared" si="9"/>
        <v>7.5269240166156859</v>
      </c>
      <c r="L564" s="295" t="s">
        <v>665</v>
      </c>
      <c r="M564" s="296" t="s">
        <v>85</v>
      </c>
      <c r="N564" s="297" t="s">
        <v>192</v>
      </c>
      <c r="O564" s="298" t="s">
        <v>44</v>
      </c>
      <c r="P564" s="314" t="s">
        <v>91</v>
      </c>
      <c r="Q564" s="307" t="s">
        <v>492</v>
      </c>
      <c r="R564" s="299" t="s">
        <v>149</v>
      </c>
      <c r="S564" s="300"/>
    </row>
    <row r="565" spans="1:19">
      <c r="A565" s="167">
        <v>690</v>
      </c>
      <c r="B565" s="428"/>
      <c r="F565" s="391">
        <v>170.79</v>
      </c>
      <c r="H565" s="244"/>
      <c r="I565" s="449">
        <v>0.33</v>
      </c>
      <c r="J565" s="462">
        <v>-1.5490806770324701</v>
      </c>
      <c r="K565" s="491">
        <f t="shared" si="9"/>
        <v>7.6988506357410538</v>
      </c>
      <c r="L565" s="295" t="s">
        <v>665</v>
      </c>
      <c r="M565" s="296" t="s">
        <v>85</v>
      </c>
      <c r="N565" s="297" t="s">
        <v>192</v>
      </c>
      <c r="O565" s="298" t="s">
        <v>44</v>
      </c>
      <c r="P565" s="314" t="s">
        <v>91</v>
      </c>
      <c r="Q565" s="307" t="s">
        <v>492</v>
      </c>
      <c r="R565" s="299" t="s">
        <v>149</v>
      </c>
      <c r="S565" s="300"/>
    </row>
    <row r="566" spans="1:19">
      <c r="A566" s="167">
        <v>690</v>
      </c>
      <c r="B566" s="428"/>
      <c r="F566" s="657">
        <v>170.8</v>
      </c>
      <c r="G566" s="156" t="s">
        <v>196</v>
      </c>
      <c r="H566" s="244"/>
      <c r="I566" s="449">
        <v>0.37</v>
      </c>
      <c r="J566" s="462">
        <v>-1.5490806770324701</v>
      </c>
      <c r="K566" s="491">
        <f t="shared" si="9"/>
        <v>7.5269240166156859</v>
      </c>
      <c r="L566" s="295" t="s">
        <v>665</v>
      </c>
      <c r="M566" s="296" t="s">
        <v>85</v>
      </c>
      <c r="N566" s="297" t="s">
        <v>192</v>
      </c>
      <c r="O566" s="298" t="s">
        <v>44</v>
      </c>
      <c r="P566" s="314" t="s">
        <v>91</v>
      </c>
      <c r="Q566" s="307" t="s">
        <v>492</v>
      </c>
      <c r="R566" s="299" t="s">
        <v>149</v>
      </c>
      <c r="S566" s="380" t="s">
        <v>711</v>
      </c>
    </row>
    <row r="567" spans="1:19">
      <c r="A567" s="167">
        <v>690</v>
      </c>
      <c r="B567" s="428"/>
      <c r="F567" s="657">
        <v>170.8</v>
      </c>
      <c r="G567" s="156" t="s">
        <v>196</v>
      </c>
      <c r="H567" s="244"/>
      <c r="I567" s="449">
        <v>0.43</v>
      </c>
      <c r="J567" s="462">
        <v>-1.5490806770324701</v>
      </c>
      <c r="K567" s="491">
        <f t="shared" si="9"/>
        <v>7.2695740879276372</v>
      </c>
      <c r="L567" s="295" t="s">
        <v>665</v>
      </c>
      <c r="M567" s="296" t="s">
        <v>85</v>
      </c>
      <c r="N567" s="297" t="s">
        <v>192</v>
      </c>
      <c r="O567" s="298" t="s">
        <v>44</v>
      </c>
      <c r="P567" s="314" t="s">
        <v>91</v>
      </c>
      <c r="Q567" s="307" t="s">
        <v>492</v>
      </c>
      <c r="R567" s="299" t="s">
        <v>149</v>
      </c>
      <c r="S567" s="380" t="s">
        <v>711</v>
      </c>
    </row>
    <row r="568" spans="1:19">
      <c r="A568" s="167">
        <v>690</v>
      </c>
      <c r="B568" s="428"/>
      <c r="F568" s="657">
        <v>170.8</v>
      </c>
      <c r="G568" s="156" t="s">
        <v>196</v>
      </c>
      <c r="H568" s="244"/>
      <c r="I568" s="449">
        <v>0.34</v>
      </c>
      <c r="J568" s="462">
        <v>-1.5490806770324701</v>
      </c>
      <c r="K568" s="491">
        <f t="shared" si="9"/>
        <v>7.6558419809597114</v>
      </c>
      <c r="L568" s="295" t="s">
        <v>665</v>
      </c>
      <c r="M568" s="296" t="s">
        <v>85</v>
      </c>
      <c r="N568" s="297" t="s">
        <v>192</v>
      </c>
      <c r="O568" s="298" t="s">
        <v>44</v>
      </c>
      <c r="P568" s="314" t="s">
        <v>91</v>
      </c>
      <c r="Q568" s="307" t="s">
        <v>492</v>
      </c>
      <c r="R568" s="299" t="s">
        <v>149</v>
      </c>
      <c r="S568" s="380" t="s">
        <v>711</v>
      </c>
    </row>
    <row r="569" spans="1:19">
      <c r="A569" s="167">
        <v>690</v>
      </c>
      <c r="B569" s="428"/>
      <c r="F569" s="657">
        <v>170.8</v>
      </c>
      <c r="G569" s="156" t="s">
        <v>196</v>
      </c>
      <c r="H569" s="244"/>
      <c r="I569" s="449">
        <v>0.37</v>
      </c>
      <c r="J569" s="462">
        <v>-1.5490806770324701</v>
      </c>
      <c r="K569" s="491">
        <f t="shared" si="9"/>
        <v>7.5269240166156859</v>
      </c>
      <c r="L569" s="295" t="s">
        <v>665</v>
      </c>
      <c r="M569" s="296" t="s">
        <v>85</v>
      </c>
      <c r="N569" s="297" t="s">
        <v>192</v>
      </c>
      <c r="O569" s="298" t="s">
        <v>44</v>
      </c>
      <c r="P569" s="314" t="s">
        <v>91</v>
      </c>
      <c r="Q569" s="307" t="s">
        <v>492</v>
      </c>
      <c r="R569" s="299" t="s">
        <v>149</v>
      </c>
      <c r="S569" s="380" t="s">
        <v>711</v>
      </c>
    </row>
    <row r="570" spans="1:19">
      <c r="A570" s="167">
        <v>690</v>
      </c>
      <c r="B570" s="428"/>
      <c r="F570" s="657">
        <v>170.8</v>
      </c>
      <c r="G570" s="156" t="s">
        <v>196</v>
      </c>
      <c r="H570" s="244"/>
      <c r="I570" s="449">
        <v>0.45</v>
      </c>
      <c r="J570" s="462">
        <v>-1.5490806770324701</v>
      </c>
      <c r="K570" s="491">
        <f t="shared" si="9"/>
        <v>7.1839347783649554</v>
      </c>
      <c r="L570" s="295" t="s">
        <v>665</v>
      </c>
      <c r="M570" s="296" t="s">
        <v>85</v>
      </c>
      <c r="N570" s="297" t="s">
        <v>192</v>
      </c>
      <c r="O570" s="298" t="s">
        <v>44</v>
      </c>
      <c r="P570" s="314" t="s">
        <v>91</v>
      </c>
      <c r="Q570" s="307" t="s">
        <v>492</v>
      </c>
      <c r="R570" s="299" t="s">
        <v>149</v>
      </c>
      <c r="S570" s="380" t="s">
        <v>711</v>
      </c>
    </row>
    <row r="571" spans="1:19">
      <c r="A571" s="167">
        <v>690</v>
      </c>
      <c r="B571" s="428"/>
      <c r="F571" s="657">
        <v>170.81</v>
      </c>
      <c r="G571" s="156" t="s">
        <v>196</v>
      </c>
      <c r="H571" s="244"/>
      <c r="I571" s="449">
        <v>0.33</v>
      </c>
      <c r="J571" s="462">
        <v>-1.5490806770324701</v>
      </c>
      <c r="K571" s="491">
        <f t="shared" si="9"/>
        <v>7.6988506357410538</v>
      </c>
      <c r="L571" s="295" t="s">
        <v>665</v>
      </c>
      <c r="M571" s="296" t="s">
        <v>85</v>
      </c>
      <c r="N571" s="297" t="s">
        <v>192</v>
      </c>
      <c r="O571" s="298" t="s">
        <v>44</v>
      </c>
      <c r="P571" s="314" t="s">
        <v>91</v>
      </c>
      <c r="Q571" s="307" t="s">
        <v>492</v>
      </c>
      <c r="R571" s="299" t="s">
        <v>149</v>
      </c>
      <c r="S571" s="380" t="s">
        <v>711</v>
      </c>
    </row>
    <row r="572" spans="1:19">
      <c r="A572" s="167">
        <v>690</v>
      </c>
      <c r="B572" s="428"/>
      <c r="F572" s="657">
        <v>170.81</v>
      </c>
      <c r="G572" s="156" t="s">
        <v>196</v>
      </c>
      <c r="H572" s="244"/>
      <c r="I572" s="449">
        <v>0.37</v>
      </c>
      <c r="J572" s="462">
        <v>-1.5490806770324701</v>
      </c>
      <c r="K572" s="491">
        <f t="shared" si="9"/>
        <v>7.5269240166156859</v>
      </c>
      <c r="L572" s="295" t="s">
        <v>665</v>
      </c>
      <c r="M572" s="296" t="s">
        <v>85</v>
      </c>
      <c r="N572" s="297" t="s">
        <v>192</v>
      </c>
      <c r="O572" s="298" t="s">
        <v>44</v>
      </c>
      <c r="P572" s="314" t="s">
        <v>91</v>
      </c>
      <c r="Q572" s="307" t="s">
        <v>492</v>
      </c>
      <c r="R572" s="299" t="s">
        <v>149</v>
      </c>
      <c r="S572" s="380" t="s">
        <v>711</v>
      </c>
    </row>
    <row r="573" spans="1:19">
      <c r="A573" s="167">
        <v>690</v>
      </c>
      <c r="B573" s="428"/>
      <c r="F573" s="657">
        <v>170.81</v>
      </c>
      <c r="G573" s="156" t="s">
        <v>196</v>
      </c>
      <c r="H573" s="244"/>
      <c r="I573" s="449">
        <v>0.34</v>
      </c>
      <c r="J573" s="462">
        <v>-1.5490806770324701</v>
      </c>
      <c r="K573" s="491">
        <f t="shared" si="9"/>
        <v>7.6558419809597114</v>
      </c>
      <c r="L573" s="295" t="s">
        <v>665</v>
      </c>
      <c r="M573" s="296" t="s">
        <v>85</v>
      </c>
      <c r="N573" s="297" t="s">
        <v>192</v>
      </c>
      <c r="O573" s="298" t="s">
        <v>44</v>
      </c>
      <c r="P573" s="314" t="s">
        <v>91</v>
      </c>
      <c r="Q573" s="307" t="s">
        <v>492</v>
      </c>
      <c r="R573" s="299" t="s">
        <v>149</v>
      </c>
      <c r="S573" s="380" t="s">
        <v>711</v>
      </c>
    </row>
    <row r="574" spans="1:19">
      <c r="A574" s="167">
        <v>690</v>
      </c>
      <c r="B574" s="428"/>
      <c r="F574" s="657">
        <v>170.81</v>
      </c>
      <c r="G574" s="156" t="s">
        <v>196</v>
      </c>
      <c r="H574" s="244"/>
      <c r="I574" s="449">
        <v>0.38</v>
      </c>
      <c r="J574" s="462">
        <v>-1.5490806770324701</v>
      </c>
      <c r="K574" s="491">
        <f t="shared" si="9"/>
        <v>7.4839873618343464</v>
      </c>
      <c r="L574" s="295" t="s">
        <v>665</v>
      </c>
      <c r="M574" s="296" t="s">
        <v>85</v>
      </c>
      <c r="N574" s="297" t="s">
        <v>192</v>
      </c>
      <c r="O574" s="298" t="s">
        <v>44</v>
      </c>
      <c r="P574" s="314" t="s">
        <v>91</v>
      </c>
      <c r="Q574" s="307" t="s">
        <v>492</v>
      </c>
      <c r="R574" s="299" t="s">
        <v>149</v>
      </c>
      <c r="S574" s="380" t="s">
        <v>711</v>
      </c>
    </row>
    <row r="575" spans="1:19">
      <c r="A575" s="167">
        <v>690</v>
      </c>
      <c r="B575" s="428"/>
      <c r="F575" s="657">
        <v>170.81</v>
      </c>
      <c r="G575" s="156" t="s">
        <v>196</v>
      </c>
      <c r="H575" s="244"/>
      <c r="I575" s="449">
        <v>0.39</v>
      </c>
      <c r="J575" s="462">
        <v>-1.5490806770324701</v>
      </c>
      <c r="K575" s="491">
        <f t="shared" si="9"/>
        <v>7.4410687070530024</v>
      </c>
      <c r="L575" s="295" t="s">
        <v>665</v>
      </c>
      <c r="M575" s="296" t="s">
        <v>85</v>
      </c>
      <c r="N575" s="297" t="s">
        <v>192</v>
      </c>
      <c r="O575" s="298" t="s">
        <v>44</v>
      </c>
      <c r="P575" s="314" t="s">
        <v>91</v>
      </c>
      <c r="Q575" s="307" t="s">
        <v>492</v>
      </c>
      <c r="R575" s="299" t="s">
        <v>149</v>
      </c>
      <c r="S575" s="380" t="s">
        <v>711</v>
      </c>
    </row>
    <row r="576" spans="1:19">
      <c r="A576" s="167">
        <v>690</v>
      </c>
      <c r="B576" s="428"/>
      <c r="F576" s="657">
        <v>170.82</v>
      </c>
      <c r="G576" s="156" t="s">
        <v>196</v>
      </c>
      <c r="H576" s="244"/>
      <c r="I576" s="449">
        <v>0.51</v>
      </c>
      <c r="J576" s="462">
        <v>-1.5490806770324701</v>
      </c>
      <c r="K576" s="491">
        <f t="shared" si="9"/>
        <v>6.9274488496769067</v>
      </c>
      <c r="L576" s="295" t="s">
        <v>665</v>
      </c>
      <c r="M576" s="296" t="s">
        <v>85</v>
      </c>
      <c r="N576" s="297" t="s">
        <v>192</v>
      </c>
      <c r="O576" s="298" t="s">
        <v>44</v>
      </c>
      <c r="P576" s="314" t="s">
        <v>91</v>
      </c>
      <c r="Q576" s="307" t="s">
        <v>492</v>
      </c>
      <c r="R576" s="299" t="s">
        <v>149</v>
      </c>
      <c r="S576" s="380" t="s">
        <v>711</v>
      </c>
    </row>
    <row r="577" spans="1:19">
      <c r="A577" s="167">
        <v>690</v>
      </c>
      <c r="B577" s="428"/>
      <c r="F577" s="657">
        <v>170.82</v>
      </c>
      <c r="G577" s="156" t="s">
        <v>196</v>
      </c>
      <c r="H577" s="244"/>
      <c r="I577" s="449">
        <v>0.4</v>
      </c>
      <c r="J577" s="462">
        <v>-1.5490806770324701</v>
      </c>
      <c r="K577" s="491">
        <f t="shared" si="9"/>
        <v>7.3981680522716626</v>
      </c>
      <c r="L577" s="295" t="s">
        <v>665</v>
      </c>
      <c r="M577" s="296" t="s">
        <v>85</v>
      </c>
      <c r="N577" s="297" t="s">
        <v>192</v>
      </c>
      <c r="O577" s="298" t="s">
        <v>44</v>
      </c>
      <c r="P577" s="314" t="s">
        <v>91</v>
      </c>
      <c r="Q577" s="307" t="s">
        <v>492</v>
      </c>
      <c r="R577" s="299" t="s">
        <v>149</v>
      </c>
      <c r="S577" s="380" t="s">
        <v>711</v>
      </c>
    </row>
    <row r="578" spans="1:19">
      <c r="A578" s="167">
        <v>690</v>
      </c>
      <c r="B578" s="428"/>
      <c r="F578" s="657">
        <v>170.82</v>
      </c>
      <c r="G578" s="156" t="s">
        <v>196</v>
      </c>
      <c r="H578" s="244"/>
      <c r="I578" s="449">
        <v>0.51</v>
      </c>
      <c r="J578" s="462">
        <v>-1.5490806770324701</v>
      </c>
      <c r="K578" s="491">
        <f t="shared" si="9"/>
        <v>6.9274488496769067</v>
      </c>
      <c r="L578" s="295" t="s">
        <v>665</v>
      </c>
      <c r="M578" s="296" t="s">
        <v>85</v>
      </c>
      <c r="N578" s="297" t="s">
        <v>192</v>
      </c>
      <c r="O578" s="298" t="s">
        <v>44</v>
      </c>
      <c r="P578" s="314" t="s">
        <v>91</v>
      </c>
      <c r="Q578" s="307" t="s">
        <v>492</v>
      </c>
      <c r="R578" s="299" t="s">
        <v>149</v>
      </c>
      <c r="S578" s="380" t="s">
        <v>711</v>
      </c>
    </row>
    <row r="579" spans="1:19">
      <c r="A579" s="167">
        <v>690</v>
      </c>
      <c r="B579" s="428"/>
      <c r="F579" s="657">
        <v>170.82</v>
      </c>
      <c r="G579" s="156" t="s">
        <v>196</v>
      </c>
      <c r="H579" s="244"/>
      <c r="I579" s="449">
        <v>0.46</v>
      </c>
      <c r="J579" s="462">
        <v>-1.5490806770324701</v>
      </c>
      <c r="K579" s="491">
        <f t="shared" si="9"/>
        <v>7.1411421235836139</v>
      </c>
      <c r="L579" s="295" t="s">
        <v>665</v>
      </c>
      <c r="M579" s="296" t="s">
        <v>85</v>
      </c>
      <c r="N579" s="297" t="s">
        <v>192</v>
      </c>
      <c r="O579" s="298" t="s">
        <v>44</v>
      </c>
      <c r="P579" s="314" t="s">
        <v>91</v>
      </c>
      <c r="Q579" s="307" t="s">
        <v>492</v>
      </c>
      <c r="R579" s="299" t="s">
        <v>149</v>
      </c>
      <c r="S579" s="380" t="s">
        <v>711</v>
      </c>
    </row>
    <row r="580" spans="1:19">
      <c r="A580" s="167">
        <v>690</v>
      </c>
      <c r="B580" s="428"/>
      <c r="F580" s="657">
        <v>170.82</v>
      </c>
      <c r="G580" s="156" t="s">
        <v>196</v>
      </c>
      <c r="H580" s="244"/>
      <c r="I580" s="449">
        <v>0.3</v>
      </c>
      <c r="J580" s="462">
        <v>-1.5490806770324701</v>
      </c>
      <c r="K580" s="491">
        <f t="shared" si="9"/>
        <v>7.8279846000850766</v>
      </c>
      <c r="L580" s="295" t="s">
        <v>665</v>
      </c>
      <c r="M580" s="296" t="s">
        <v>85</v>
      </c>
      <c r="N580" s="297" t="s">
        <v>192</v>
      </c>
      <c r="O580" s="298" t="s">
        <v>44</v>
      </c>
      <c r="P580" s="314" t="s">
        <v>91</v>
      </c>
      <c r="Q580" s="307" t="s">
        <v>492</v>
      </c>
      <c r="R580" s="299" t="s">
        <v>149</v>
      </c>
      <c r="S580" s="380" t="s">
        <v>711</v>
      </c>
    </row>
    <row r="581" spans="1:19">
      <c r="A581" s="167">
        <v>690</v>
      </c>
      <c r="B581" s="428"/>
      <c r="F581" s="657">
        <v>170.83</v>
      </c>
      <c r="G581" s="156" t="s">
        <v>196</v>
      </c>
      <c r="H581" s="244"/>
      <c r="I581" s="449">
        <v>0.33</v>
      </c>
      <c r="J581" s="462">
        <v>-1.5490806770324701</v>
      </c>
      <c r="K581" s="491">
        <f t="shared" si="9"/>
        <v>7.6988506357410538</v>
      </c>
      <c r="L581" s="295" t="s">
        <v>665</v>
      </c>
      <c r="M581" s="296" t="s">
        <v>85</v>
      </c>
      <c r="N581" s="297" t="s">
        <v>192</v>
      </c>
      <c r="O581" s="298" t="s">
        <v>44</v>
      </c>
      <c r="P581" s="314" t="s">
        <v>91</v>
      </c>
      <c r="Q581" s="307" t="s">
        <v>492</v>
      </c>
      <c r="R581" s="299" t="s">
        <v>149</v>
      </c>
      <c r="S581" s="380" t="s">
        <v>711</v>
      </c>
    </row>
    <row r="582" spans="1:19">
      <c r="A582" s="167">
        <v>690</v>
      </c>
      <c r="B582" s="428"/>
      <c r="F582" s="657">
        <v>170.83</v>
      </c>
      <c r="G582" s="156" t="s">
        <v>196</v>
      </c>
      <c r="H582" s="244"/>
      <c r="I582" s="449">
        <v>0.37</v>
      </c>
      <c r="J582" s="462">
        <v>-1.5490806770324701</v>
      </c>
      <c r="K582" s="491">
        <f t="shared" si="9"/>
        <v>7.5269240166156859</v>
      </c>
      <c r="L582" s="295" t="s">
        <v>665</v>
      </c>
      <c r="M582" s="296" t="s">
        <v>85</v>
      </c>
      <c r="N582" s="297" t="s">
        <v>192</v>
      </c>
      <c r="O582" s="298" t="s">
        <v>44</v>
      </c>
      <c r="P582" s="314" t="s">
        <v>91</v>
      </c>
      <c r="Q582" s="307" t="s">
        <v>492</v>
      </c>
      <c r="R582" s="299" t="s">
        <v>149</v>
      </c>
      <c r="S582" s="380" t="s">
        <v>711</v>
      </c>
    </row>
    <row r="583" spans="1:19">
      <c r="A583" s="167">
        <v>690</v>
      </c>
      <c r="B583" s="428"/>
      <c r="F583" s="657">
        <v>170.83</v>
      </c>
      <c r="G583" s="156" t="s">
        <v>196</v>
      </c>
      <c r="H583" s="244"/>
      <c r="I583" s="449">
        <v>0.37</v>
      </c>
      <c r="J583" s="462">
        <v>-1.5490806770324701</v>
      </c>
      <c r="K583" s="491">
        <f t="shared" si="9"/>
        <v>7.5269240166156859</v>
      </c>
      <c r="L583" s="295" t="s">
        <v>665</v>
      </c>
      <c r="M583" s="296" t="s">
        <v>85</v>
      </c>
      <c r="N583" s="297" t="s">
        <v>192</v>
      </c>
      <c r="O583" s="298" t="s">
        <v>44</v>
      </c>
      <c r="P583" s="314" t="s">
        <v>91</v>
      </c>
      <c r="Q583" s="307" t="s">
        <v>492</v>
      </c>
      <c r="R583" s="299" t="s">
        <v>149</v>
      </c>
      <c r="S583" s="380" t="s">
        <v>711</v>
      </c>
    </row>
    <row r="584" spans="1:19">
      <c r="A584" s="167">
        <v>690</v>
      </c>
      <c r="B584" s="428"/>
      <c r="F584" s="657">
        <v>170.83</v>
      </c>
      <c r="G584" s="156" t="s">
        <v>196</v>
      </c>
      <c r="H584" s="244"/>
      <c r="I584" s="449">
        <v>0.32</v>
      </c>
      <c r="J584" s="462">
        <v>-1.5490806770324701</v>
      </c>
      <c r="K584" s="491">
        <f t="shared" si="9"/>
        <v>7.7418772905223951</v>
      </c>
      <c r="L584" s="295" t="s">
        <v>665</v>
      </c>
      <c r="M584" s="296" t="s">
        <v>85</v>
      </c>
      <c r="N584" s="297" t="s">
        <v>192</v>
      </c>
      <c r="O584" s="298" t="s">
        <v>44</v>
      </c>
      <c r="P584" s="314" t="s">
        <v>91</v>
      </c>
      <c r="Q584" s="307" t="s">
        <v>492</v>
      </c>
      <c r="R584" s="299" t="s">
        <v>149</v>
      </c>
      <c r="S584" s="380" t="s">
        <v>711</v>
      </c>
    </row>
    <row r="585" spans="1:19">
      <c r="A585" s="167">
        <v>690</v>
      </c>
      <c r="B585" s="428"/>
      <c r="F585" s="657">
        <v>170.85</v>
      </c>
      <c r="G585" s="156" t="s">
        <v>196</v>
      </c>
      <c r="H585" s="244"/>
      <c r="I585" s="449">
        <v>0.41</v>
      </c>
      <c r="J585" s="462">
        <v>-1.5490806770324701</v>
      </c>
      <c r="K585" s="491">
        <f t="shared" si="9"/>
        <v>7.355285397490321</v>
      </c>
      <c r="L585" s="295" t="s">
        <v>665</v>
      </c>
      <c r="M585" s="296" t="s">
        <v>85</v>
      </c>
      <c r="N585" s="297" t="s">
        <v>192</v>
      </c>
      <c r="O585" s="298" t="s">
        <v>44</v>
      </c>
      <c r="P585" s="314" t="s">
        <v>91</v>
      </c>
      <c r="Q585" s="307" t="s">
        <v>492</v>
      </c>
      <c r="R585" s="299" t="s">
        <v>149</v>
      </c>
      <c r="S585" s="380" t="s">
        <v>711</v>
      </c>
    </row>
    <row r="586" spans="1:19">
      <c r="A586" s="167">
        <v>690</v>
      </c>
      <c r="B586" s="428"/>
      <c r="F586" s="657">
        <v>170.85</v>
      </c>
      <c r="G586" s="156" t="s">
        <v>196</v>
      </c>
      <c r="H586" s="244"/>
      <c r="I586" s="449">
        <v>0.49</v>
      </c>
      <c r="J586" s="462">
        <v>-1.5490806770324701</v>
      </c>
      <c r="K586" s="491">
        <f t="shared" ref="K586:K649" si="10">16.1-4.64*($I586-J586)+0.09*($I586-J586)^2</f>
        <v>7.0128721592395866</v>
      </c>
      <c r="L586" s="295" t="s">
        <v>665</v>
      </c>
      <c r="M586" s="296" t="s">
        <v>85</v>
      </c>
      <c r="N586" s="297" t="s">
        <v>192</v>
      </c>
      <c r="O586" s="298" t="s">
        <v>44</v>
      </c>
      <c r="P586" s="314" t="s">
        <v>91</v>
      </c>
      <c r="Q586" s="307" t="s">
        <v>492</v>
      </c>
      <c r="R586" s="299" t="s">
        <v>149</v>
      </c>
      <c r="S586" s="380" t="s">
        <v>711</v>
      </c>
    </row>
    <row r="587" spans="1:19">
      <c r="A587" s="167">
        <v>690</v>
      </c>
      <c r="B587" s="428"/>
      <c r="F587" s="657">
        <v>170.85</v>
      </c>
      <c r="G587" s="156" t="s">
        <v>196</v>
      </c>
      <c r="H587" s="244"/>
      <c r="I587" s="449">
        <v>0.37</v>
      </c>
      <c r="J587" s="462">
        <v>-1.5490806770324701</v>
      </c>
      <c r="K587" s="491">
        <f t="shared" si="10"/>
        <v>7.5269240166156859</v>
      </c>
      <c r="L587" s="295" t="s">
        <v>665</v>
      </c>
      <c r="M587" s="296" t="s">
        <v>85</v>
      </c>
      <c r="N587" s="297" t="s">
        <v>192</v>
      </c>
      <c r="O587" s="298" t="s">
        <v>44</v>
      </c>
      <c r="P587" s="314" t="s">
        <v>91</v>
      </c>
      <c r="Q587" s="307" t="s">
        <v>492</v>
      </c>
      <c r="R587" s="299" t="s">
        <v>149</v>
      </c>
      <c r="S587" s="380" t="s">
        <v>711</v>
      </c>
    </row>
    <row r="588" spans="1:19">
      <c r="A588" s="167">
        <v>690</v>
      </c>
      <c r="B588" s="428"/>
      <c r="F588" s="657">
        <v>170.85</v>
      </c>
      <c r="G588" s="156" t="s">
        <v>196</v>
      </c>
      <c r="H588" s="244"/>
      <c r="I588" s="449">
        <v>0.36</v>
      </c>
      <c r="J588" s="462">
        <v>-1.5490806770324701</v>
      </c>
      <c r="K588" s="491">
        <f t="shared" si="10"/>
        <v>7.5698786713970296</v>
      </c>
      <c r="L588" s="295" t="s">
        <v>665</v>
      </c>
      <c r="M588" s="296" t="s">
        <v>85</v>
      </c>
      <c r="N588" s="297" t="s">
        <v>192</v>
      </c>
      <c r="O588" s="298" t="s">
        <v>44</v>
      </c>
      <c r="P588" s="314" t="s">
        <v>91</v>
      </c>
      <c r="Q588" s="307" t="s">
        <v>492</v>
      </c>
      <c r="R588" s="299" t="s">
        <v>149</v>
      </c>
      <c r="S588" s="380" t="s">
        <v>711</v>
      </c>
    </row>
    <row r="589" spans="1:19">
      <c r="A589" s="167">
        <v>690</v>
      </c>
      <c r="B589" s="428"/>
      <c r="F589" s="657">
        <v>170.86</v>
      </c>
      <c r="G589" s="156" t="s">
        <v>196</v>
      </c>
      <c r="H589" s="244"/>
      <c r="I589" s="449">
        <v>0.36</v>
      </c>
      <c r="J589" s="462">
        <v>-1.5490806770324701</v>
      </c>
      <c r="K589" s="491">
        <f t="shared" si="10"/>
        <v>7.5698786713970296</v>
      </c>
      <c r="L589" s="295" t="s">
        <v>665</v>
      </c>
      <c r="M589" s="296" t="s">
        <v>85</v>
      </c>
      <c r="N589" s="297" t="s">
        <v>192</v>
      </c>
      <c r="O589" s="298" t="s">
        <v>44</v>
      </c>
      <c r="P589" s="314" t="s">
        <v>91</v>
      </c>
      <c r="Q589" s="307" t="s">
        <v>492</v>
      </c>
      <c r="R589" s="299" t="s">
        <v>149</v>
      </c>
      <c r="S589" s="380" t="s">
        <v>711</v>
      </c>
    </row>
    <row r="590" spans="1:19">
      <c r="A590" s="167">
        <v>690</v>
      </c>
      <c r="B590" s="428"/>
      <c r="F590" s="657">
        <v>170.86</v>
      </c>
      <c r="G590" s="156" t="s">
        <v>196</v>
      </c>
      <c r="H590" s="244"/>
      <c r="I590" s="449">
        <v>0.44</v>
      </c>
      <c r="J590" s="462">
        <v>-1.5490806770324701</v>
      </c>
      <c r="K590" s="491">
        <f t="shared" si="10"/>
        <v>7.2267454331462959</v>
      </c>
      <c r="L590" s="295" t="s">
        <v>665</v>
      </c>
      <c r="M590" s="296" t="s">
        <v>85</v>
      </c>
      <c r="N590" s="297" t="s">
        <v>192</v>
      </c>
      <c r="O590" s="298" t="s">
        <v>44</v>
      </c>
      <c r="P590" s="314" t="s">
        <v>91</v>
      </c>
      <c r="Q590" s="307" t="s">
        <v>492</v>
      </c>
      <c r="R590" s="299" t="s">
        <v>149</v>
      </c>
      <c r="S590" s="380" t="s">
        <v>711</v>
      </c>
    </row>
    <row r="591" spans="1:19">
      <c r="A591" s="167">
        <v>690</v>
      </c>
      <c r="B591" s="428"/>
      <c r="F591" s="657">
        <v>170.86</v>
      </c>
      <c r="G591" s="156" t="s">
        <v>196</v>
      </c>
      <c r="H591" s="244"/>
      <c r="I591" s="449">
        <v>0.5</v>
      </c>
      <c r="J591" s="462">
        <v>-1.5490806770324701</v>
      </c>
      <c r="K591" s="491">
        <f t="shared" si="10"/>
        <v>6.9701515044582472</v>
      </c>
      <c r="L591" s="295" t="s">
        <v>665</v>
      </c>
      <c r="M591" s="296" t="s">
        <v>85</v>
      </c>
      <c r="N591" s="297" t="s">
        <v>192</v>
      </c>
      <c r="O591" s="298" t="s">
        <v>44</v>
      </c>
      <c r="P591" s="314" t="s">
        <v>91</v>
      </c>
      <c r="Q591" s="307" t="s">
        <v>492</v>
      </c>
      <c r="R591" s="299" t="s">
        <v>149</v>
      </c>
      <c r="S591" s="380" t="s">
        <v>711</v>
      </c>
    </row>
    <row r="592" spans="1:19">
      <c r="A592" s="167">
        <v>690</v>
      </c>
      <c r="B592" s="428"/>
      <c r="F592" s="657">
        <v>170.9</v>
      </c>
      <c r="G592" s="156" t="s">
        <v>196</v>
      </c>
      <c r="H592" s="244"/>
      <c r="I592" s="449">
        <v>0.64</v>
      </c>
      <c r="J592" s="462">
        <v>-1.5490806770324701</v>
      </c>
      <c r="K592" s="491">
        <f t="shared" si="10"/>
        <v>6.3739523375194658</v>
      </c>
      <c r="L592" s="295" t="s">
        <v>665</v>
      </c>
      <c r="M592" s="296" t="s">
        <v>85</v>
      </c>
      <c r="N592" s="297" t="s">
        <v>192</v>
      </c>
      <c r="O592" s="298" t="s">
        <v>44</v>
      </c>
      <c r="P592" s="314" t="s">
        <v>91</v>
      </c>
      <c r="Q592" s="307" t="s">
        <v>492</v>
      </c>
      <c r="R592" s="299" t="s">
        <v>149</v>
      </c>
      <c r="S592" s="380" t="s">
        <v>711</v>
      </c>
    </row>
    <row r="593" spans="1:19">
      <c r="A593" s="167">
        <v>690</v>
      </c>
      <c r="B593" s="428"/>
      <c r="F593" s="657">
        <v>170.91</v>
      </c>
      <c r="G593" s="156" t="s">
        <v>196</v>
      </c>
      <c r="H593" s="244"/>
      <c r="I593" s="449">
        <v>0.46</v>
      </c>
      <c r="J593" s="462">
        <v>-1.5490806770324701</v>
      </c>
      <c r="K593" s="491">
        <f t="shared" si="10"/>
        <v>7.1411421235836139</v>
      </c>
      <c r="L593" s="295" t="s">
        <v>665</v>
      </c>
      <c r="M593" s="296" t="s">
        <v>85</v>
      </c>
      <c r="N593" s="297" t="s">
        <v>192</v>
      </c>
      <c r="O593" s="298" t="s">
        <v>44</v>
      </c>
      <c r="P593" s="314" t="s">
        <v>91</v>
      </c>
      <c r="Q593" s="307" t="s">
        <v>492</v>
      </c>
      <c r="R593" s="299" t="s">
        <v>149</v>
      </c>
      <c r="S593" s="380" t="s">
        <v>711</v>
      </c>
    </row>
    <row r="594" spans="1:19">
      <c r="A594" s="167">
        <v>690</v>
      </c>
      <c r="B594" s="428"/>
      <c r="F594" s="657">
        <v>170.91</v>
      </c>
      <c r="G594" s="156" t="s">
        <v>196</v>
      </c>
      <c r="H594" s="244"/>
      <c r="I594" s="449">
        <v>0.46</v>
      </c>
      <c r="J594" s="462">
        <v>-1.5490806770324701</v>
      </c>
      <c r="K594" s="491">
        <f t="shared" si="10"/>
        <v>7.1411421235836139</v>
      </c>
      <c r="L594" s="295" t="s">
        <v>665</v>
      </c>
      <c r="M594" s="296" t="s">
        <v>85</v>
      </c>
      <c r="N594" s="297" t="s">
        <v>192</v>
      </c>
      <c r="O594" s="298" t="s">
        <v>44</v>
      </c>
      <c r="P594" s="314" t="s">
        <v>91</v>
      </c>
      <c r="Q594" s="307" t="s">
        <v>492</v>
      </c>
      <c r="R594" s="299" t="s">
        <v>149</v>
      </c>
      <c r="S594" s="380" t="s">
        <v>711</v>
      </c>
    </row>
    <row r="595" spans="1:19">
      <c r="A595" s="167">
        <v>690</v>
      </c>
      <c r="B595" s="428"/>
      <c r="F595" s="657">
        <v>170.91</v>
      </c>
      <c r="G595" s="156" t="s">
        <v>196</v>
      </c>
      <c r="H595" s="244"/>
      <c r="I595" s="449">
        <v>0.32</v>
      </c>
      <c r="J595" s="462">
        <v>-1.5490806770324701</v>
      </c>
      <c r="K595" s="491">
        <f t="shared" si="10"/>
        <v>7.7418772905223951</v>
      </c>
      <c r="L595" s="295" t="s">
        <v>665</v>
      </c>
      <c r="M595" s="296" t="s">
        <v>85</v>
      </c>
      <c r="N595" s="297" t="s">
        <v>192</v>
      </c>
      <c r="O595" s="298" t="s">
        <v>44</v>
      </c>
      <c r="P595" s="314" t="s">
        <v>91</v>
      </c>
      <c r="Q595" s="307" t="s">
        <v>492</v>
      </c>
      <c r="R595" s="299" t="s">
        <v>149</v>
      </c>
      <c r="S595" s="380" t="s">
        <v>711</v>
      </c>
    </row>
    <row r="596" spans="1:19">
      <c r="A596" s="167">
        <v>690</v>
      </c>
      <c r="B596" s="428"/>
      <c r="F596" s="657">
        <v>170.91</v>
      </c>
      <c r="G596" s="156" t="s">
        <v>196</v>
      </c>
      <c r="H596" s="244"/>
      <c r="I596" s="449">
        <v>-0.34</v>
      </c>
      <c r="J596" s="462">
        <v>-1.5490806770324701</v>
      </c>
      <c r="K596" s="491">
        <f t="shared" si="10"/>
        <v>10.621434506090939</v>
      </c>
      <c r="L596" s="295" t="s">
        <v>665</v>
      </c>
      <c r="M596" s="296" t="s">
        <v>85</v>
      </c>
      <c r="N596" s="297" t="s">
        <v>192</v>
      </c>
      <c r="O596" s="298" t="s">
        <v>44</v>
      </c>
      <c r="P596" s="314" t="s">
        <v>91</v>
      </c>
      <c r="Q596" s="307" t="s">
        <v>492</v>
      </c>
      <c r="R596" s="299" t="s">
        <v>149</v>
      </c>
      <c r="S596" s="380" t="s">
        <v>711</v>
      </c>
    </row>
    <row r="597" spans="1:19">
      <c r="A597" s="167">
        <v>690</v>
      </c>
      <c r="B597" s="428"/>
      <c r="F597" s="657">
        <v>170.94</v>
      </c>
      <c r="G597" s="156" t="s">
        <v>196</v>
      </c>
      <c r="H597" s="244"/>
      <c r="I597" s="449">
        <v>0.37</v>
      </c>
      <c r="J597" s="462">
        <v>-1.5490806770324701</v>
      </c>
      <c r="K597" s="491">
        <f t="shared" si="10"/>
        <v>7.5269240166156859</v>
      </c>
      <c r="L597" s="295" t="s">
        <v>665</v>
      </c>
      <c r="M597" s="296" t="s">
        <v>85</v>
      </c>
      <c r="N597" s="297" t="s">
        <v>192</v>
      </c>
      <c r="O597" s="298" t="s">
        <v>44</v>
      </c>
      <c r="P597" s="314" t="s">
        <v>91</v>
      </c>
      <c r="Q597" s="307" t="s">
        <v>492</v>
      </c>
      <c r="R597" s="299" t="s">
        <v>149</v>
      </c>
      <c r="S597" s="380" t="s">
        <v>711</v>
      </c>
    </row>
    <row r="598" spans="1:19">
      <c r="A598" s="167">
        <v>690</v>
      </c>
      <c r="B598" s="428"/>
      <c r="F598" s="657">
        <v>170.94</v>
      </c>
      <c r="G598" s="156" t="s">
        <v>196</v>
      </c>
      <c r="H598" s="244"/>
      <c r="I598" s="449">
        <v>0.3</v>
      </c>
      <c r="J598" s="462">
        <v>-1.5490806770324701</v>
      </c>
      <c r="K598" s="491">
        <f t="shared" si="10"/>
        <v>7.8279846000850766</v>
      </c>
      <c r="L598" s="295" t="s">
        <v>665</v>
      </c>
      <c r="M598" s="296" t="s">
        <v>85</v>
      </c>
      <c r="N598" s="297" t="s">
        <v>192</v>
      </c>
      <c r="O598" s="298" t="s">
        <v>44</v>
      </c>
      <c r="P598" s="314" t="s">
        <v>91</v>
      </c>
      <c r="Q598" s="307" t="s">
        <v>492</v>
      </c>
      <c r="R598" s="299" t="s">
        <v>149</v>
      </c>
      <c r="S598" s="380" t="s">
        <v>711</v>
      </c>
    </row>
    <row r="599" spans="1:19">
      <c r="A599" s="167">
        <v>690</v>
      </c>
      <c r="B599" s="428"/>
      <c r="F599" s="657">
        <v>170.94</v>
      </c>
      <c r="G599" s="156" t="s">
        <v>196</v>
      </c>
      <c r="H599" s="244"/>
      <c r="I599" s="449">
        <v>0.35</v>
      </c>
      <c r="J599" s="462">
        <v>-1.5490806770324701</v>
      </c>
      <c r="K599" s="491">
        <f t="shared" si="10"/>
        <v>7.6128513261783697</v>
      </c>
      <c r="L599" s="295" t="s">
        <v>665</v>
      </c>
      <c r="M599" s="296" t="s">
        <v>85</v>
      </c>
      <c r="N599" s="297" t="s">
        <v>192</v>
      </c>
      <c r="O599" s="298" t="s">
        <v>44</v>
      </c>
      <c r="P599" s="314" t="s">
        <v>91</v>
      </c>
      <c r="Q599" s="307" t="s">
        <v>492</v>
      </c>
      <c r="R599" s="299" t="s">
        <v>149</v>
      </c>
      <c r="S599" s="380" t="s">
        <v>711</v>
      </c>
    </row>
    <row r="600" spans="1:19">
      <c r="A600" s="167">
        <v>690</v>
      </c>
      <c r="B600" s="428"/>
      <c r="F600" s="657">
        <v>170.96</v>
      </c>
      <c r="G600" s="156" t="s">
        <v>196</v>
      </c>
      <c r="H600" s="244"/>
      <c r="I600" s="449">
        <v>0.41</v>
      </c>
      <c r="J600" s="462">
        <v>-1.5490806770324701</v>
      </c>
      <c r="K600" s="491">
        <f t="shared" si="10"/>
        <v>7.355285397490321</v>
      </c>
      <c r="L600" s="295" t="s">
        <v>665</v>
      </c>
      <c r="M600" s="296" t="s">
        <v>85</v>
      </c>
      <c r="N600" s="297" t="s">
        <v>192</v>
      </c>
      <c r="O600" s="298" t="s">
        <v>44</v>
      </c>
      <c r="P600" s="314" t="s">
        <v>91</v>
      </c>
      <c r="Q600" s="307" t="s">
        <v>492</v>
      </c>
      <c r="R600" s="299" t="s">
        <v>149</v>
      </c>
      <c r="S600" s="380" t="s">
        <v>711</v>
      </c>
    </row>
    <row r="601" spans="1:19">
      <c r="A601" s="167">
        <v>690</v>
      </c>
      <c r="B601" s="428"/>
      <c r="F601" s="657">
        <v>170.96</v>
      </c>
      <c r="G601" s="156" t="s">
        <v>196</v>
      </c>
      <c r="H601" s="244"/>
      <c r="I601" s="449">
        <v>0.45</v>
      </c>
      <c r="J601" s="462">
        <v>-1.5490806770324701</v>
      </c>
      <c r="K601" s="491">
        <f t="shared" si="10"/>
        <v>7.1839347783649554</v>
      </c>
      <c r="L601" s="295" t="s">
        <v>665</v>
      </c>
      <c r="M601" s="296" t="s">
        <v>85</v>
      </c>
      <c r="N601" s="297" t="s">
        <v>192</v>
      </c>
      <c r="O601" s="298" t="s">
        <v>44</v>
      </c>
      <c r="P601" s="314" t="s">
        <v>91</v>
      </c>
      <c r="Q601" s="307" t="s">
        <v>492</v>
      </c>
      <c r="R601" s="299" t="s">
        <v>149</v>
      </c>
      <c r="S601" s="380" t="s">
        <v>711</v>
      </c>
    </row>
    <row r="602" spans="1:19">
      <c r="A602" s="167">
        <v>690</v>
      </c>
      <c r="B602" s="428"/>
      <c r="F602" s="657">
        <v>170.96</v>
      </c>
      <c r="G602" s="156" t="s">
        <v>196</v>
      </c>
      <c r="H602" s="244"/>
      <c r="I602" s="449">
        <v>0.44</v>
      </c>
      <c r="J602" s="462">
        <v>-1.5490806770324701</v>
      </c>
      <c r="K602" s="491">
        <f t="shared" si="10"/>
        <v>7.2267454331462959</v>
      </c>
      <c r="L602" s="295" t="s">
        <v>665</v>
      </c>
      <c r="M602" s="296" t="s">
        <v>85</v>
      </c>
      <c r="N602" s="297" t="s">
        <v>192</v>
      </c>
      <c r="O602" s="298" t="s">
        <v>44</v>
      </c>
      <c r="P602" s="314" t="s">
        <v>91</v>
      </c>
      <c r="Q602" s="307" t="s">
        <v>492</v>
      </c>
      <c r="R602" s="299" t="s">
        <v>149</v>
      </c>
      <c r="S602" s="380" t="s">
        <v>711</v>
      </c>
    </row>
    <row r="603" spans="1:19">
      <c r="A603" s="167">
        <v>690</v>
      </c>
      <c r="B603" s="428"/>
      <c r="F603" s="657">
        <v>170.96</v>
      </c>
      <c r="G603" s="156" t="s">
        <v>196</v>
      </c>
      <c r="H603" s="244"/>
      <c r="I603" s="449">
        <v>0.6</v>
      </c>
      <c r="J603" s="462">
        <v>-1.5490806770324701</v>
      </c>
      <c r="K603" s="491">
        <f t="shared" si="10"/>
        <v>6.543934956644831</v>
      </c>
      <c r="L603" s="295" t="s">
        <v>665</v>
      </c>
      <c r="M603" s="296" t="s">
        <v>85</v>
      </c>
      <c r="N603" s="297" t="s">
        <v>192</v>
      </c>
      <c r="O603" s="298" t="s">
        <v>44</v>
      </c>
      <c r="P603" s="314" t="s">
        <v>91</v>
      </c>
      <c r="Q603" s="307" t="s">
        <v>492</v>
      </c>
      <c r="R603" s="299" t="s">
        <v>149</v>
      </c>
      <c r="S603" s="380" t="s">
        <v>711</v>
      </c>
    </row>
    <row r="604" spans="1:19">
      <c r="A604" s="167">
        <v>690</v>
      </c>
      <c r="B604" s="428"/>
      <c r="F604" s="657">
        <v>170.96</v>
      </c>
      <c r="G604" s="156" t="s">
        <v>196</v>
      </c>
      <c r="H604" s="244"/>
      <c r="I604" s="449">
        <v>0.74</v>
      </c>
      <c r="J604" s="462">
        <v>-1.5490806770324701</v>
      </c>
      <c r="K604" s="491">
        <f t="shared" si="10"/>
        <v>5.9502557897060493</v>
      </c>
      <c r="L604" s="295" t="s">
        <v>665</v>
      </c>
      <c r="M604" s="296" t="s">
        <v>85</v>
      </c>
      <c r="N604" s="297" t="s">
        <v>192</v>
      </c>
      <c r="O604" s="298" t="s">
        <v>44</v>
      </c>
      <c r="P604" s="314" t="s">
        <v>91</v>
      </c>
      <c r="Q604" s="307" t="s">
        <v>492</v>
      </c>
      <c r="R604" s="299" t="s">
        <v>149</v>
      </c>
      <c r="S604" s="380" t="s">
        <v>711</v>
      </c>
    </row>
    <row r="605" spans="1:19">
      <c r="A605" s="167">
        <v>690</v>
      </c>
      <c r="B605" s="428"/>
      <c r="F605" s="657">
        <v>170.99</v>
      </c>
      <c r="G605" s="156" t="s">
        <v>196</v>
      </c>
      <c r="H605" s="244"/>
      <c r="I605" s="449">
        <v>0.49</v>
      </c>
      <c r="J605" s="462">
        <v>-1.5490806770324701</v>
      </c>
      <c r="K605" s="491">
        <f t="shared" si="10"/>
        <v>7.0128721592395866</v>
      </c>
      <c r="L605" s="295" t="s">
        <v>665</v>
      </c>
      <c r="M605" s="296" t="s">
        <v>85</v>
      </c>
      <c r="N605" s="297" t="s">
        <v>192</v>
      </c>
      <c r="O605" s="298" t="s">
        <v>44</v>
      </c>
      <c r="P605" s="314" t="s">
        <v>91</v>
      </c>
      <c r="Q605" s="307" t="s">
        <v>492</v>
      </c>
      <c r="R605" s="299" t="s">
        <v>149</v>
      </c>
      <c r="S605" s="380" t="s">
        <v>711</v>
      </c>
    </row>
    <row r="606" spans="1:19">
      <c r="A606" s="167">
        <v>690</v>
      </c>
      <c r="B606" s="428"/>
      <c r="F606" s="657">
        <v>170.99</v>
      </c>
      <c r="G606" s="156" t="s">
        <v>196</v>
      </c>
      <c r="H606" s="244"/>
      <c r="I606" s="449">
        <v>0.4</v>
      </c>
      <c r="J606" s="462">
        <v>-1.5490806770324701</v>
      </c>
      <c r="K606" s="491">
        <f t="shared" si="10"/>
        <v>7.3981680522716626</v>
      </c>
      <c r="L606" s="295" t="s">
        <v>665</v>
      </c>
      <c r="M606" s="296" t="s">
        <v>85</v>
      </c>
      <c r="N606" s="297" t="s">
        <v>192</v>
      </c>
      <c r="O606" s="298" t="s">
        <v>44</v>
      </c>
      <c r="P606" s="314" t="s">
        <v>91</v>
      </c>
      <c r="Q606" s="307" t="s">
        <v>492</v>
      </c>
      <c r="R606" s="299" t="s">
        <v>149</v>
      </c>
      <c r="S606" s="380" t="s">
        <v>711</v>
      </c>
    </row>
    <row r="607" spans="1:19">
      <c r="A607" s="167">
        <v>690</v>
      </c>
      <c r="B607" s="428"/>
      <c r="F607" s="657">
        <v>170.99</v>
      </c>
      <c r="G607" s="156" t="s">
        <v>196</v>
      </c>
      <c r="H607" s="244"/>
      <c r="I607" s="449">
        <v>0.67</v>
      </c>
      <c r="J607" s="462">
        <v>-1.5490806770324701</v>
      </c>
      <c r="K607" s="491">
        <f t="shared" si="10"/>
        <v>6.2466543731754403</v>
      </c>
      <c r="L607" s="295" t="s">
        <v>665</v>
      </c>
      <c r="M607" s="296" t="s">
        <v>85</v>
      </c>
      <c r="N607" s="297" t="s">
        <v>192</v>
      </c>
      <c r="O607" s="298" t="s">
        <v>44</v>
      </c>
      <c r="P607" s="314" t="s">
        <v>91</v>
      </c>
      <c r="Q607" s="307" t="s">
        <v>492</v>
      </c>
      <c r="R607" s="299" t="s">
        <v>149</v>
      </c>
      <c r="S607" s="380" t="s">
        <v>711</v>
      </c>
    </row>
    <row r="608" spans="1:19">
      <c r="A608" s="167">
        <v>690</v>
      </c>
      <c r="B608" s="428"/>
      <c r="F608" s="657">
        <v>170.99</v>
      </c>
      <c r="G608" s="156" t="s">
        <v>196</v>
      </c>
      <c r="H608" s="244"/>
      <c r="I608" s="449">
        <v>0.88</v>
      </c>
      <c r="J608" s="462">
        <v>-1.5490806770324701</v>
      </c>
      <c r="K608" s="491">
        <f t="shared" si="10"/>
        <v>5.3601046227672686</v>
      </c>
      <c r="L608" s="295" t="s">
        <v>665</v>
      </c>
      <c r="M608" s="296" t="s">
        <v>85</v>
      </c>
      <c r="N608" s="297" t="s">
        <v>192</v>
      </c>
      <c r="O608" s="298" t="s">
        <v>44</v>
      </c>
      <c r="P608" s="314" t="s">
        <v>91</v>
      </c>
      <c r="Q608" s="307" t="s">
        <v>492</v>
      </c>
      <c r="R608" s="299" t="s">
        <v>149</v>
      </c>
      <c r="S608" s="380" t="s">
        <v>711</v>
      </c>
    </row>
    <row r="609" spans="1:19">
      <c r="A609" s="167">
        <v>690</v>
      </c>
      <c r="B609" s="428"/>
      <c r="F609" s="657">
        <v>170.99</v>
      </c>
      <c r="G609" s="156" t="s">
        <v>196</v>
      </c>
      <c r="H609" s="244"/>
      <c r="I609" s="449">
        <v>0.63</v>
      </c>
      <c r="J609" s="462">
        <v>-1.5490806770324701</v>
      </c>
      <c r="K609" s="491">
        <f t="shared" si="10"/>
        <v>6.4164209923008073</v>
      </c>
      <c r="L609" s="295" t="s">
        <v>665</v>
      </c>
      <c r="M609" s="296" t="s">
        <v>85</v>
      </c>
      <c r="N609" s="297" t="s">
        <v>192</v>
      </c>
      <c r="O609" s="298" t="s">
        <v>44</v>
      </c>
      <c r="P609" s="314" t="s">
        <v>91</v>
      </c>
      <c r="Q609" s="307" t="s">
        <v>492</v>
      </c>
      <c r="R609" s="299" t="s">
        <v>149</v>
      </c>
      <c r="S609" s="380" t="s">
        <v>711</v>
      </c>
    </row>
    <row r="610" spans="1:19">
      <c r="A610" s="167">
        <v>690</v>
      </c>
      <c r="B610" s="428"/>
      <c r="F610" s="657">
        <v>171.01</v>
      </c>
      <c r="G610" s="156" t="s">
        <v>196</v>
      </c>
      <c r="H610" s="244"/>
      <c r="I610" s="449">
        <v>0.37</v>
      </c>
      <c r="J610" s="462">
        <v>-1.5490806770324701</v>
      </c>
      <c r="K610" s="491">
        <f t="shared" si="10"/>
        <v>7.5269240166156859</v>
      </c>
      <c r="L610" s="295" t="s">
        <v>665</v>
      </c>
      <c r="M610" s="296" t="s">
        <v>85</v>
      </c>
      <c r="N610" s="297" t="s">
        <v>192</v>
      </c>
      <c r="O610" s="298" t="s">
        <v>44</v>
      </c>
      <c r="P610" s="314" t="s">
        <v>91</v>
      </c>
      <c r="Q610" s="307" t="s">
        <v>492</v>
      </c>
      <c r="R610" s="299" t="s">
        <v>149</v>
      </c>
      <c r="S610" s="380" t="s">
        <v>711</v>
      </c>
    </row>
    <row r="611" spans="1:19">
      <c r="A611" s="167">
        <v>690</v>
      </c>
      <c r="B611" s="428"/>
      <c r="F611" s="657">
        <v>171.01</v>
      </c>
      <c r="G611" s="156" t="s">
        <v>196</v>
      </c>
      <c r="H611" s="244"/>
      <c r="I611" s="449">
        <v>-0.63</v>
      </c>
      <c r="J611" s="462">
        <v>-1.5490806770324701</v>
      </c>
      <c r="K611" s="491">
        <f t="shared" si="10"/>
        <v>11.911489494749842</v>
      </c>
      <c r="L611" s="295" t="s">
        <v>665</v>
      </c>
      <c r="M611" s="296" t="s">
        <v>85</v>
      </c>
      <c r="N611" s="297" t="s">
        <v>192</v>
      </c>
      <c r="O611" s="298" t="s">
        <v>44</v>
      </c>
      <c r="P611" s="314" t="s">
        <v>91</v>
      </c>
      <c r="Q611" s="307" t="s">
        <v>492</v>
      </c>
      <c r="R611" s="299" t="s">
        <v>149</v>
      </c>
      <c r="S611" s="380" t="s">
        <v>711</v>
      </c>
    </row>
    <row r="612" spans="1:19">
      <c r="A612" s="167">
        <v>690</v>
      </c>
      <c r="B612" s="428"/>
      <c r="F612" s="657">
        <v>171.01</v>
      </c>
      <c r="G612" s="156" t="s">
        <v>196</v>
      </c>
      <c r="H612" s="244"/>
      <c r="I612" s="449">
        <v>0.53</v>
      </c>
      <c r="J612" s="462">
        <v>-1.5490806770324701</v>
      </c>
      <c r="K612" s="491">
        <f t="shared" si="10"/>
        <v>6.8420975401142217</v>
      </c>
      <c r="L612" s="295" t="s">
        <v>665</v>
      </c>
      <c r="M612" s="296" t="s">
        <v>85</v>
      </c>
      <c r="N612" s="297" t="s">
        <v>192</v>
      </c>
      <c r="O612" s="298" t="s">
        <v>44</v>
      </c>
      <c r="P612" s="314" t="s">
        <v>91</v>
      </c>
      <c r="Q612" s="307" t="s">
        <v>492</v>
      </c>
      <c r="R612" s="299" t="s">
        <v>149</v>
      </c>
      <c r="S612" s="380" t="s">
        <v>711</v>
      </c>
    </row>
    <row r="613" spans="1:19">
      <c r="A613" s="167">
        <v>690</v>
      </c>
      <c r="B613" s="428"/>
      <c r="F613" s="657">
        <v>171.01</v>
      </c>
      <c r="G613" s="156" t="s">
        <v>196</v>
      </c>
      <c r="H613" s="244"/>
      <c r="I613" s="449">
        <v>0.32</v>
      </c>
      <c r="J613" s="462">
        <v>-1.5490806770324701</v>
      </c>
      <c r="K613" s="491">
        <f t="shared" si="10"/>
        <v>7.7418772905223951</v>
      </c>
      <c r="L613" s="295" t="s">
        <v>665</v>
      </c>
      <c r="M613" s="296" t="s">
        <v>85</v>
      </c>
      <c r="N613" s="297" t="s">
        <v>192</v>
      </c>
      <c r="O613" s="298" t="s">
        <v>44</v>
      </c>
      <c r="P613" s="314" t="s">
        <v>91</v>
      </c>
      <c r="Q613" s="307" t="s">
        <v>492</v>
      </c>
      <c r="R613" s="299" t="s">
        <v>149</v>
      </c>
      <c r="S613" s="380" t="s">
        <v>711</v>
      </c>
    </row>
    <row r="614" spans="1:19">
      <c r="A614" s="167">
        <v>690</v>
      </c>
      <c r="B614" s="428"/>
      <c r="F614" s="657">
        <v>171.01</v>
      </c>
      <c r="G614" s="156" t="s">
        <v>196</v>
      </c>
      <c r="H614" s="244"/>
      <c r="I614" s="449">
        <v>-0.55000000000000004</v>
      </c>
      <c r="J614" s="462">
        <v>-1.5490806770324701</v>
      </c>
      <c r="K614" s="491">
        <f t="shared" si="10"/>
        <v>11.55410025649911</v>
      </c>
      <c r="L614" s="295" t="s">
        <v>665</v>
      </c>
      <c r="M614" s="296" t="s">
        <v>85</v>
      </c>
      <c r="N614" s="297" t="s">
        <v>192</v>
      </c>
      <c r="O614" s="298" t="s">
        <v>44</v>
      </c>
      <c r="P614" s="314" t="s">
        <v>91</v>
      </c>
      <c r="Q614" s="307" t="s">
        <v>492</v>
      </c>
      <c r="R614" s="299" t="s">
        <v>149</v>
      </c>
      <c r="S614" s="380" t="s">
        <v>711</v>
      </c>
    </row>
    <row r="615" spans="1:19">
      <c r="A615" s="167">
        <v>690</v>
      </c>
      <c r="B615" s="428"/>
      <c r="F615" s="657">
        <v>171.03</v>
      </c>
      <c r="G615" s="156" t="s">
        <v>196</v>
      </c>
      <c r="H615" s="244"/>
      <c r="I615" s="449">
        <v>0.41</v>
      </c>
      <c r="J615" s="462">
        <v>-1.5490806770324701</v>
      </c>
      <c r="K615" s="491">
        <f t="shared" si="10"/>
        <v>7.355285397490321</v>
      </c>
      <c r="L615" s="295" t="s">
        <v>665</v>
      </c>
      <c r="M615" s="296" t="s">
        <v>85</v>
      </c>
      <c r="N615" s="297" t="s">
        <v>192</v>
      </c>
      <c r="O615" s="298" t="s">
        <v>44</v>
      </c>
      <c r="P615" s="314" t="s">
        <v>91</v>
      </c>
      <c r="Q615" s="307" t="s">
        <v>492</v>
      </c>
      <c r="R615" s="299" t="s">
        <v>149</v>
      </c>
      <c r="S615" s="380" t="s">
        <v>711</v>
      </c>
    </row>
    <row r="616" spans="1:19">
      <c r="A616" s="167">
        <v>690</v>
      </c>
      <c r="B616" s="428"/>
      <c r="F616" s="657">
        <v>171.03</v>
      </c>
      <c r="G616" s="156" t="s">
        <v>196</v>
      </c>
      <c r="H616" s="244"/>
      <c r="I616" s="449">
        <v>0.2</v>
      </c>
      <c r="J616" s="462">
        <v>-1.5490806770324701</v>
      </c>
      <c r="K616" s="491">
        <f t="shared" si="10"/>
        <v>8.2596011478984934</v>
      </c>
      <c r="L616" s="295" t="s">
        <v>665</v>
      </c>
      <c r="M616" s="296" t="s">
        <v>85</v>
      </c>
      <c r="N616" s="297" t="s">
        <v>192</v>
      </c>
      <c r="O616" s="298" t="s">
        <v>44</v>
      </c>
      <c r="P616" s="314" t="s">
        <v>91</v>
      </c>
      <c r="Q616" s="307" t="s">
        <v>492</v>
      </c>
      <c r="R616" s="299" t="s">
        <v>149</v>
      </c>
      <c r="S616" s="380" t="s">
        <v>711</v>
      </c>
    </row>
    <row r="617" spans="1:19">
      <c r="A617" s="167">
        <v>690</v>
      </c>
      <c r="B617" s="428"/>
      <c r="F617" s="657">
        <v>171.03</v>
      </c>
      <c r="G617" s="156" t="s">
        <v>196</v>
      </c>
      <c r="H617" s="244"/>
      <c r="I617" s="449">
        <v>0.22</v>
      </c>
      <c r="J617" s="462">
        <v>-1.5490806770324701</v>
      </c>
      <c r="K617" s="491">
        <f t="shared" si="10"/>
        <v>8.1731338383358114</v>
      </c>
      <c r="L617" s="295" t="s">
        <v>665</v>
      </c>
      <c r="M617" s="296" t="s">
        <v>85</v>
      </c>
      <c r="N617" s="297" t="s">
        <v>192</v>
      </c>
      <c r="O617" s="298" t="s">
        <v>44</v>
      </c>
      <c r="P617" s="314" t="s">
        <v>91</v>
      </c>
      <c r="Q617" s="307" t="s">
        <v>492</v>
      </c>
      <c r="R617" s="299" t="s">
        <v>149</v>
      </c>
      <c r="S617" s="380" t="s">
        <v>711</v>
      </c>
    </row>
    <row r="618" spans="1:19">
      <c r="A618" s="167">
        <v>690</v>
      </c>
      <c r="B618" s="428"/>
      <c r="F618" s="657">
        <v>171.03</v>
      </c>
      <c r="G618" s="156" t="s">
        <v>196</v>
      </c>
      <c r="H618" s="244"/>
      <c r="I618" s="449">
        <v>0.54</v>
      </c>
      <c r="J618" s="462">
        <v>-1.5490806770324701</v>
      </c>
      <c r="K618" s="491">
        <f t="shared" si="10"/>
        <v>6.7994488853328798</v>
      </c>
      <c r="L618" s="295" t="s">
        <v>665</v>
      </c>
      <c r="M618" s="296" t="s">
        <v>85</v>
      </c>
      <c r="N618" s="297" t="s">
        <v>192</v>
      </c>
      <c r="O618" s="298" t="s">
        <v>44</v>
      </c>
      <c r="P618" s="314" t="s">
        <v>91</v>
      </c>
      <c r="Q618" s="307" t="s">
        <v>492</v>
      </c>
      <c r="R618" s="299" t="s">
        <v>149</v>
      </c>
      <c r="S618" s="380" t="s">
        <v>711</v>
      </c>
    </row>
    <row r="619" spans="1:19">
      <c r="A619" s="167">
        <v>690</v>
      </c>
      <c r="B619" s="428"/>
      <c r="F619" s="657">
        <v>171.05</v>
      </c>
      <c r="G619" s="156" t="s">
        <v>196</v>
      </c>
      <c r="H619" s="244"/>
      <c r="I619" s="449">
        <v>0.28000000000000003</v>
      </c>
      <c r="J619" s="462">
        <v>-1.5490806770324701</v>
      </c>
      <c r="K619" s="491">
        <f t="shared" si="10"/>
        <v>7.9141639096477601</v>
      </c>
      <c r="L619" s="295" t="s">
        <v>665</v>
      </c>
      <c r="M619" s="296" t="s">
        <v>85</v>
      </c>
      <c r="N619" s="297" t="s">
        <v>192</v>
      </c>
      <c r="O619" s="298" t="s">
        <v>44</v>
      </c>
      <c r="P619" s="314" t="s">
        <v>91</v>
      </c>
      <c r="Q619" s="307" t="s">
        <v>492</v>
      </c>
      <c r="R619" s="299" t="s">
        <v>149</v>
      </c>
      <c r="S619" s="380" t="s">
        <v>711</v>
      </c>
    </row>
    <row r="620" spans="1:19">
      <c r="A620" s="167">
        <v>690</v>
      </c>
      <c r="B620" s="428"/>
      <c r="F620" s="657">
        <v>171.05</v>
      </c>
      <c r="G620" s="156" t="s">
        <v>196</v>
      </c>
      <c r="H620" s="244"/>
      <c r="I620" s="449">
        <v>0.4</v>
      </c>
      <c r="J620" s="462">
        <v>-1.5490806770324701</v>
      </c>
      <c r="K620" s="491">
        <f t="shared" si="10"/>
        <v>7.3981680522716626</v>
      </c>
      <c r="L620" s="295" t="s">
        <v>665</v>
      </c>
      <c r="M620" s="296" t="s">
        <v>85</v>
      </c>
      <c r="N620" s="297" t="s">
        <v>192</v>
      </c>
      <c r="O620" s="298" t="s">
        <v>44</v>
      </c>
      <c r="P620" s="314" t="s">
        <v>91</v>
      </c>
      <c r="Q620" s="307" t="s">
        <v>492</v>
      </c>
      <c r="R620" s="299" t="s">
        <v>149</v>
      </c>
      <c r="S620" s="380" t="s">
        <v>711</v>
      </c>
    </row>
    <row r="621" spans="1:19">
      <c r="A621" s="167">
        <v>690</v>
      </c>
      <c r="B621" s="428"/>
      <c r="F621" s="657">
        <v>171.05</v>
      </c>
      <c r="G621" s="156" t="s">
        <v>196</v>
      </c>
      <c r="H621" s="244"/>
      <c r="I621" s="449">
        <v>0.28000000000000003</v>
      </c>
      <c r="J621" s="462">
        <v>-1.5490806770324701</v>
      </c>
      <c r="K621" s="491">
        <f t="shared" si="10"/>
        <v>7.9141639096477601</v>
      </c>
      <c r="L621" s="295" t="s">
        <v>665</v>
      </c>
      <c r="M621" s="296" t="s">
        <v>85</v>
      </c>
      <c r="N621" s="297" t="s">
        <v>192</v>
      </c>
      <c r="O621" s="298" t="s">
        <v>44</v>
      </c>
      <c r="P621" s="314" t="s">
        <v>91</v>
      </c>
      <c r="Q621" s="307" t="s">
        <v>492</v>
      </c>
      <c r="R621" s="299" t="s">
        <v>149</v>
      </c>
      <c r="S621" s="380" t="s">
        <v>711</v>
      </c>
    </row>
    <row r="622" spans="1:19">
      <c r="A622" s="167">
        <v>690</v>
      </c>
      <c r="B622" s="428"/>
      <c r="F622" s="657">
        <v>171.14</v>
      </c>
      <c r="G622" s="156" t="s">
        <v>196</v>
      </c>
      <c r="H622" s="244"/>
      <c r="I622" s="449">
        <v>0.21</v>
      </c>
      <c r="J622" s="462">
        <v>-1.5490806770324701</v>
      </c>
      <c r="K622" s="491">
        <f t="shared" si="10"/>
        <v>8.2163584931171521</v>
      </c>
      <c r="L622" s="295" t="s">
        <v>665</v>
      </c>
      <c r="M622" s="296" t="s">
        <v>85</v>
      </c>
      <c r="N622" s="297" t="s">
        <v>192</v>
      </c>
      <c r="O622" s="298" t="s">
        <v>44</v>
      </c>
      <c r="P622" s="314" t="s">
        <v>91</v>
      </c>
      <c r="Q622" s="307" t="s">
        <v>492</v>
      </c>
      <c r="R622" s="299" t="s">
        <v>149</v>
      </c>
      <c r="S622" s="380" t="s">
        <v>711</v>
      </c>
    </row>
    <row r="623" spans="1:19">
      <c r="A623" s="167">
        <v>690</v>
      </c>
      <c r="B623" s="428"/>
      <c r="F623" s="657">
        <v>171.14</v>
      </c>
      <c r="G623" s="156" t="s">
        <v>196</v>
      </c>
      <c r="H623" s="244"/>
      <c r="I623" s="449">
        <v>0.4</v>
      </c>
      <c r="J623" s="462">
        <v>-1.5490806770324701</v>
      </c>
      <c r="K623" s="491">
        <f t="shared" si="10"/>
        <v>7.3981680522716626</v>
      </c>
      <c r="L623" s="295" t="s">
        <v>665</v>
      </c>
      <c r="M623" s="296" t="s">
        <v>85</v>
      </c>
      <c r="N623" s="297" t="s">
        <v>192</v>
      </c>
      <c r="O623" s="298" t="s">
        <v>44</v>
      </c>
      <c r="P623" s="314" t="s">
        <v>91</v>
      </c>
      <c r="Q623" s="307" t="s">
        <v>492</v>
      </c>
      <c r="R623" s="299" t="s">
        <v>149</v>
      </c>
      <c r="S623" s="380" t="s">
        <v>711</v>
      </c>
    </row>
    <row r="624" spans="1:19">
      <c r="A624" s="167">
        <v>690</v>
      </c>
      <c r="B624" s="428"/>
      <c r="F624" s="657">
        <v>171.14</v>
      </c>
      <c r="G624" s="156" t="s">
        <v>196</v>
      </c>
      <c r="H624" s="244"/>
      <c r="I624" s="449">
        <v>0.16</v>
      </c>
      <c r="J624" s="462">
        <v>-1.5490806770324701</v>
      </c>
      <c r="K624" s="491">
        <f t="shared" si="10"/>
        <v>8.4327517670238592</v>
      </c>
      <c r="L624" s="295" t="s">
        <v>665</v>
      </c>
      <c r="M624" s="296" t="s">
        <v>85</v>
      </c>
      <c r="N624" s="297" t="s">
        <v>192</v>
      </c>
      <c r="O624" s="298" t="s">
        <v>44</v>
      </c>
      <c r="P624" s="314" t="s">
        <v>91</v>
      </c>
      <c r="Q624" s="307" t="s">
        <v>492</v>
      </c>
      <c r="R624" s="299" t="s">
        <v>149</v>
      </c>
      <c r="S624" s="380" t="s">
        <v>711</v>
      </c>
    </row>
    <row r="625" spans="1:19">
      <c r="A625" s="167">
        <v>690</v>
      </c>
      <c r="B625" s="428"/>
      <c r="F625" s="657">
        <v>171.14</v>
      </c>
      <c r="G625" s="156" t="s">
        <v>196</v>
      </c>
      <c r="H625" s="244"/>
      <c r="I625" s="449">
        <v>-0.05</v>
      </c>
      <c r="J625" s="462">
        <v>-1.5490806770324701</v>
      </c>
      <c r="K625" s="491">
        <f t="shared" si="10"/>
        <v>9.3465175174320336</v>
      </c>
      <c r="L625" s="295" t="s">
        <v>665</v>
      </c>
      <c r="M625" s="296" t="s">
        <v>85</v>
      </c>
      <c r="N625" s="297" t="s">
        <v>192</v>
      </c>
      <c r="O625" s="298" t="s">
        <v>44</v>
      </c>
      <c r="P625" s="314" t="s">
        <v>91</v>
      </c>
      <c r="Q625" s="307" t="s">
        <v>492</v>
      </c>
      <c r="R625" s="299" t="s">
        <v>149</v>
      </c>
      <c r="S625" s="380" t="s">
        <v>711</v>
      </c>
    </row>
    <row r="626" spans="1:19">
      <c r="A626" s="167">
        <v>690</v>
      </c>
      <c r="B626" s="428"/>
      <c r="F626" s="657">
        <v>171.14</v>
      </c>
      <c r="G626" s="156" t="s">
        <v>196</v>
      </c>
      <c r="H626" s="244"/>
      <c r="I626" s="449">
        <v>0.27</v>
      </c>
      <c r="J626" s="462">
        <v>-1.5490806770324701</v>
      </c>
      <c r="K626" s="491">
        <f t="shared" si="10"/>
        <v>7.9572805644291025</v>
      </c>
      <c r="L626" s="295" t="s">
        <v>665</v>
      </c>
      <c r="M626" s="296" t="s">
        <v>85</v>
      </c>
      <c r="N626" s="297" t="s">
        <v>192</v>
      </c>
      <c r="O626" s="298" t="s">
        <v>44</v>
      </c>
      <c r="P626" s="314" t="s">
        <v>91</v>
      </c>
      <c r="Q626" s="307" t="s">
        <v>492</v>
      </c>
      <c r="R626" s="299" t="s">
        <v>149</v>
      </c>
      <c r="S626" s="380" t="s">
        <v>711</v>
      </c>
    </row>
    <row r="627" spans="1:19">
      <c r="A627" s="167">
        <v>690</v>
      </c>
      <c r="B627" s="428"/>
      <c r="F627" s="657">
        <v>171.14</v>
      </c>
      <c r="G627" s="156" t="s">
        <v>196</v>
      </c>
      <c r="H627" s="244"/>
      <c r="I627" s="449">
        <v>0.17</v>
      </c>
      <c r="J627" s="462">
        <v>-1.5490806770324701</v>
      </c>
      <c r="K627" s="491">
        <f t="shared" si="10"/>
        <v>8.3894371122425184</v>
      </c>
      <c r="L627" s="295" t="s">
        <v>665</v>
      </c>
      <c r="M627" s="296" t="s">
        <v>85</v>
      </c>
      <c r="N627" s="297" t="s">
        <v>192</v>
      </c>
      <c r="O627" s="298" t="s">
        <v>44</v>
      </c>
      <c r="P627" s="314" t="s">
        <v>91</v>
      </c>
      <c r="Q627" s="307" t="s">
        <v>492</v>
      </c>
      <c r="R627" s="299" t="s">
        <v>149</v>
      </c>
      <c r="S627" s="380" t="s">
        <v>711</v>
      </c>
    </row>
    <row r="628" spans="1:19">
      <c r="A628" s="167">
        <v>690</v>
      </c>
      <c r="B628" s="428"/>
      <c r="F628" s="657">
        <v>171.14</v>
      </c>
      <c r="G628" s="156" t="s">
        <v>196</v>
      </c>
      <c r="H628" s="244"/>
      <c r="I628" s="449">
        <v>-0.34</v>
      </c>
      <c r="J628" s="462">
        <v>-1.5490806770324701</v>
      </c>
      <c r="K628" s="491">
        <f t="shared" si="10"/>
        <v>10.621434506090939</v>
      </c>
      <c r="L628" s="295" t="s">
        <v>665</v>
      </c>
      <c r="M628" s="296" t="s">
        <v>85</v>
      </c>
      <c r="N628" s="297" t="s">
        <v>192</v>
      </c>
      <c r="O628" s="298" t="s">
        <v>44</v>
      </c>
      <c r="P628" s="314" t="s">
        <v>91</v>
      </c>
      <c r="Q628" s="307" t="s">
        <v>492</v>
      </c>
      <c r="R628" s="299" t="s">
        <v>149</v>
      </c>
      <c r="S628" s="380" t="s">
        <v>711</v>
      </c>
    </row>
    <row r="629" spans="1:19">
      <c r="A629" s="167">
        <v>690</v>
      </c>
      <c r="B629" s="428"/>
      <c r="F629" s="657">
        <v>171.16</v>
      </c>
      <c r="G629" s="156" t="s">
        <v>196</v>
      </c>
      <c r="H629" s="244"/>
      <c r="I629" s="449">
        <v>0.24</v>
      </c>
      <c r="J629" s="462">
        <v>-1.5490806770324701</v>
      </c>
      <c r="K629" s="491">
        <f t="shared" si="10"/>
        <v>8.086738528773127</v>
      </c>
      <c r="L629" s="295" t="s">
        <v>665</v>
      </c>
      <c r="M629" s="296" t="s">
        <v>85</v>
      </c>
      <c r="N629" s="297" t="s">
        <v>192</v>
      </c>
      <c r="O629" s="298" t="s">
        <v>44</v>
      </c>
      <c r="P629" s="314" t="s">
        <v>91</v>
      </c>
      <c r="Q629" s="307" t="s">
        <v>492</v>
      </c>
      <c r="R629" s="299" t="s">
        <v>149</v>
      </c>
      <c r="S629" s="380" t="s">
        <v>711</v>
      </c>
    </row>
    <row r="630" spans="1:19">
      <c r="A630" s="167">
        <v>690</v>
      </c>
      <c r="B630" s="428"/>
      <c r="F630" s="657">
        <v>171.16</v>
      </c>
      <c r="G630" s="156" t="s">
        <v>196</v>
      </c>
      <c r="H630" s="244"/>
      <c r="I630" s="449">
        <v>0.24</v>
      </c>
      <c r="J630" s="462">
        <v>-1.5490806770324701</v>
      </c>
      <c r="K630" s="491">
        <f t="shared" si="10"/>
        <v>8.086738528773127</v>
      </c>
      <c r="L630" s="295" t="s">
        <v>665</v>
      </c>
      <c r="M630" s="296" t="s">
        <v>85</v>
      </c>
      <c r="N630" s="297" t="s">
        <v>192</v>
      </c>
      <c r="O630" s="298" t="s">
        <v>44</v>
      </c>
      <c r="P630" s="314" t="s">
        <v>91</v>
      </c>
      <c r="Q630" s="307" t="s">
        <v>492</v>
      </c>
      <c r="R630" s="299" t="s">
        <v>149</v>
      </c>
      <c r="S630" s="380" t="s">
        <v>711</v>
      </c>
    </row>
    <row r="631" spans="1:19">
      <c r="A631" s="167">
        <v>690</v>
      </c>
      <c r="B631" s="428"/>
      <c r="F631" s="657">
        <v>171.16</v>
      </c>
      <c r="G631" s="156" t="s">
        <v>196</v>
      </c>
      <c r="H631" s="244"/>
      <c r="I631" s="449">
        <v>-0.14000000000000001</v>
      </c>
      <c r="J631" s="462">
        <v>-1.5490806770324701</v>
      </c>
      <c r="K631" s="491">
        <f t="shared" si="10"/>
        <v>9.7405614104641085</v>
      </c>
      <c r="L631" s="295" t="s">
        <v>665</v>
      </c>
      <c r="M631" s="296" t="s">
        <v>85</v>
      </c>
      <c r="N631" s="297" t="s">
        <v>192</v>
      </c>
      <c r="O631" s="298" t="s">
        <v>44</v>
      </c>
      <c r="P631" s="314" t="s">
        <v>91</v>
      </c>
      <c r="Q631" s="307" t="s">
        <v>492</v>
      </c>
      <c r="R631" s="299" t="s">
        <v>149</v>
      </c>
      <c r="S631" s="380" t="s">
        <v>711</v>
      </c>
    </row>
    <row r="632" spans="1:19">
      <c r="A632" s="167">
        <v>690</v>
      </c>
      <c r="B632" s="428"/>
      <c r="F632" s="657">
        <v>171.16</v>
      </c>
      <c r="G632" s="156" t="s">
        <v>196</v>
      </c>
      <c r="H632" s="244"/>
      <c r="I632" s="449">
        <v>0.2</v>
      </c>
      <c r="J632" s="462">
        <v>-1.5490806770324701</v>
      </c>
      <c r="K632" s="491">
        <f t="shared" si="10"/>
        <v>8.2596011478984934</v>
      </c>
      <c r="L632" s="295" t="s">
        <v>665</v>
      </c>
      <c r="M632" s="296" t="s">
        <v>85</v>
      </c>
      <c r="N632" s="297" t="s">
        <v>192</v>
      </c>
      <c r="O632" s="298" t="s">
        <v>44</v>
      </c>
      <c r="P632" s="314" t="s">
        <v>91</v>
      </c>
      <c r="Q632" s="307" t="s">
        <v>492</v>
      </c>
      <c r="R632" s="299" t="s">
        <v>149</v>
      </c>
      <c r="S632" s="380" t="s">
        <v>711</v>
      </c>
    </row>
    <row r="633" spans="1:19">
      <c r="A633" s="167">
        <v>690</v>
      </c>
      <c r="B633" s="428"/>
      <c r="F633" s="657">
        <v>171.19</v>
      </c>
      <c r="G633" s="156" t="s">
        <v>196</v>
      </c>
      <c r="H633" s="244"/>
      <c r="I633" s="449">
        <v>0.24</v>
      </c>
      <c r="J633" s="462">
        <v>-1.5490806770324701</v>
      </c>
      <c r="K633" s="491">
        <f t="shared" si="10"/>
        <v>8.086738528773127</v>
      </c>
      <c r="L633" s="295" t="s">
        <v>665</v>
      </c>
      <c r="M633" s="296" t="s">
        <v>85</v>
      </c>
      <c r="N633" s="297" t="s">
        <v>192</v>
      </c>
      <c r="O633" s="298" t="s">
        <v>44</v>
      </c>
      <c r="P633" s="314" t="s">
        <v>91</v>
      </c>
      <c r="Q633" s="307" t="s">
        <v>492</v>
      </c>
      <c r="R633" s="299" t="s">
        <v>149</v>
      </c>
      <c r="S633" s="380" t="s">
        <v>711</v>
      </c>
    </row>
    <row r="634" spans="1:19">
      <c r="A634" s="167">
        <v>690</v>
      </c>
      <c r="B634" s="428"/>
      <c r="F634" s="657">
        <v>171.19</v>
      </c>
      <c r="G634" s="156" t="s">
        <v>196</v>
      </c>
      <c r="H634" s="244"/>
      <c r="I634" s="449">
        <v>0.61</v>
      </c>
      <c r="J634" s="462">
        <v>-1.5490806770324701</v>
      </c>
      <c r="K634" s="491">
        <f t="shared" si="10"/>
        <v>6.5014123018634908</v>
      </c>
      <c r="L634" s="295" t="s">
        <v>665</v>
      </c>
      <c r="M634" s="296" t="s">
        <v>85</v>
      </c>
      <c r="N634" s="297" t="s">
        <v>192</v>
      </c>
      <c r="O634" s="298" t="s">
        <v>44</v>
      </c>
      <c r="P634" s="314" t="s">
        <v>91</v>
      </c>
      <c r="Q634" s="307" t="s">
        <v>492</v>
      </c>
      <c r="R634" s="299" t="s">
        <v>149</v>
      </c>
      <c r="S634" s="380" t="s">
        <v>711</v>
      </c>
    </row>
    <row r="635" spans="1:19">
      <c r="A635" s="167">
        <v>690</v>
      </c>
      <c r="B635" s="428"/>
      <c r="F635" s="657">
        <v>171.19</v>
      </c>
      <c r="G635" s="156" t="s">
        <v>196</v>
      </c>
      <c r="H635" s="244"/>
      <c r="I635" s="449">
        <v>0.21</v>
      </c>
      <c r="J635" s="462">
        <v>-1.5490806770324701</v>
      </c>
      <c r="K635" s="491">
        <f t="shared" si="10"/>
        <v>8.2163584931171521</v>
      </c>
      <c r="L635" s="295" t="s">
        <v>665</v>
      </c>
      <c r="M635" s="296" t="s">
        <v>85</v>
      </c>
      <c r="N635" s="297" t="s">
        <v>192</v>
      </c>
      <c r="O635" s="298" t="s">
        <v>44</v>
      </c>
      <c r="P635" s="314" t="s">
        <v>91</v>
      </c>
      <c r="Q635" s="307" t="s">
        <v>492</v>
      </c>
      <c r="R635" s="299" t="s">
        <v>149</v>
      </c>
      <c r="S635" s="380" t="s">
        <v>711</v>
      </c>
    </row>
    <row r="636" spans="1:19">
      <c r="A636" s="167">
        <v>690</v>
      </c>
      <c r="B636" s="428"/>
      <c r="F636" s="657">
        <v>171.19</v>
      </c>
      <c r="G636" s="156" t="s">
        <v>196</v>
      </c>
      <c r="H636" s="244"/>
      <c r="I636" s="449">
        <v>0.28000000000000003</v>
      </c>
      <c r="J636" s="462">
        <v>-1.5490806770324701</v>
      </c>
      <c r="K636" s="491">
        <f t="shared" si="10"/>
        <v>7.9141639096477601</v>
      </c>
      <c r="L636" s="295" t="s">
        <v>665</v>
      </c>
      <c r="M636" s="296" t="s">
        <v>85</v>
      </c>
      <c r="N636" s="297" t="s">
        <v>192</v>
      </c>
      <c r="O636" s="298" t="s">
        <v>44</v>
      </c>
      <c r="P636" s="314" t="s">
        <v>91</v>
      </c>
      <c r="Q636" s="307" t="s">
        <v>492</v>
      </c>
      <c r="R636" s="299" t="s">
        <v>149</v>
      </c>
      <c r="S636" s="380" t="s">
        <v>711</v>
      </c>
    </row>
    <row r="637" spans="1:19">
      <c r="A637" s="167">
        <v>690</v>
      </c>
      <c r="B637" s="428"/>
      <c r="F637" s="657">
        <v>171.19</v>
      </c>
      <c r="G637" s="156" t="s">
        <v>196</v>
      </c>
      <c r="H637" s="244"/>
      <c r="I637" s="449">
        <v>0.25</v>
      </c>
      <c r="J637" s="462">
        <v>-1.5490806770324701</v>
      </c>
      <c r="K637" s="491">
        <f t="shared" si="10"/>
        <v>8.0435678739917851</v>
      </c>
      <c r="L637" s="295" t="s">
        <v>665</v>
      </c>
      <c r="M637" s="296" t="s">
        <v>85</v>
      </c>
      <c r="N637" s="297" t="s">
        <v>192</v>
      </c>
      <c r="O637" s="298" t="s">
        <v>44</v>
      </c>
      <c r="P637" s="314" t="s">
        <v>91</v>
      </c>
      <c r="Q637" s="307" t="s">
        <v>492</v>
      </c>
      <c r="R637" s="299" t="s">
        <v>149</v>
      </c>
      <c r="S637" s="380" t="s">
        <v>711</v>
      </c>
    </row>
    <row r="638" spans="1:19">
      <c r="A638" s="167">
        <v>690</v>
      </c>
      <c r="B638" s="428"/>
      <c r="F638" s="657">
        <v>171.22</v>
      </c>
      <c r="G638" s="156" t="s">
        <v>196</v>
      </c>
      <c r="H638" s="244"/>
      <c r="I638" s="449">
        <v>0.46</v>
      </c>
      <c r="J638" s="462">
        <v>-1.5490806770324701</v>
      </c>
      <c r="K638" s="491">
        <f t="shared" si="10"/>
        <v>7.1411421235836139</v>
      </c>
      <c r="L638" s="295" t="s">
        <v>665</v>
      </c>
      <c r="M638" s="296" t="s">
        <v>85</v>
      </c>
      <c r="N638" s="297" t="s">
        <v>192</v>
      </c>
      <c r="O638" s="298" t="s">
        <v>44</v>
      </c>
      <c r="P638" s="314" t="s">
        <v>91</v>
      </c>
      <c r="Q638" s="307" t="s">
        <v>492</v>
      </c>
      <c r="R638" s="299" t="s">
        <v>149</v>
      </c>
      <c r="S638" s="380" t="s">
        <v>711</v>
      </c>
    </row>
    <row r="639" spans="1:19">
      <c r="A639" s="167">
        <v>690</v>
      </c>
      <c r="B639" s="428"/>
      <c r="F639" s="657">
        <v>171.22</v>
      </c>
      <c r="G639" s="156" t="s">
        <v>196</v>
      </c>
      <c r="H639" s="244"/>
      <c r="I639" s="449">
        <v>0.33</v>
      </c>
      <c r="J639" s="462">
        <v>-1.5490806770324701</v>
      </c>
      <c r="K639" s="491">
        <f t="shared" si="10"/>
        <v>7.6988506357410538</v>
      </c>
      <c r="L639" s="295" t="s">
        <v>665</v>
      </c>
      <c r="M639" s="296" t="s">
        <v>85</v>
      </c>
      <c r="N639" s="297" t="s">
        <v>192</v>
      </c>
      <c r="O639" s="298" t="s">
        <v>44</v>
      </c>
      <c r="P639" s="314" t="s">
        <v>91</v>
      </c>
      <c r="Q639" s="307" t="s">
        <v>492</v>
      </c>
      <c r="R639" s="299" t="s">
        <v>149</v>
      </c>
      <c r="S639" s="380" t="s">
        <v>711</v>
      </c>
    </row>
    <row r="640" spans="1:19">
      <c r="A640" s="167">
        <v>690</v>
      </c>
      <c r="B640" s="428"/>
      <c r="F640" s="657">
        <v>171.22</v>
      </c>
      <c r="G640" s="156" t="s">
        <v>196</v>
      </c>
      <c r="H640" s="244"/>
      <c r="I640" s="449">
        <v>0.41</v>
      </c>
      <c r="J640" s="462">
        <v>-1.5490806770324701</v>
      </c>
      <c r="K640" s="491">
        <f t="shared" si="10"/>
        <v>7.355285397490321</v>
      </c>
      <c r="L640" s="295" t="s">
        <v>665</v>
      </c>
      <c r="M640" s="296" t="s">
        <v>85</v>
      </c>
      <c r="N640" s="297" t="s">
        <v>192</v>
      </c>
      <c r="O640" s="298" t="s">
        <v>44</v>
      </c>
      <c r="P640" s="314" t="s">
        <v>91</v>
      </c>
      <c r="Q640" s="307" t="s">
        <v>492</v>
      </c>
      <c r="R640" s="299" t="s">
        <v>149</v>
      </c>
      <c r="S640" s="380" t="s">
        <v>711</v>
      </c>
    </row>
    <row r="641" spans="1:19">
      <c r="A641" s="167">
        <v>690</v>
      </c>
      <c r="B641" s="428"/>
      <c r="F641" s="657">
        <v>171.22</v>
      </c>
      <c r="G641" s="156" t="s">
        <v>196</v>
      </c>
      <c r="H641" s="244"/>
      <c r="I641" s="449">
        <v>0.34</v>
      </c>
      <c r="J641" s="462">
        <v>-1.5490806770324701</v>
      </c>
      <c r="K641" s="491">
        <f t="shared" si="10"/>
        <v>7.6558419809597114</v>
      </c>
      <c r="L641" s="295" t="s">
        <v>665</v>
      </c>
      <c r="M641" s="296" t="s">
        <v>85</v>
      </c>
      <c r="N641" s="297" t="s">
        <v>192</v>
      </c>
      <c r="O641" s="298" t="s">
        <v>44</v>
      </c>
      <c r="P641" s="314" t="s">
        <v>91</v>
      </c>
      <c r="Q641" s="307" t="s">
        <v>492</v>
      </c>
      <c r="R641" s="299" t="s">
        <v>149</v>
      </c>
      <c r="S641" s="380" t="s">
        <v>711</v>
      </c>
    </row>
    <row r="642" spans="1:19">
      <c r="A642" s="167">
        <v>690</v>
      </c>
      <c r="B642" s="428"/>
      <c r="F642" s="657">
        <v>171.22</v>
      </c>
      <c r="G642" s="156" t="s">
        <v>196</v>
      </c>
      <c r="H642" s="244"/>
      <c r="I642" s="449">
        <v>-0.1</v>
      </c>
      <c r="J642" s="462">
        <v>-1.5490806770324701</v>
      </c>
      <c r="K642" s="491">
        <f t="shared" si="10"/>
        <v>9.565250791338741</v>
      </c>
      <c r="L642" s="295" t="s">
        <v>665</v>
      </c>
      <c r="M642" s="296" t="s">
        <v>85</v>
      </c>
      <c r="N642" s="297" t="s">
        <v>192</v>
      </c>
      <c r="O642" s="298" t="s">
        <v>44</v>
      </c>
      <c r="P642" s="314" t="s">
        <v>91</v>
      </c>
      <c r="Q642" s="307" t="s">
        <v>492</v>
      </c>
      <c r="R642" s="299" t="s">
        <v>149</v>
      </c>
      <c r="S642" s="380" t="s">
        <v>711</v>
      </c>
    </row>
    <row r="643" spans="1:19">
      <c r="A643" s="167">
        <v>690</v>
      </c>
      <c r="B643" s="428"/>
      <c r="F643" s="657">
        <v>171.22</v>
      </c>
      <c r="G643" s="156" t="s">
        <v>196</v>
      </c>
      <c r="H643" s="244"/>
      <c r="I643" s="449">
        <v>0.32</v>
      </c>
      <c r="J643" s="462">
        <v>-1.5490806770324701</v>
      </c>
      <c r="K643" s="491">
        <f t="shared" si="10"/>
        <v>7.7418772905223951</v>
      </c>
      <c r="L643" s="295" t="s">
        <v>665</v>
      </c>
      <c r="M643" s="296" t="s">
        <v>85</v>
      </c>
      <c r="N643" s="297" t="s">
        <v>192</v>
      </c>
      <c r="O643" s="298" t="s">
        <v>44</v>
      </c>
      <c r="P643" s="314" t="s">
        <v>91</v>
      </c>
      <c r="Q643" s="307" t="s">
        <v>492</v>
      </c>
      <c r="R643" s="299" t="s">
        <v>149</v>
      </c>
      <c r="S643" s="380" t="s">
        <v>711</v>
      </c>
    </row>
    <row r="644" spans="1:19">
      <c r="A644" s="167">
        <v>690</v>
      </c>
      <c r="B644" s="428"/>
      <c r="F644" s="657">
        <v>171.22</v>
      </c>
      <c r="G644" s="156" t="s">
        <v>196</v>
      </c>
      <c r="H644" s="244"/>
      <c r="I644" s="449">
        <v>-0.28999999999999998</v>
      </c>
      <c r="J644" s="462">
        <v>-1.5490806770324701</v>
      </c>
      <c r="K644" s="491">
        <f t="shared" si="10"/>
        <v>10.40054123218423</v>
      </c>
      <c r="L644" s="295" t="s">
        <v>665</v>
      </c>
      <c r="M644" s="296" t="s">
        <v>85</v>
      </c>
      <c r="N644" s="297" t="s">
        <v>192</v>
      </c>
      <c r="O644" s="298" t="s">
        <v>44</v>
      </c>
      <c r="P644" s="314" t="s">
        <v>91</v>
      </c>
      <c r="Q644" s="307" t="s">
        <v>492</v>
      </c>
      <c r="R644" s="299" t="s">
        <v>149</v>
      </c>
      <c r="S644" s="380" t="s">
        <v>711</v>
      </c>
    </row>
    <row r="645" spans="1:19">
      <c r="A645" s="167">
        <v>690</v>
      </c>
      <c r="B645" s="428"/>
      <c r="F645" s="657">
        <v>171.28</v>
      </c>
      <c r="G645" s="156" t="s">
        <v>196</v>
      </c>
      <c r="H645" s="244"/>
      <c r="I645" s="449">
        <v>0.08</v>
      </c>
      <c r="J645" s="462">
        <v>-1.5490806770324701</v>
      </c>
      <c r="K645" s="491">
        <f t="shared" si="10"/>
        <v>8.7799170052745925</v>
      </c>
      <c r="L645" s="295" t="s">
        <v>665</v>
      </c>
      <c r="M645" s="296" t="s">
        <v>85</v>
      </c>
      <c r="N645" s="297" t="s">
        <v>192</v>
      </c>
      <c r="O645" s="298" t="s">
        <v>44</v>
      </c>
      <c r="P645" s="314" t="s">
        <v>91</v>
      </c>
      <c r="Q645" s="307" t="s">
        <v>492</v>
      </c>
      <c r="R645" s="299" t="s">
        <v>149</v>
      </c>
      <c r="S645" s="380" t="s">
        <v>711</v>
      </c>
    </row>
    <row r="646" spans="1:19">
      <c r="A646" s="167">
        <v>690</v>
      </c>
      <c r="B646" s="428"/>
      <c r="F646" s="657">
        <v>171.28</v>
      </c>
      <c r="G646" s="156" t="s">
        <v>196</v>
      </c>
      <c r="H646" s="244"/>
      <c r="I646" s="449">
        <v>0.24</v>
      </c>
      <c r="J646" s="462">
        <v>-1.5490806770324701</v>
      </c>
      <c r="K646" s="491">
        <f t="shared" si="10"/>
        <v>8.086738528773127</v>
      </c>
      <c r="L646" s="295" t="s">
        <v>665</v>
      </c>
      <c r="M646" s="296" t="s">
        <v>85</v>
      </c>
      <c r="N646" s="297" t="s">
        <v>192</v>
      </c>
      <c r="O646" s="298" t="s">
        <v>44</v>
      </c>
      <c r="P646" s="314" t="s">
        <v>91</v>
      </c>
      <c r="Q646" s="307" t="s">
        <v>492</v>
      </c>
      <c r="R646" s="299" t="s">
        <v>149</v>
      </c>
      <c r="S646" s="380" t="s">
        <v>711</v>
      </c>
    </row>
    <row r="647" spans="1:19">
      <c r="A647" s="167">
        <v>690</v>
      </c>
      <c r="B647" s="428"/>
      <c r="F647" s="657">
        <v>171.28</v>
      </c>
      <c r="G647" s="156" t="s">
        <v>196</v>
      </c>
      <c r="H647" s="244"/>
      <c r="I647" s="449">
        <v>7.0000000000000007E-2</v>
      </c>
      <c r="J647" s="462">
        <v>-1.5490806770324701</v>
      </c>
      <c r="K647" s="491">
        <f t="shared" si="10"/>
        <v>8.8233936600559328</v>
      </c>
      <c r="L647" s="295" t="s">
        <v>665</v>
      </c>
      <c r="M647" s="296" t="s">
        <v>85</v>
      </c>
      <c r="N647" s="297" t="s">
        <v>192</v>
      </c>
      <c r="O647" s="298" t="s">
        <v>44</v>
      </c>
      <c r="P647" s="314" t="s">
        <v>91</v>
      </c>
      <c r="Q647" s="307" t="s">
        <v>492</v>
      </c>
      <c r="R647" s="299" t="s">
        <v>149</v>
      </c>
      <c r="S647" s="380" t="s">
        <v>711</v>
      </c>
    </row>
    <row r="648" spans="1:19">
      <c r="A648" s="167">
        <v>690</v>
      </c>
      <c r="B648" s="428"/>
      <c r="F648" s="657">
        <v>171.28</v>
      </c>
      <c r="G648" s="156" t="s">
        <v>196</v>
      </c>
      <c r="H648" s="244"/>
      <c r="I648" s="449">
        <v>0.2</v>
      </c>
      <c r="J648" s="462">
        <v>-1.5490806770324701</v>
      </c>
      <c r="K648" s="491">
        <f t="shared" si="10"/>
        <v>8.2596011478984934</v>
      </c>
      <c r="L648" s="295" t="s">
        <v>665</v>
      </c>
      <c r="M648" s="296" t="s">
        <v>85</v>
      </c>
      <c r="N648" s="297" t="s">
        <v>192</v>
      </c>
      <c r="O648" s="298" t="s">
        <v>44</v>
      </c>
      <c r="P648" s="314" t="s">
        <v>91</v>
      </c>
      <c r="Q648" s="307" t="s">
        <v>492</v>
      </c>
      <c r="R648" s="299" t="s">
        <v>149</v>
      </c>
      <c r="S648" s="380" t="s">
        <v>711</v>
      </c>
    </row>
    <row r="649" spans="1:19">
      <c r="A649" s="167">
        <v>690</v>
      </c>
      <c r="B649" s="428"/>
      <c r="F649" s="657">
        <v>171.28</v>
      </c>
      <c r="G649" s="156" t="s">
        <v>196</v>
      </c>
      <c r="H649" s="244"/>
      <c r="I649" s="449">
        <v>-0.35</v>
      </c>
      <c r="J649" s="462">
        <v>-1.5490806770324701</v>
      </c>
      <c r="K649" s="491">
        <f t="shared" si="10"/>
        <v>10.66566716087228</v>
      </c>
      <c r="L649" s="295" t="s">
        <v>665</v>
      </c>
      <c r="M649" s="296" t="s">
        <v>85</v>
      </c>
      <c r="N649" s="297" t="s">
        <v>192</v>
      </c>
      <c r="O649" s="298" t="s">
        <v>44</v>
      </c>
      <c r="P649" s="314" t="s">
        <v>91</v>
      </c>
      <c r="Q649" s="307" t="s">
        <v>492</v>
      </c>
      <c r="R649" s="299" t="s">
        <v>149</v>
      </c>
      <c r="S649" s="380" t="s">
        <v>711</v>
      </c>
    </row>
    <row r="650" spans="1:19">
      <c r="A650" s="167">
        <v>690</v>
      </c>
      <c r="B650" s="428"/>
      <c r="F650" s="657">
        <v>171.28</v>
      </c>
      <c r="G650" s="156" t="s">
        <v>196</v>
      </c>
      <c r="H650" s="244"/>
      <c r="I650" s="449">
        <v>-0.57999999999999996</v>
      </c>
      <c r="J650" s="462">
        <v>-1.5490806770324701</v>
      </c>
      <c r="K650" s="491">
        <f t="shared" ref="K650:K708" si="11">16.1-4.64*($I650-J650)+0.09*($I650-J650)^2</f>
        <v>11.687986220843134</v>
      </c>
      <c r="L650" s="295" t="s">
        <v>665</v>
      </c>
      <c r="M650" s="296" t="s">
        <v>85</v>
      </c>
      <c r="N650" s="297" t="s">
        <v>192</v>
      </c>
      <c r="O650" s="298" t="s">
        <v>44</v>
      </c>
      <c r="P650" s="314" t="s">
        <v>91</v>
      </c>
      <c r="Q650" s="307" t="s">
        <v>492</v>
      </c>
      <c r="R650" s="299" t="s">
        <v>149</v>
      </c>
      <c r="S650" s="380" t="s">
        <v>711</v>
      </c>
    </row>
    <row r="651" spans="1:19">
      <c r="A651" s="167">
        <v>690</v>
      </c>
      <c r="B651" s="428"/>
      <c r="F651" s="657">
        <v>171.33</v>
      </c>
      <c r="G651" s="156" t="s">
        <v>196</v>
      </c>
      <c r="H651" s="244"/>
      <c r="I651" s="449">
        <v>-0.19</v>
      </c>
      <c r="J651" s="462">
        <v>-1.5490806770324701</v>
      </c>
      <c r="K651" s="491">
        <f t="shared" si="11"/>
        <v>9.9601046843708154</v>
      </c>
      <c r="L651" s="295" t="s">
        <v>665</v>
      </c>
      <c r="M651" s="296" t="s">
        <v>85</v>
      </c>
      <c r="N651" s="297" t="s">
        <v>192</v>
      </c>
      <c r="O651" s="298" t="s">
        <v>44</v>
      </c>
      <c r="P651" s="314" t="s">
        <v>91</v>
      </c>
      <c r="Q651" s="307" t="s">
        <v>492</v>
      </c>
      <c r="R651" s="299" t="s">
        <v>149</v>
      </c>
      <c r="S651" s="380" t="s">
        <v>711</v>
      </c>
    </row>
    <row r="652" spans="1:19">
      <c r="A652" s="167">
        <v>690</v>
      </c>
      <c r="B652" s="428"/>
      <c r="F652" s="657">
        <v>171.33</v>
      </c>
      <c r="G652" s="156" t="s">
        <v>196</v>
      </c>
      <c r="H652" s="244"/>
      <c r="I652" s="449">
        <v>-0.17</v>
      </c>
      <c r="J652" s="462">
        <v>-1.5490806770324701</v>
      </c>
      <c r="K652" s="491">
        <f t="shared" si="11"/>
        <v>9.8722333748081308</v>
      </c>
      <c r="L652" s="295" t="s">
        <v>665</v>
      </c>
      <c r="M652" s="296" t="s">
        <v>85</v>
      </c>
      <c r="N652" s="297" t="s">
        <v>192</v>
      </c>
      <c r="O652" s="298" t="s">
        <v>44</v>
      </c>
      <c r="P652" s="314" t="s">
        <v>91</v>
      </c>
      <c r="Q652" s="307" t="s">
        <v>492</v>
      </c>
      <c r="R652" s="299" t="s">
        <v>149</v>
      </c>
      <c r="S652" s="380" t="s">
        <v>711</v>
      </c>
    </row>
    <row r="653" spans="1:19">
      <c r="A653" s="167">
        <v>690</v>
      </c>
      <c r="B653" s="428"/>
      <c r="F653" s="657">
        <v>171.33</v>
      </c>
      <c r="G653" s="156" t="s">
        <v>196</v>
      </c>
      <c r="H653" s="244"/>
      <c r="I653" s="449">
        <v>0.1</v>
      </c>
      <c r="J653" s="462">
        <v>-1.5490806770324701</v>
      </c>
      <c r="K653" s="491">
        <f t="shared" si="11"/>
        <v>8.6930176957119087</v>
      </c>
      <c r="L653" s="295" t="s">
        <v>665</v>
      </c>
      <c r="M653" s="296" t="s">
        <v>85</v>
      </c>
      <c r="N653" s="297" t="s">
        <v>192</v>
      </c>
      <c r="O653" s="298" t="s">
        <v>44</v>
      </c>
      <c r="P653" s="314" t="s">
        <v>91</v>
      </c>
      <c r="Q653" s="307" t="s">
        <v>492</v>
      </c>
      <c r="R653" s="299" t="s">
        <v>149</v>
      </c>
      <c r="S653" s="380" t="s">
        <v>711</v>
      </c>
    </row>
    <row r="654" spans="1:19">
      <c r="A654" s="167">
        <v>690</v>
      </c>
      <c r="B654" s="428"/>
      <c r="F654" s="657">
        <v>171.33</v>
      </c>
      <c r="G654" s="156" t="s">
        <v>196</v>
      </c>
      <c r="H654" s="244"/>
      <c r="I654" s="449">
        <v>-0.11</v>
      </c>
      <c r="J654" s="462">
        <v>-1.5490806770324701</v>
      </c>
      <c r="K654" s="491">
        <f t="shared" si="11"/>
        <v>9.6090514461200804</v>
      </c>
      <c r="L654" s="295" t="s">
        <v>665</v>
      </c>
      <c r="M654" s="296" t="s">
        <v>85</v>
      </c>
      <c r="N654" s="297" t="s">
        <v>192</v>
      </c>
      <c r="O654" s="298" t="s">
        <v>44</v>
      </c>
      <c r="P654" s="314" t="s">
        <v>91</v>
      </c>
      <c r="Q654" s="307" t="s">
        <v>492</v>
      </c>
      <c r="R654" s="299" t="s">
        <v>149</v>
      </c>
      <c r="S654" s="380" t="s">
        <v>711</v>
      </c>
    </row>
    <row r="655" spans="1:19">
      <c r="A655" s="167">
        <v>690</v>
      </c>
      <c r="B655" s="428"/>
      <c r="F655" s="657">
        <v>171.33</v>
      </c>
      <c r="G655" s="156" t="s">
        <v>196</v>
      </c>
      <c r="H655" s="244"/>
      <c r="I655" s="449">
        <v>-0.48</v>
      </c>
      <c r="J655" s="462">
        <v>-1.5490806770324701</v>
      </c>
      <c r="K655" s="491">
        <f t="shared" si="11"/>
        <v>11.242329673029719</v>
      </c>
      <c r="L655" s="295" t="s">
        <v>665</v>
      </c>
      <c r="M655" s="296" t="s">
        <v>85</v>
      </c>
      <c r="N655" s="297" t="s">
        <v>192</v>
      </c>
      <c r="O655" s="298" t="s">
        <v>44</v>
      </c>
      <c r="P655" s="314" t="s">
        <v>91</v>
      </c>
      <c r="Q655" s="307" t="s">
        <v>492</v>
      </c>
      <c r="R655" s="299" t="s">
        <v>149</v>
      </c>
      <c r="S655" s="380" t="s">
        <v>711</v>
      </c>
    </row>
    <row r="656" spans="1:19">
      <c r="A656" s="167">
        <v>690</v>
      </c>
      <c r="B656" s="428"/>
      <c r="F656" s="657">
        <v>171.33</v>
      </c>
      <c r="G656" s="156" t="s">
        <v>196</v>
      </c>
      <c r="H656" s="244"/>
      <c r="I656" s="449">
        <v>-0.89</v>
      </c>
      <c r="J656" s="462">
        <v>-1.5490806770324701</v>
      </c>
      <c r="K656" s="491">
        <f t="shared" si="11"/>
        <v>13.080960519064723</v>
      </c>
      <c r="L656" s="295" t="s">
        <v>665</v>
      </c>
      <c r="M656" s="296" t="s">
        <v>85</v>
      </c>
      <c r="N656" s="297" t="s">
        <v>192</v>
      </c>
      <c r="O656" s="298" t="s">
        <v>44</v>
      </c>
      <c r="P656" s="314" t="s">
        <v>91</v>
      </c>
      <c r="Q656" s="307" t="s">
        <v>492</v>
      </c>
      <c r="R656" s="299" t="s">
        <v>149</v>
      </c>
      <c r="S656" s="380" t="s">
        <v>711</v>
      </c>
    </row>
    <row r="657" spans="1:19">
      <c r="A657" s="167">
        <v>690</v>
      </c>
      <c r="B657" s="428"/>
      <c r="F657" s="657">
        <v>171.4</v>
      </c>
      <c r="G657" s="156" t="s">
        <v>196</v>
      </c>
      <c r="H657" s="244"/>
      <c r="I657" s="449">
        <v>-0.46</v>
      </c>
      <c r="J657" s="462">
        <v>-1.5490806770324701</v>
      </c>
      <c r="K657" s="491">
        <f t="shared" si="11"/>
        <v>11.153414363467036</v>
      </c>
      <c r="L657" s="295" t="s">
        <v>665</v>
      </c>
      <c r="M657" s="296" t="s">
        <v>85</v>
      </c>
      <c r="N657" s="297" t="s">
        <v>192</v>
      </c>
      <c r="O657" s="298" t="s">
        <v>44</v>
      </c>
      <c r="P657" s="314" t="s">
        <v>91</v>
      </c>
      <c r="Q657" s="307" t="s">
        <v>492</v>
      </c>
      <c r="R657" s="299" t="s">
        <v>149</v>
      </c>
      <c r="S657" s="380" t="s">
        <v>711</v>
      </c>
    </row>
    <row r="658" spans="1:19">
      <c r="A658" s="167">
        <v>690</v>
      </c>
      <c r="B658" s="428"/>
      <c r="F658" s="657">
        <v>171.4</v>
      </c>
      <c r="G658" s="156" t="s">
        <v>196</v>
      </c>
      <c r="H658" s="244"/>
      <c r="I658" s="449">
        <v>-0.01</v>
      </c>
      <c r="J658" s="462">
        <v>-1.5490806770324701</v>
      </c>
      <c r="K658" s="491">
        <f t="shared" si="11"/>
        <v>9.1718548983066661</v>
      </c>
      <c r="L658" s="295" t="s">
        <v>665</v>
      </c>
      <c r="M658" s="296" t="s">
        <v>85</v>
      </c>
      <c r="N658" s="297" t="s">
        <v>192</v>
      </c>
      <c r="O658" s="298" t="s">
        <v>44</v>
      </c>
      <c r="P658" s="314" t="s">
        <v>91</v>
      </c>
      <c r="Q658" s="307" t="s">
        <v>492</v>
      </c>
      <c r="R658" s="299" t="s">
        <v>149</v>
      </c>
      <c r="S658" s="380" t="s">
        <v>711</v>
      </c>
    </row>
    <row r="659" spans="1:19">
      <c r="A659" s="167">
        <v>690</v>
      </c>
      <c r="B659" s="428"/>
      <c r="F659" s="657">
        <v>171.4</v>
      </c>
      <c r="G659" s="156" t="s">
        <v>196</v>
      </c>
      <c r="H659" s="244"/>
      <c r="I659" s="449">
        <v>-0.6</v>
      </c>
      <c r="J659" s="462">
        <v>-1.5490806770324701</v>
      </c>
      <c r="K659" s="491">
        <f t="shared" si="11"/>
        <v>11.777333530405819</v>
      </c>
      <c r="L659" s="295" t="s">
        <v>665</v>
      </c>
      <c r="M659" s="296" t="s">
        <v>85</v>
      </c>
      <c r="N659" s="297" t="s">
        <v>192</v>
      </c>
      <c r="O659" s="298" t="s">
        <v>44</v>
      </c>
      <c r="P659" s="314" t="s">
        <v>91</v>
      </c>
      <c r="Q659" s="307" t="s">
        <v>492</v>
      </c>
      <c r="R659" s="299" t="s">
        <v>149</v>
      </c>
      <c r="S659" s="380" t="s">
        <v>711</v>
      </c>
    </row>
    <row r="660" spans="1:19">
      <c r="A660" s="167">
        <v>690</v>
      </c>
      <c r="B660" s="428"/>
      <c r="F660" s="657">
        <v>171.4</v>
      </c>
      <c r="G660" s="156" t="s">
        <v>196</v>
      </c>
      <c r="H660" s="244"/>
      <c r="I660" s="449">
        <v>0.26</v>
      </c>
      <c r="J660" s="462">
        <v>-1.5490806770324701</v>
      </c>
      <c r="K660" s="491">
        <f t="shared" si="11"/>
        <v>8.0004152192104439</v>
      </c>
      <c r="L660" s="295" t="s">
        <v>665</v>
      </c>
      <c r="M660" s="296" t="s">
        <v>85</v>
      </c>
      <c r="N660" s="297" t="s">
        <v>192</v>
      </c>
      <c r="O660" s="298" t="s">
        <v>44</v>
      </c>
      <c r="P660" s="314" t="s">
        <v>91</v>
      </c>
      <c r="Q660" s="307" t="s">
        <v>492</v>
      </c>
      <c r="R660" s="299" t="s">
        <v>149</v>
      </c>
      <c r="S660" s="380" t="s">
        <v>711</v>
      </c>
    </row>
    <row r="661" spans="1:19">
      <c r="A661" s="167">
        <v>690</v>
      </c>
      <c r="B661" s="428"/>
      <c r="F661" s="657">
        <v>171.4</v>
      </c>
      <c r="G661" s="156" t="s">
        <v>196</v>
      </c>
      <c r="H661" s="244"/>
      <c r="I661" s="449">
        <v>-1.27</v>
      </c>
      <c r="J661" s="462">
        <v>-1.5490806770324701</v>
      </c>
      <c r="K661" s="491">
        <f t="shared" si="11"/>
        <v>14.812075400755701</v>
      </c>
      <c r="L661" s="295" t="s">
        <v>665</v>
      </c>
      <c r="M661" s="296" t="s">
        <v>85</v>
      </c>
      <c r="N661" s="297" t="s">
        <v>192</v>
      </c>
      <c r="O661" s="298" t="s">
        <v>44</v>
      </c>
      <c r="P661" s="314" t="s">
        <v>91</v>
      </c>
      <c r="Q661" s="307" t="s">
        <v>492</v>
      </c>
      <c r="R661" s="299" t="s">
        <v>149</v>
      </c>
      <c r="S661" s="380" t="s">
        <v>711</v>
      </c>
    </row>
    <row r="662" spans="1:19">
      <c r="A662" s="167">
        <v>690</v>
      </c>
      <c r="B662" s="428"/>
      <c r="F662" s="657">
        <v>171.4</v>
      </c>
      <c r="G662" s="156" t="s">
        <v>196</v>
      </c>
      <c r="H662" s="244"/>
      <c r="I662" s="449">
        <v>-0.94</v>
      </c>
      <c r="J662" s="462">
        <v>-1.5490806770324701</v>
      </c>
      <c r="K662" s="491">
        <f t="shared" si="11"/>
        <v>13.30725379297143</v>
      </c>
      <c r="L662" s="295" t="s">
        <v>665</v>
      </c>
      <c r="M662" s="296" t="s">
        <v>85</v>
      </c>
      <c r="N662" s="297" t="s">
        <v>192</v>
      </c>
      <c r="O662" s="298" t="s">
        <v>44</v>
      </c>
      <c r="P662" s="314" t="s">
        <v>91</v>
      </c>
      <c r="Q662" s="307" t="s">
        <v>492</v>
      </c>
      <c r="R662" s="299" t="s">
        <v>149</v>
      </c>
      <c r="S662" s="380" t="s">
        <v>711</v>
      </c>
    </row>
    <row r="663" spans="1:19">
      <c r="A663" s="167">
        <v>690</v>
      </c>
      <c r="B663" s="428"/>
      <c r="F663" s="657">
        <v>171.4</v>
      </c>
      <c r="G663" s="156" t="s">
        <v>196</v>
      </c>
      <c r="H663" s="244"/>
      <c r="I663" s="449">
        <v>-0.78</v>
      </c>
      <c r="J663" s="462">
        <v>-1.5490806770324701</v>
      </c>
      <c r="K663" s="491">
        <f t="shared" si="11"/>
        <v>12.584699316469965</v>
      </c>
      <c r="L663" s="295" t="s">
        <v>665</v>
      </c>
      <c r="M663" s="296" t="s">
        <v>85</v>
      </c>
      <c r="N663" s="297" t="s">
        <v>192</v>
      </c>
      <c r="O663" s="298" t="s">
        <v>44</v>
      </c>
      <c r="P663" s="314" t="s">
        <v>91</v>
      </c>
      <c r="Q663" s="307" t="s">
        <v>492</v>
      </c>
      <c r="R663" s="299" t="s">
        <v>149</v>
      </c>
      <c r="S663" s="380" t="s">
        <v>711</v>
      </c>
    </row>
    <row r="664" spans="1:19">
      <c r="A664" s="167">
        <v>690</v>
      </c>
      <c r="B664" s="428"/>
      <c r="F664" s="657">
        <v>171.4</v>
      </c>
      <c r="G664" s="156" t="s">
        <v>196</v>
      </c>
      <c r="H664" s="244"/>
      <c r="I664" s="449">
        <v>0.19</v>
      </c>
      <c r="J664" s="462">
        <v>-1.5490806770324701</v>
      </c>
      <c r="K664" s="491">
        <f t="shared" si="11"/>
        <v>8.3028618026798355</v>
      </c>
      <c r="L664" s="295" t="s">
        <v>665</v>
      </c>
      <c r="M664" s="296" t="s">
        <v>85</v>
      </c>
      <c r="N664" s="297" t="s">
        <v>192</v>
      </c>
      <c r="O664" s="298" t="s">
        <v>44</v>
      </c>
      <c r="P664" s="314" t="s">
        <v>91</v>
      </c>
      <c r="Q664" s="307" t="s">
        <v>492</v>
      </c>
      <c r="R664" s="299" t="s">
        <v>149</v>
      </c>
      <c r="S664" s="380" t="s">
        <v>711</v>
      </c>
    </row>
    <row r="665" spans="1:19">
      <c r="A665" s="167">
        <v>690</v>
      </c>
      <c r="B665" s="428"/>
      <c r="F665" s="657">
        <v>171.43</v>
      </c>
      <c r="G665" s="156" t="s">
        <v>196</v>
      </c>
      <c r="H665" s="244"/>
      <c r="I665" s="449">
        <v>-7.0000000000000007E-2</v>
      </c>
      <c r="J665" s="462">
        <v>-1.5490806770324701</v>
      </c>
      <c r="K665" s="491">
        <f t="shared" si="11"/>
        <v>9.4339568269947147</v>
      </c>
      <c r="L665" s="295" t="s">
        <v>665</v>
      </c>
      <c r="M665" s="296" t="s">
        <v>85</v>
      </c>
      <c r="N665" s="297" t="s">
        <v>192</v>
      </c>
      <c r="O665" s="298" t="s">
        <v>44</v>
      </c>
      <c r="P665" s="314" t="s">
        <v>91</v>
      </c>
      <c r="Q665" s="307" t="s">
        <v>492</v>
      </c>
      <c r="R665" s="299" t="s">
        <v>149</v>
      </c>
      <c r="S665" s="380" t="s">
        <v>711</v>
      </c>
    </row>
    <row r="666" spans="1:19">
      <c r="A666" s="167">
        <v>690</v>
      </c>
      <c r="B666" s="428"/>
      <c r="F666" s="657">
        <v>171.43</v>
      </c>
      <c r="G666" s="156" t="s">
        <v>196</v>
      </c>
      <c r="H666" s="244"/>
      <c r="I666" s="449">
        <v>-0.09</v>
      </c>
      <c r="J666" s="462">
        <v>-1.5490806770324701</v>
      </c>
      <c r="K666" s="491">
        <f t="shared" si="11"/>
        <v>9.5214681365573988</v>
      </c>
      <c r="L666" s="295" t="s">
        <v>665</v>
      </c>
      <c r="M666" s="296" t="s">
        <v>85</v>
      </c>
      <c r="N666" s="297" t="s">
        <v>192</v>
      </c>
      <c r="O666" s="298" t="s">
        <v>44</v>
      </c>
      <c r="P666" s="314" t="s">
        <v>91</v>
      </c>
      <c r="Q666" s="307" t="s">
        <v>492</v>
      </c>
      <c r="R666" s="299" t="s">
        <v>149</v>
      </c>
      <c r="S666" s="380" t="s">
        <v>711</v>
      </c>
    </row>
    <row r="667" spans="1:19">
      <c r="A667" s="167">
        <v>690</v>
      </c>
      <c r="B667" s="428"/>
      <c r="F667" s="657">
        <v>171.43</v>
      </c>
      <c r="G667" s="156" t="s">
        <v>196</v>
      </c>
      <c r="H667" s="244"/>
      <c r="I667" s="449">
        <v>-0.01</v>
      </c>
      <c r="J667" s="462">
        <v>-1.5490806770324701</v>
      </c>
      <c r="K667" s="491">
        <f t="shared" si="11"/>
        <v>9.1718548983066661</v>
      </c>
      <c r="L667" s="295" t="s">
        <v>665</v>
      </c>
      <c r="M667" s="296" t="s">
        <v>85</v>
      </c>
      <c r="N667" s="297" t="s">
        <v>192</v>
      </c>
      <c r="O667" s="298" t="s">
        <v>44</v>
      </c>
      <c r="P667" s="314" t="s">
        <v>91</v>
      </c>
      <c r="Q667" s="307" t="s">
        <v>492</v>
      </c>
      <c r="R667" s="299" t="s">
        <v>149</v>
      </c>
      <c r="S667" s="380" t="s">
        <v>711</v>
      </c>
    </row>
    <row r="668" spans="1:19">
      <c r="A668" s="167">
        <v>690</v>
      </c>
      <c r="B668" s="428"/>
      <c r="F668" s="657">
        <v>171.43</v>
      </c>
      <c r="G668" s="156" t="s">
        <v>196</v>
      </c>
      <c r="H668" s="244"/>
      <c r="I668" s="449">
        <v>0.25</v>
      </c>
      <c r="J668" s="462">
        <v>-1.5490806770324701</v>
      </c>
      <c r="K668" s="491">
        <f t="shared" si="11"/>
        <v>8.0435678739917851</v>
      </c>
      <c r="L668" s="295" t="s">
        <v>665</v>
      </c>
      <c r="M668" s="296" t="s">
        <v>85</v>
      </c>
      <c r="N668" s="297" t="s">
        <v>192</v>
      </c>
      <c r="O668" s="298" t="s">
        <v>44</v>
      </c>
      <c r="P668" s="314" t="s">
        <v>91</v>
      </c>
      <c r="Q668" s="307" t="s">
        <v>492</v>
      </c>
      <c r="R668" s="299" t="s">
        <v>149</v>
      </c>
      <c r="S668" s="380" t="s">
        <v>711</v>
      </c>
    </row>
    <row r="669" spans="1:19">
      <c r="A669" s="167">
        <v>690</v>
      </c>
      <c r="B669" s="428"/>
      <c r="F669" s="657">
        <v>171.43</v>
      </c>
      <c r="G669" s="156" t="s">
        <v>196</v>
      </c>
      <c r="H669" s="244"/>
      <c r="I669" s="449">
        <v>-0.01</v>
      </c>
      <c r="J669" s="462">
        <v>-1.5490806770324701</v>
      </c>
      <c r="K669" s="491">
        <f t="shared" si="11"/>
        <v>9.1718548983066661</v>
      </c>
      <c r="L669" s="295" t="s">
        <v>665</v>
      </c>
      <c r="M669" s="296" t="s">
        <v>85</v>
      </c>
      <c r="N669" s="297" t="s">
        <v>192</v>
      </c>
      <c r="O669" s="298" t="s">
        <v>44</v>
      </c>
      <c r="P669" s="314" t="s">
        <v>91</v>
      </c>
      <c r="Q669" s="307" t="s">
        <v>492</v>
      </c>
      <c r="R669" s="299" t="s">
        <v>149</v>
      </c>
      <c r="S669" s="380" t="s">
        <v>711</v>
      </c>
    </row>
    <row r="670" spans="1:19">
      <c r="A670" s="167">
        <v>690</v>
      </c>
      <c r="B670" s="428"/>
      <c r="F670" s="657">
        <v>171.43</v>
      </c>
      <c r="G670" s="156" t="s">
        <v>196</v>
      </c>
      <c r="H670" s="244"/>
      <c r="I670" s="449">
        <v>0.22</v>
      </c>
      <c r="J670" s="462">
        <v>-1.5490806770324701</v>
      </c>
      <c r="K670" s="491">
        <f t="shared" si="11"/>
        <v>8.1731338383358114</v>
      </c>
      <c r="L670" s="295" t="s">
        <v>665</v>
      </c>
      <c r="M670" s="296" t="s">
        <v>85</v>
      </c>
      <c r="N670" s="297" t="s">
        <v>192</v>
      </c>
      <c r="O670" s="298" t="s">
        <v>44</v>
      </c>
      <c r="P670" s="314" t="s">
        <v>91</v>
      </c>
      <c r="Q670" s="307" t="s">
        <v>492</v>
      </c>
      <c r="R670" s="299" t="s">
        <v>149</v>
      </c>
      <c r="S670" s="380" t="s">
        <v>711</v>
      </c>
    </row>
    <row r="671" spans="1:19">
      <c r="A671" s="167">
        <v>690</v>
      </c>
      <c r="B671" s="428" t="s">
        <v>89</v>
      </c>
      <c r="F671" s="156">
        <v>166.9</v>
      </c>
      <c r="G671" s="156" t="s">
        <v>59</v>
      </c>
      <c r="H671" s="244"/>
      <c r="I671" s="57">
        <v>-0.16</v>
      </c>
      <c r="J671" s="462">
        <v>-1.5490806770324701</v>
      </c>
      <c r="K671" s="491">
        <f t="shared" si="11"/>
        <v>9.8283247200267887</v>
      </c>
      <c r="L671" s="295" t="s">
        <v>665</v>
      </c>
      <c r="M671" s="317" t="s">
        <v>74</v>
      </c>
      <c r="N671" s="297" t="s">
        <v>37</v>
      </c>
      <c r="O671" s="298" t="s">
        <v>44</v>
      </c>
      <c r="P671" s="314" t="s">
        <v>91</v>
      </c>
      <c r="Q671" s="307" t="s">
        <v>492</v>
      </c>
      <c r="R671" s="299" t="s">
        <v>390</v>
      </c>
      <c r="S671" s="300"/>
    </row>
    <row r="672" spans="1:19">
      <c r="A672" s="167">
        <v>690</v>
      </c>
      <c r="B672" s="428" t="s">
        <v>89</v>
      </c>
      <c r="F672" s="156">
        <v>166.94</v>
      </c>
      <c r="G672" s="156" t="s">
        <v>59</v>
      </c>
      <c r="H672" s="244"/>
      <c r="I672" s="57">
        <v>-0.08</v>
      </c>
      <c r="J672" s="462">
        <v>-1.5490806770324701</v>
      </c>
      <c r="K672" s="491">
        <f t="shared" si="11"/>
        <v>9.4777034817760573</v>
      </c>
      <c r="L672" s="295" t="s">
        <v>665</v>
      </c>
      <c r="M672" s="317" t="s">
        <v>74</v>
      </c>
      <c r="N672" s="297" t="s">
        <v>37</v>
      </c>
      <c r="O672" s="298" t="s">
        <v>44</v>
      </c>
      <c r="P672" s="314" t="s">
        <v>91</v>
      </c>
      <c r="Q672" s="307" t="s">
        <v>492</v>
      </c>
      <c r="R672" s="299" t="s">
        <v>390</v>
      </c>
      <c r="S672" s="300"/>
    </row>
    <row r="673" spans="1:19">
      <c r="A673" s="167">
        <v>690</v>
      </c>
      <c r="B673" s="428" t="s">
        <v>89</v>
      </c>
      <c r="F673" s="156">
        <v>167.04</v>
      </c>
      <c r="G673" s="156" t="s">
        <v>59</v>
      </c>
      <c r="H673" s="244"/>
      <c r="I673" s="57">
        <v>-0.17</v>
      </c>
      <c r="J673" s="462">
        <v>-1.5490806770324701</v>
      </c>
      <c r="K673" s="491">
        <f t="shared" si="11"/>
        <v>9.8722333748081308</v>
      </c>
      <c r="L673" s="295" t="s">
        <v>665</v>
      </c>
      <c r="M673" s="317" t="s">
        <v>74</v>
      </c>
      <c r="N673" s="297" t="s">
        <v>37</v>
      </c>
      <c r="O673" s="298" t="s">
        <v>44</v>
      </c>
      <c r="P673" s="314" t="s">
        <v>91</v>
      </c>
      <c r="Q673" s="307" t="s">
        <v>492</v>
      </c>
      <c r="R673" s="299" t="s">
        <v>390</v>
      </c>
      <c r="S673" s="300"/>
    </row>
    <row r="674" spans="1:19">
      <c r="A674" s="167">
        <v>690</v>
      </c>
      <c r="B674" s="428" t="s">
        <v>89</v>
      </c>
      <c r="F674" s="156">
        <v>167.14</v>
      </c>
      <c r="G674" s="156" t="s">
        <v>59</v>
      </c>
      <c r="H674" s="244"/>
      <c r="I674" s="57">
        <v>-0.12</v>
      </c>
      <c r="J674" s="462">
        <v>-1.5490806770324701</v>
      </c>
      <c r="K674" s="491">
        <f t="shared" si="11"/>
        <v>9.6528701009014242</v>
      </c>
      <c r="L674" s="295" t="s">
        <v>665</v>
      </c>
      <c r="M674" s="317" t="s">
        <v>74</v>
      </c>
      <c r="N674" s="297" t="s">
        <v>37</v>
      </c>
      <c r="O674" s="298" t="s">
        <v>44</v>
      </c>
      <c r="P674" s="314" t="s">
        <v>91</v>
      </c>
      <c r="Q674" s="307" t="s">
        <v>492</v>
      </c>
      <c r="R674" s="299" t="s">
        <v>390</v>
      </c>
      <c r="S674" s="300"/>
    </row>
    <row r="675" spans="1:19">
      <c r="A675" s="167">
        <v>690</v>
      </c>
      <c r="B675" s="428" t="s">
        <v>89</v>
      </c>
      <c r="F675" s="156">
        <v>167.24</v>
      </c>
      <c r="G675" s="156" t="s">
        <v>59</v>
      </c>
      <c r="H675" s="244"/>
      <c r="I675" s="57">
        <v>-0.2</v>
      </c>
      <c r="J675" s="462">
        <v>-1.5490806770324701</v>
      </c>
      <c r="K675" s="491">
        <f t="shared" si="11"/>
        <v>10.004067339152154</v>
      </c>
      <c r="L675" s="295" t="s">
        <v>665</v>
      </c>
      <c r="M675" s="317" t="s">
        <v>74</v>
      </c>
      <c r="N675" s="297" t="s">
        <v>37</v>
      </c>
      <c r="O675" s="298" t="s">
        <v>44</v>
      </c>
      <c r="P675" s="314" t="s">
        <v>91</v>
      </c>
      <c r="Q675" s="307" t="s">
        <v>492</v>
      </c>
      <c r="R675" s="299" t="s">
        <v>390</v>
      </c>
      <c r="S675" s="300"/>
    </row>
    <row r="676" spans="1:19">
      <c r="A676" s="167">
        <v>690</v>
      </c>
      <c r="B676" s="428" t="s">
        <v>89</v>
      </c>
      <c r="F676" s="156">
        <v>167.34</v>
      </c>
      <c r="G676" s="156" t="s">
        <v>59</v>
      </c>
      <c r="H676" s="244"/>
      <c r="I676" s="57">
        <v>-0.13</v>
      </c>
      <c r="J676" s="462">
        <v>-1.5490806770324701</v>
      </c>
      <c r="K676" s="491">
        <f t="shared" si="11"/>
        <v>9.6967067556827651</v>
      </c>
      <c r="L676" s="295" t="s">
        <v>665</v>
      </c>
      <c r="M676" s="317" t="s">
        <v>74</v>
      </c>
      <c r="N676" s="297" t="s">
        <v>37</v>
      </c>
      <c r="O676" s="298" t="s">
        <v>44</v>
      </c>
      <c r="P676" s="314" t="s">
        <v>91</v>
      </c>
      <c r="Q676" s="307" t="s">
        <v>492</v>
      </c>
      <c r="R676" s="299" t="s">
        <v>390</v>
      </c>
      <c r="S676" s="300"/>
    </row>
    <row r="677" spans="1:19">
      <c r="A677" s="167">
        <v>690</v>
      </c>
      <c r="B677" s="428" t="s">
        <v>89</v>
      </c>
      <c r="F677" s="156">
        <v>167.44</v>
      </c>
      <c r="G677" s="156" t="s">
        <v>59</v>
      </c>
      <c r="H677" s="244"/>
      <c r="I677" s="57">
        <v>-0.11</v>
      </c>
      <c r="J677" s="462">
        <v>-1.5490806770324701</v>
      </c>
      <c r="K677" s="491">
        <f t="shared" si="11"/>
        <v>9.6090514461200804</v>
      </c>
      <c r="L677" s="295" t="s">
        <v>665</v>
      </c>
      <c r="M677" s="317" t="s">
        <v>74</v>
      </c>
      <c r="N677" s="297" t="s">
        <v>37</v>
      </c>
      <c r="O677" s="298" t="s">
        <v>44</v>
      </c>
      <c r="P677" s="314" t="s">
        <v>91</v>
      </c>
      <c r="Q677" s="307" t="s">
        <v>492</v>
      </c>
      <c r="R677" s="299" t="s">
        <v>390</v>
      </c>
      <c r="S677" s="300"/>
    </row>
    <row r="678" spans="1:19">
      <c r="A678" s="167">
        <v>690</v>
      </c>
      <c r="B678" s="428" t="s">
        <v>89</v>
      </c>
      <c r="F678" s="156">
        <v>167.54</v>
      </c>
      <c r="G678" s="156" t="s">
        <v>59</v>
      </c>
      <c r="H678" s="244"/>
      <c r="I678" s="57">
        <v>-7.0000000000000007E-2</v>
      </c>
      <c r="J678" s="462">
        <v>-1.5490806770324701</v>
      </c>
      <c r="K678" s="491">
        <f t="shared" si="11"/>
        <v>9.4339568269947147</v>
      </c>
      <c r="L678" s="295" t="s">
        <v>665</v>
      </c>
      <c r="M678" s="317" t="s">
        <v>74</v>
      </c>
      <c r="N678" s="297" t="s">
        <v>37</v>
      </c>
      <c r="O678" s="298" t="s">
        <v>44</v>
      </c>
      <c r="P678" s="314" t="s">
        <v>91</v>
      </c>
      <c r="Q678" s="307" t="s">
        <v>492</v>
      </c>
      <c r="R678" s="299" t="s">
        <v>390</v>
      </c>
      <c r="S678" s="300"/>
    </row>
    <row r="679" spans="1:19">
      <c r="A679" s="167">
        <v>690</v>
      </c>
      <c r="B679" s="428" t="s">
        <v>89</v>
      </c>
      <c r="F679" s="156">
        <v>167.64</v>
      </c>
      <c r="G679" s="156" t="s">
        <v>59</v>
      </c>
      <c r="H679" s="244"/>
      <c r="I679" s="57">
        <v>-0.11</v>
      </c>
      <c r="J679" s="462">
        <v>-1.5490806770324701</v>
      </c>
      <c r="K679" s="491">
        <f t="shared" si="11"/>
        <v>9.6090514461200804</v>
      </c>
      <c r="L679" s="295" t="s">
        <v>665</v>
      </c>
      <c r="M679" s="317" t="s">
        <v>74</v>
      </c>
      <c r="N679" s="297" t="s">
        <v>37</v>
      </c>
      <c r="O679" s="298" t="s">
        <v>44</v>
      </c>
      <c r="P679" s="314" t="s">
        <v>91</v>
      </c>
      <c r="Q679" s="307" t="s">
        <v>492</v>
      </c>
      <c r="R679" s="299" t="s">
        <v>390</v>
      </c>
      <c r="S679" s="300"/>
    </row>
    <row r="680" spans="1:19">
      <c r="A680" s="167">
        <v>690</v>
      </c>
      <c r="B680" s="428" t="s">
        <v>89</v>
      </c>
      <c r="F680" s="156">
        <v>167.74</v>
      </c>
      <c r="G680" s="156" t="s">
        <v>59</v>
      </c>
      <c r="H680" s="244"/>
      <c r="I680" s="57">
        <v>-0.11</v>
      </c>
      <c r="J680" s="462">
        <v>-1.5490806770324701</v>
      </c>
      <c r="K680" s="491">
        <f t="shared" si="11"/>
        <v>9.6090514461200804</v>
      </c>
      <c r="L680" s="295" t="s">
        <v>665</v>
      </c>
      <c r="M680" s="317" t="s">
        <v>74</v>
      </c>
      <c r="N680" s="297" t="s">
        <v>37</v>
      </c>
      <c r="O680" s="298" t="s">
        <v>44</v>
      </c>
      <c r="P680" s="314" t="s">
        <v>91</v>
      </c>
      <c r="Q680" s="307" t="s">
        <v>492</v>
      </c>
      <c r="R680" s="299" t="s">
        <v>390</v>
      </c>
      <c r="S680" s="300"/>
    </row>
    <row r="681" spans="1:19">
      <c r="A681" s="167">
        <v>690</v>
      </c>
      <c r="B681" s="428" t="s">
        <v>89</v>
      </c>
      <c r="F681" s="156">
        <v>167.84</v>
      </c>
      <c r="G681" s="156" t="s">
        <v>59</v>
      </c>
      <c r="H681" s="244"/>
      <c r="I681" s="57">
        <v>-0.13</v>
      </c>
      <c r="J681" s="462">
        <v>-1.5490806770324701</v>
      </c>
      <c r="K681" s="491">
        <f t="shared" si="11"/>
        <v>9.6967067556827651</v>
      </c>
      <c r="L681" s="295" t="s">
        <v>665</v>
      </c>
      <c r="M681" s="317" t="s">
        <v>74</v>
      </c>
      <c r="N681" s="297" t="s">
        <v>37</v>
      </c>
      <c r="O681" s="298" t="s">
        <v>44</v>
      </c>
      <c r="P681" s="314" t="s">
        <v>91</v>
      </c>
      <c r="Q681" s="307" t="s">
        <v>492</v>
      </c>
      <c r="R681" s="299" t="s">
        <v>390</v>
      </c>
      <c r="S681" s="300"/>
    </row>
    <row r="682" spans="1:19">
      <c r="A682" s="167">
        <v>690</v>
      </c>
      <c r="B682" s="428" t="s">
        <v>89</v>
      </c>
      <c r="F682" s="156">
        <v>167.95</v>
      </c>
      <c r="G682" s="156" t="s">
        <v>59</v>
      </c>
      <c r="H682" s="244"/>
      <c r="I682" s="57">
        <v>0.23</v>
      </c>
      <c r="J682" s="462">
        <v>-1.5490806770324701</v>
      </c>
      <c r="K682" s="491">
        <f t="shared" si="11"/>
        <v>8.1299271835544697</v>
      </c>
      <c r="L682" s="295" t="s">
        <v>665</v>
      </c>
      <c r="M682" s="317" t="s">
        <v>74</v>
      </c>
      <c r="N682" s="297" t="s">
        <v>37</v>
      </c>
      <c r="O682" s="298" t="s">
        <v>44</v>
      </c>
      <c r="P682" s="314" t="s">
        <v>91</v>
      </c>
      <c r="Q682" s="307" t="s">
        <v>492</v>
      </c>
      <c r="R682" s="299" t="s">
        <v>390</v>
      </c>
      <c r="S682" s="300"/>
    </row>
    <row r="683" spans="1:19">
      <c r="A683" s="167">
        <v>690</v>
      </c>
      <c r="B683" s="428" t="s">
        <v>89</v>
      </c>
      <c r="F683" s="156">
        <v>168.05</v>
      </c>
      <c r="G683" s="156" t="s">
        <v>59</v>
      </c>
      <c r="H683" s="244"/>
      <c r="I683" s="57">
        <v>-0.17</v>
      </c>
      <c r="J683" s="462">
        <v>-1.5490806770324701</v>
      </c>
      <c r="K683" s="491">
        <f t="shared" si="11"/>
        <v>9.8722333748081308</v>
      </c>
      <c r="L683" s="295" t="s">
        <v>665</v>
      </c>
      <c r="M683" s="317" t="s">
        <v>74</v>
      </c>
      <c r="N683" s="297" t="s">
        <v>37</v>
      </c>
      <c r="O683" s="298" t="s">
        <v>44</v>
      </c>
      <c r="P683" s="314" t="s">
        <v>91</v>
      </c>
      <c r="Q683" s="307" t="s">
        <v>492</v>
      </c>
      <c r="R683" s="299" t="s">
        <v>390</v>
      </c>
      <c r="S683" s="300"/>
    </row>
    <row r="684" spans="1:19">
      <c r="A684" s="167">
        <v>690</v>
      </c>
      <c r="B684" s="428" t="s">
        <v>89</v>
      </c>
      <c r="F684" s="156">
        <v>168.14</v>
      </c>
      <c r="G684" s="156" t="s">
        <v>59</v>
      </c>
      <c r="H684" s="244"/>
      <c r="I684" s="57">
        <v>-0.02</v>
      </c>
      <c r="J684" s="462">
        <v>-1.5490806770324701</v>
      </c>
      <c r="K684" s="491">
        <f t="shared" si="11"/>
        <v>9.215493553088006</v>
      </c>
      <c r="L684" s="295" t="s">
        <v>665</v>
      </c>
      <c r="M684" s="317" t="s">
        <v>74</v>
      </c>
      <c r="N684" s="297" t="s">
        <v>37</v>
      </c>
      <c r="O684" s="298" t="s">
        <v>44</v>
      </c>
      <c r="P684" s="314" t="s">
        <v>91</v>
      </c>
      <c r="Q684" s="307" t="s">
        <v>492</v>
      </c>
      <c r="R684" s="299" t="s">
        <v>390</v>
      </c>
      <c r="S684" s="300"/>
    </row>
    <row r="685" spans="1:19">
      <c r="A685" s="167">
        <v>690</v>
      </c>
      <c r="B685" s="428" t="s">
        <v>89</v>
      </c>
      <c r="F685" s="156">
        <v>168.24</v>
      </c>
      <c r="G685" s="156" t="s">
        <v>59</v>
      </c>
      <c r="H685" s="244"/>
      <c r="I685" s="57">
        <v>-0.04</v>
      </c>
      <c r="J685" s="462">
        <v>-1.5490806770324701</v>
      </c>
      <c r="K685" s="491">
        <f t="shared" si="11"/>
        <v>9.3028248626506898</v>
      </c>
      <c r="L685" s="295" t="s">
        <v>665</v>
      </c>
      <c r="M685" s="317" t="s">
        <v>74</v>
      </c>
      <c r="N685" s="297" t="s">
        <v>37</v>
      </c>
      <c r="O685" s="298" t="s">
        <v>44</v>
      </c>
      <c r="P685" s="314" t="s">
        <v>91</v>
      </c>
      <c r="Q685" s="307" t="s">
        <v>492</v>
      </c>
      <c r="R685" s="299" t="s">
        <v>390</v>
      </c>
      <c r="S685" s="300"/>
    </row>
    <row r="686" spans="1:19">
      <c r="A686" s="167">
        <v>690</v>
      </c>
      <c r="B686" s="428" t="s">
        <v>89</v>
      </c>
      <c r="F686" s="156">
        <v>168.34</v>
      </c>
      <c r="G686" s="156" t="s">
        <v>59</v>
      </c>
      <c r="H686" s="244"/>
      <c r="I686" s="57">
        <v>-0.06</v>
      </c>
      <c r="J686" s="462">
        <v>-1.5490806770324701</v>
      </c>
      <c r="K686" s="491">
        <f t="shared" si="11"/>
        <v>9.3902281722133729</v>
      </c>
      <c r="L686" s="295" t="s">
        <v>665</v>
      </c>
      <c r="M686" s="317" t="s">
        <v>74</v>
      </c>
      <c r="N686" s="297" t="s">
        <v>37</v>
      </c>
      <c r="O686" s="298" t="s">
        <v>44</v>
      </c>
      <c r="P686" s="314" t="s">
        <v>91</v>
      </c>
      <c r="Q686" s="307" t="s">
        <v>492</v>
      </c>
      <c r="R686" s="299" t="s">
        <v>390</v>
      </c>
      <c r="S686" s="300"/>
    </row>
    <row r="687" spans="1:19">
      <c r="A687" s="167">
        <v>690</v>
      </c>
      <c r="B687" s="428" t="s">
        <v>89</v>
      </c>
      <c r="F687" s="156">
        <v>168.43</v>
      </c>
      <c r="G687" s="156" t="s">
        <v>59</v>
      </c>
      <c r="H687" s="244"/>
      <c r="I687" s="57">
        <v>-0.17</v>
      </c>
      <c r="J687" s="462">
        <v>-1.5490806770324701</v>
      </c>
      <c r="K687" s="491">
        <f t="shared" si="11"/>
        <v>9.8722333748081308</v>
      </c>
      <c r="L687" s="295" t="s">
        <v>665</v>
      </c>
      <c r="M687" s="317" t="s">
        <v>74</v>
      </c>
      <c r="N687" s="297" t="s">
        <v>37</v>
      </c>
      <c r="O687" s="298" t="s">
        <v>44</v>
      </c>
      <c r="P687" s="314" t="s">
        <v>91</v>
      </c>
      <c r="Q687" s="307" t="s">
        <v>492</v>
      </c>
      <c r="R687" s="299" t="s">
        <v>390</v>
      </c>
      <c r="S687" s="300"/>
    </row>
    <row r="688" spans="1:19">
      <c r="A688" s="167">
        <v>690</v>
      </c>
      <c r="B688" s="428" t="s">
        <v>89</v>
      </c>
      <c r="F688" s="156">
        <v>168.53</v>
      </c>
      <c r="G688" s="156" t="s">
        <v>59</v>
      </c>
      <c r="H688" s="244"/>
      <c r="I688" s="57">
        <v>-0.53</v>
      </c>
      <c r="J688" s="462">
        <v>-1.5490806770324701</v>
      </c>
      <c r="K688" s="491">
        <f t="shared" si="11"/>
        <v>11.464932946936429</v>
      </c>
      <c r="L688" s="295" t="s">
        <v>665</v>
      </c>
      <c r="M688" s="317" t="s">
        <v>74</v>
      </c>
      <c r="N688" s="297" t="s">
        <v>37</v>
      </c>
      <c r="O688" s="298" t="s">
        <v>44</v>
      </c>
      <c r="P688" s="314" t="s">
        <v>91</v>
      </c>
      <c r="Q688" s="307" t="s">
        <v>492</v>
      </c>
      <c r="R688" s="299" t="s">
        <v>390</v>
      </c>
      <c r="S688" s="300"/>
    </row>
    <row r="689" spans="1:19">
      <c r="A689" s="167">
        <v>690</v>
      </c>
      <c r="B689" s="428" t="s">
        <v>89</v>
      </c>
      <c r="F689" s="156">
        <v>168.65</v>
      </c>
      <c r="G689" s="156" t="s">
        <v>59</v>
      </c>
      <c r="H689" s="244"/>
      <c r="I689" s="57">
        <v>-0.09</v>
      </c>
      <c r="J689" s="462">
        <v>-1.5490806770324701</v>
      </c>
      <c r="K689" s="491">
        <f t="shared" si="11"/>
        <v>9.5214681365573988</v>
      </c>
      <c r="L689" s="295" t="s">
        <v>665</v>
      </c>
      <c r="M689" s="317" t="s">
        <v>74</v>
      </c>
      <c r="N689" s="297" t="s">
        <v>37</v>
      </c>
      <c r="O689" s="298" t="s">
        <v>44</v>
      </c>
      <c r="P689" s="314" t="s">
        <v>91</v>
      </c>
      <c r="Q689" s="307" t="s">
        <v>492</v>
      </c>
      <c r="R689" s="299" t="s">
        <v>390</v>
      </c>
      <c r="S689" s="300"/>
    </row>
    <row r="690" spans="1:19">
      <c r="A690" s="167">
        <v>690</v>
      </c>
      <c r="B690" s="428" t="s">
        <v>89</v>
      </c>
      <c r="F690" s="156">
        <v>168.77</v>
      </c>
      <c r="G690" s="156" t="s">
        <v>59</v>
      </c>
      <c r="H690" s="244"/>
      <c r="I690" s="57">
        <v>-0.19</v>
      </c>
      <c r="J690" s="462">
        <v>-1.5490806770324701</v>
      </c>
      <c r="K690" s="491">
        <f t="shared" si="11"/>
        <v>9.9601046843708154</v>
      </c>
      <c r="L690" s="295" t="s">
        <v>665</v>
      </c>
      <c r="M690" s="317" t="s">
        <v>74</v>
      </c>
      <c r="N690" s="297" t="s">
        <v>37</v>
      </c>
      <c r="O690" s="298" t="s">
        <v>44</v>
      </c>
      <c r="P690" s="314" t="s">
        <v>91</v>
      </c>
      <c r="Q690" s="307" t="s">
        <v>492</v>
      </c>
      <c r="R690" s="299" t="s">
        <v>390</v>
      </c>
      <c r="S690" s="300"/>
    </row>
    <row r="691" spans="1:19">
      <c r="A691" s="167">
        <v>690</v>
      </c>
      <c r="B691" s="428" t="s">
        <v>89</v>
      </c>
      <c r="F691" s="156">
        <v>168.83</v>
      </c>
      <c r="G691" s="156" t="s">
        <v>59</v>
      </c>
      <c r="H691" s="244"/>
      <c r="I691" s="57">
        <v>-0.15</v>
      </c>
      <c r="J691" s="462">
        <v>-1.5490806770324701</v>
      </c>
      <c r="K691" s="491">
        <f t="shared" si="11"/>
        <v>9.7844340652454473</v>
      </c>
      <c r="L691" s="295" t="s">
        <v>665</v>
      </c>
      <c r="M691" s="317" t="s">
        <v>74</v>
      </c>
      <c r="N691" s="297" t="s">
        <v>37</v>
      </c>
      <c r="O691" s="298" t="s">
        <v>44</v>
      </c>
      <c r="P691" s="314" t="s">
        <v>91</v>
      </c>
      <c r="Q691" s="307" t="s">
        <v>492</v>
      </c>
      <c r="R691" s="299" t="s">
        <v>390</v>
      </c>
      <c r="S691" s="300"/>
    </row>
    <row r="692" spans="1:19">
      <c r="A692" s="167">
        <v>690</v>
      </c>
      <c r="B692" s="428" t="s">
        <v>89</v>
      </c>
      <c r="F692" s="156">
        <v>168.94</v>
      </c>
      <c r="G692" s="156" t="s">
        <v>59</v>
      </c>
      <c r="H692" s="244"/>
      <c r="I692" s="57">
        <v>-0.41</v>
      </c>
      <c r="J692" s="462">
        <v>-1.5490806770324701</v>
      </c>
      <c r="K692" s="491">
        <f t="shared" si="11"/>
        <v>10.931441089560327</v>
      </c>
      <c r="L692" s="295" t="s">
        <v>665</v>
      </c>
      <c r="M692" s="317" t="s">
        <v>74</v>
      </c>
      <c r="N692" s="297" t="s">
        <v>37</v>
      </c>
      <c r="O692" s="298" t="s">
        <v>44</v>
      </c>
      <c r="P692" s="314" t="s">
        <v>91</v>
      </c>
      <c r="Q692" s="307" t="s">
        <v>492</v>
      </c>
      <c r="R692" s="299" t="s">
        <v>390</v>
      </c>
      <c r="S692" s="300"/>
    </row>
    <row r="693" spans="1:19">
      <c r="A693" s="167">
        <v>690</v>
      </c>
      <c r="B693" s="428" t="s">
        <v>89</v>
      </c>
      <c r="F693" s="156">
        <v>169.03</v>
      </c>
      <c r="G693" s="156" t="s">
        <v>59</v>
      </c>
      <c r="H693" s="244"/>
      <c r="I693" s="57">
        <v>-0.2</v>
      </c>
      <c r="J693" s="462">
        <v>-1.5490806770324701</v>
      </c>
      <c r="K693" s="491">
        <f t="shared" si="11"/>
        <v>10.004067339152154</v>
      </c>
      <c r="L693" s="295" t="s">
        <v>665</v>
      </c>
      <c r="M693" s="317" t="s">
        <v>74</v>
      </c>
      <c r="N693" s="297" t="s">
        <v>37</v>
      </c>
      <c r="O693" s="298" t="s">
        <v>44</v>
      </c>
      <c r="P693" s="314" t="s">
        <v>91</v>
      </c>
      <c r="Q693" s="307" t="s">
        <v>492</v>
      </c>
      <c r="R693" s="299" t="s">
        <v>390</v>
      </c>
      <c r="S693" s="300"/>
    </row>
    <row r="694" spans="1:19">
      <c r="A694" s="167">
        <v>690</v>
      </c>
      <c r="B694" s="428" t="s">
        <v>89</v>
      </c>
      <c r="F694" s="156">
        <v>169.13</v>
      </c>
      <c r="G694" s="156" t="s">
        <v>59</v>
      </c>
      <c r="H694" s="244"/>
      <c r="I694" s="57">
        <v>-0.09</v>
      </c>
      <c r="J694" s="462">
        <v>-1.5490806770324701</v>
      </c>
      <c r="K694" s="491">
        <f t="shared" si="11"/>
        <v>9.5214681365573988</v>
      </c>
      <c r="L694" s="295" t="s">
        <v>665</v>
      </c>
      <c r="M694" s="317" t="s">
        <v>74</v>
      </c>
      <c r="N694" s="297" t="s">
        <v>37</v>
      </c>
      <c r="O694" s="298" t="s">
        <v>44</v>
      </c>
      <c r="P694" s="314" t="s">
        <v>91</v>
      </c>
      <c r="Q694" s="307" t="s">
        <v>492</v>
      </c>
      <c r="R694" s="299" t="s">
        <v>390</v>
      </c>
      <c r="S694" s="300"/>
    </row>
    <row r="695" spans="1:19">
      <c r="A695" s="167">
        <v>690</v>
      </c>
      <c r="B695" s="428" t="s">
        <v>89</v>
      </c>
      <c r="F695" s="156">
        <v>169.23</v>
      </c>
      <c r="G695" s="156" t="s">
        <v>59</v>
      </c>
      <c r="H695" s="244"/>
      <c r="I695" s="57">
        <v>0.08</v>
      </c>
      <c r="J695" s="462">
        <v>-1.5490806770324701</v>
      </c>
      <c r="K695" s="491">
        <f t="shared" si="11"/>
        <v>8.7799170052745925</v>
      </c>
      <c r="L695" s="295" t="s">
        <v>665</v>
      </c>
      <c r="M695" s="317" t="s">
        <v>74</v>
      </c>
      <c r="N695" s="297" t="s">
        <v>37</v>
      </c>
      <c r="O695" s="298" t="s">
        <v>44</v>
      </c>
      <c r="P695" s="314" t="s">
        <v>91</v>
      </c>
      <c r="Q695" s="307" t="s">
        <v>492</v>
      </c>
      <c r="R695" s="299" t="s">
        <v>390</v>
      </c>
      <c r="S695" s="300"/>
    </row>
    <row r="696" spans="1:19">
      <c r="A696" s="167">
        <v>690</v>
      </c>
      <c r="B696" s="428" t="s">
        <v>89</v>
      </c>
      <c r="F696" s="156">
        <v>169.33</v>
      </c>
      <c r="G696" s="156" t="s">
        <v>59</v>
      </c>
      <c r="H696" s="244"/>
      <c r="I696" s="57">
        <v>-0.16</v>
      </c>
      <c r="J696" s="462">
        <v>-1.5490806770324701</v>
      </c>
      <c r="K696" s="491">
        <f t="shared" si="11"/>
        <v>9.8283247200267887</v>
      </c>
      <c r="L696" s="295" t="s">
        <v>665</v>
      </c>
      <c r="M696" s="317" t="s">
        <v>74</v>
      </c>
      <c r="N696" s="297" t="s">
        <v>37</v>
      </c>
      <c r="O696" s="298" t="s">
        <v>44</v>
      </c>
      <c r="P696" s="314" t="s">
        <v>91</v>
      </c>
      <c r="Q696" s="307" t="s">
        <v>492</v>
      </c>
      <c r="R696" s="299" t="s">
        <v>390</v>
      </c>
      <c r="S696" s="300"/>
    </row>
    <row r="697" spans="1:19">
      <c r="A697" s="167">
        <v>690</v>
      </c>
      <c r="B697" s="428" t="s">
        <v>89</v>
      </c>
      <c r="F697" s="156">
        <v>169.45</v>
      </c>
      <c r="G697" s="156" t="s">
        <v>59</v>
      </c>
      <c r="H697" s="244"/>
      <c r="I697" s="57">
        <v>1.83</v>
      </c>
      <c r="J697" s="462">
        <v>-1.5490806770324701</v>
      </c>
      <c r="K697" s="491">
        <f t="shared" si="11"/>
        <v>1.4487024185398212</v>
      </c>
      <c r="L697" s="295" t="s">
        <v>665</v>
      </c>
      <c r="M697" s="317" t="s">
        <v>74</v>
      </c>
      <c r="N697" s="297" t="s">
        <v>37</v>
      </c>
      <c r="O697" s="298" t="s">
        <v>44</v>
      </c>
      <c r="P697" s="314" t="s">
        <v>91</v>
      </c>
      <c r="Q697" s="307" t="s">
        <v>492</v>
      </c>
      <c r="R697" s="299" t="s">
        <v>390</v>
      </c>
      <c r="S697" s="300"/>
    </row>
    <row r="698" spans="1:19">
      <c r="A698" s="177">
        <v>690</v>
      </c>
      <c r="B698" s="945" t="s">
        <v>89</v>
      </c>
      <c r="C698" s="183"/>
      <c r="D698" s="183"/>
      <c r="E698" s="183"/>
      <c r="F698" s="226">
        <v>169.55</v>
      </c>
      <c r="G698" s="226" t="s">
        <v>59</v>
      </c>
      <c r="H698" s="437"/>
      <c r="I698" s="541">
        <v>-0.73</v>
      </c>
      <c r="J698" s="939">
        <v>-1.5490806770324701</v>
      </c>
      <c r="K698" s="496">
        <f t="shared" si="11"/>
        <v>12.359846042563259</v>
      </c>
      <c r="L698" s="940" t="s">
        <v>665</v>
      </c>
      <c r="M698" s="386" t="s">
        <v>74</v>
      </c>
      <c r="N698" s="399" t="s">
        <v>37</v>
      </c>
      <c r="O698" s="390" t="s">
        <v>44</v>
      </c>
      <c r="P698" s="388" t="s">
        <v>91</v>
      </c>
      <c r="Q698" s="387" t="s">
        <v>492</v>
      </c>
      <c r="R698" s="944" t="s">
        <v>390</v>
      </c>
      <c r="S698" s="942"/>
    </row>
    <row r="699" spans="1:19">
      <c r="A699" s="167">
        <v>690</v>
      </c>
      <c r="B699" s="428"/>
      <c r="F699" s="391">
        <v>135.38999999999999</v>
      </c>
      <c r="G699" s="156" t="s">
        <v>21</v>
      </c>
      <c r="H699" s="244">
        <v>50.549224853515625</v>
      </c>
      <c r="I699" s="449">
        <v>-1.2</v>
      </c>
      <c r="J699" s="462">
        <v>-1.5490806770324701</v>
      </c>
      <c r="K699" s="530">
        <f t="shared" si="11"/>
        <v>14.491232817286312</v>
      </c>
      <c r="L699" s="295" t="s">
        <v>271</v>
      </c>
      <c r="M699" s="317" t="s">
        <v>74</v>
      </c>
      <c r="N699" s="297" t="s">
        <v>274</v>
      </c>
      <c r="O699" s="298" t="s">
        <v>35</v>
      </c>
      <c r="P699" s="314" t="s">
        <v>91</v>
      </c>
      <c r="Q699" s="307" t="s">
        <v>492</v>
      </c>
      <c r="R699" s="299" t="s">
        <v>268</v>
      </c>
      <c r="S699" s="300" t="s">
        <v>593</v>
      </c>
    </row>
    <row r="700" spans="1:19">
      <c r="A700" s="167">
        <v>690</v>
      </c>
      <c r="B700" s="428"/>
      <c r="F700" s="391">
        <v>137.29</v>
      </c>
      <c r="G700" s="156" t="s">
        <v>21</v>
      </c>
      <c r="H700" s="244">
        <v>51.225551605224609</v>
      </c>
      <c r="I700" s="449">
        <v>-1.5</v>
      </c>
      <c r="J700" s="462">
        <v>-1.5490806770324701</v>
      </c>
      <c r="K700" s="530">
        <f t="shared" si="11"/>
        <v>15.872482460726557</v>
      </c>
      <c r="L700" s="295" t="s">
        <v>271</v>
      </c>
      <c r="M700" s="317" t="s">
        <v>74</v>
      </c>
      <c r="N700" s="297" t="s">
        <v>274</v>
      </c>
      <c r="O700" s="298" t="s">
        <v>35</v>
      </c>
      <c r="P700" s="314" t="s">
        <v>91</v>
      </c>
      <c r="Q700" s="307" t="s">
        <v>492</v>
      </c>
      <c r="R700" s="299" t="s">
        <v>268</v>
      </c>
      <c r="S700" s="300" t="s">
        <v>594</v>
      </c>
    </row>
    <row r="701" spans="1:19">
      <c r="A701" s="167">
        <v>690</v>
      </c>
      <c r="B701" s="428"/>
      <c r="F701" s="391">
        <v>138.58000000000001</v>
      </c>
      <c r="G701" s="156" t="s">
        <v>21</v>
      </c>
      <c r="H701" s="244">
        <v>51.462814331054688</v>
      </c>
      <c r="I701" s="449">
        <v>-0.95</v>
      </c>
      <c r="J701" s="462">
        <v>-1.5490806770324701</v>
      </c>
      <c r="K701" s="530">
        <f t="shared" si="11"/>
        <v>13.352566447752771</v>
      </c>
      <c r="L701" s="295" t="s">
        <v>271</v>
      </c>
      <c r="M701" s="317" t="s">
        <v>74</v>
      </c>
      <c r="N701" s="297" t="s">
        <v>37</v>
      </c>
      <c r="O701" s="298" t="s">
        <v>35</v>
      </c>
      <c r="P701" s="314" t="s">
        <v>91</v>
      </c>
      <c r="Q701" s="307" t="s">
        <v>492</v>
      </c>
      <c r="R701" s="299" t="s">
        <v>268</v>
      </c>
      <c r="S701" s="300" t="s">
        <v>594</v>
      </c>
    </row>
    <row r="702" spans="1:19">
      <c r="A702" s="167">
        <v>690</v>
      </c>
      <c r="B702" s="428"/>
      <c r="F702" s="391">
        <v>140.08000000000001</v>
      </c>
      <c r="G702" s="156" t="s">
        <v>21</v>
      </c>
      <c r="H702" s="244">
        <v>51.738700866699219</v>
      </c>
      <c r="I702" s="449">
        <v>0.9</v>
      </c>
      <c r="J702" s="462">
        <v>-1.5490806770324701</v>
      </c>
      <c r="K702" s="530">
        <f t="shared" si="11"/>
        <v>5.2760853132045851</v>
      </c>
      <c r="L702" s="295" t="s">
        <v>271</v>
      </c>
      <c r="M702" s="317" t="s">
        <v>74</v>
      </c>
      <c r="N702" s="297" t="s">
        <v>274</v>
      </c>
      <c r="O702" s="298" t="s">
        <v>35</v>
      </c>
      <c r="P702" s="314" t="s">
        <v>91</v>
      </c>
      <c r="Q702" s="307" t="s">
        <v>492</v>
      </c>
      <c r="R702" s="299" t="s">
        <v>268</v>
      </c>
      <c r="S702" s="300" t="s">
        <v>594</v>
      </c>
    </row>
    <row r="703" spans="1:19">
      <c r="A703" s="167">
        <v>690</v>
      </c>
      <c r="B703" s="428"/>
      <c r="F703" s="391">
        <v>141.58000000000001</v>
      </c>
      <c r="G703" s="156" t="s">
        <v>21</v>
      </c>
      <c r="H703" s="244">
        <v>52.043998718261719</v>
      </c>
      <c r="I703" s="449">
        <v>-1</v>
      </c>
      <c r="J703" s="462">
        <v>-1.5490806770324701</v>
      </c>
      <c r="K703" s="530">
        <f t="shared" si="11"/>
        <v>13.579399721659479</v>
      </c>
      <c r="L703" s="295" t="s">
        <v>271</v>
      </c>
      <c r="M703" s="317" t="s">
        <v>74</v>
      </c>
      <c r="N703" s="297" t="s">
        <v>37</v>
      </c>
      <c r="O703" s="298" t="s">
        <v>35</v>
      </c>
      <c r="P703" s="314" t="s">
        <v>91</v>
      </c>
      <c r="Q703" s="307" t="s">
        <v>492</v>
      </c>
      <c r="R703" s="299" t="s">
        <v>268</v>
      </c>
      <c r="S703" s="300" t="s">
        <v>596</v>
      </c>
    </row>
    <row r="704" spans="1:19">
      <c r="A704" s="167">
        <v>690</v>
      </c>
      <c r="B704" s="428"/>
      <c r="F704" s="391">
        <v>141.58000000000001</v>
      </c>
      <c r="G704" s="156" t="s">
        <v>21</v>
      </c>
      <c r="H704" s="244">
        <v>52.043998718261719</v>
      </c>
      <c r="I704" s="449">
        <v>-1</v>
      </c>
      <c r="J704" s="462">
        <v>-1.5490806770324701</v>
      </c>
      <c r="K704" s="530">
        <f t="shared" si="11"/>
        <v>13.579399721659479</v>
      </c>
      <c r="L704" s="295" t="s">
        <v>271</v>
      </c>
      <c r="M704" s="317" t="s">
        <v>74</v>
      </c>
      <c r="N704" s="297" t="s">
        <v>274</v>
      </c>
      <c r="O704" s="298" t="s">
        <v>35</v>
      </c>
      <c r="P704" s="314" t="s">
        <v>91</v>
      </c>
      <c r="Q704" s="307" t="s">
        <v>492</v>
      </c>
      <c r="R704" s="299" t="s">
        <v>268</v>
      </c>
      <c r="S704" s="300" t="s">
        <v>596</v>
      </c>
    </row>
    <row r="705" spans="1:19">
      <c r="A705" s="167">
        <v>690</v>
      </c>
      <c r="B705" s="428"/>
      <c r="F705" s="391">
        <v>143.08000000000001</v>
      </c>
      <c r="G705" s="156" t="s">
        <v>21</v>
      </c>
      <c r="H705" s="244">
        <v>52.382030487060547</v>
      </c>
      <c r="I705" s="449">
        <v>-0.8</v>
      </c>
      <c r="J705" s="462">
        <v>-1.5490806770324701</v>
      </c>
      <c r="K705" s="530">
        <f t="shared" si="11"/>
        <v>12.67476662603265</v>
      </c>
      <c r="L705" s="295" t="s">
        <v>271</v>
      </c>
      <c r="M705" s="317" t="s">
        <v>74</v>
      </c>
      <c r="N705" s="297" t="s">
        <v>274</v>
      </c>
      <c r="O705" s="298" t="s">
        <v>35</v>
      </c>
      <c r="P705" s="314" t="s">
        <v>91</v>
      </c>
      <c r="Q705" s="307" t="s">
        <v>492</v>
      </c>
      <c r="R705" s="299" t="s">
        <v>268</v>
      </c>
      <c r="S705" s="300" t="s">
        <v>596</v>
      </c>
    </row>
    <row r="706" spans="1:19">
      <c r="A706" s="167">
        <v>690</v>
      </c>
      <c r="B706" s="428"/>
      <c r="F706" s="156">
        <v>133.79</v>
      </c>
      <c r="G706" s="144" t="s">
        <v>21</v>
      </c>
      <c r="H706" s="156">
        <v>49.965999603271484</v>
      </c>
      <c r="I706" s="57">
        <v>-0.82</v>
      </c>
      <c r="J706" s="462">
        <v>-1.5490806770324701</v>
      </c>
      <c r="K706" s="530">
        <f t="shared" si="11"/>
        <v>12.76490593559533</v>
      </c>
      <c r="L706" s="295" t="s">
        <v>272</v>
      </c>
      <c r="M706" s="317" t="s">
        <v>74</v>
      </c>
      <c r="N706" s="297" t="s">
        <v>274</v>
      </c>
      <c r="O706" s="298" t="s">
        <v>35</v>
      </c>
      <c r="P706" s="314" t="s">
        <v>91</v>
      </c>
      <c r="Q706" s="307" t="s">
        <v>492</v>
      </c>
      <c r="R706" s="299" t="s">
        <v>268</v>
      </c>
      <c r="S706" s="223" t="s">
        <v>593</v>
      </c>
    </row>
    <row r="707" spans="1:19">
      <c r="A707" s="167">
        <v>690</v>
      </c>
      <c r="B707" s="428"/>
      <c r="F707" s="391">
        <v>143.08000000000001</v>
      </c>
      <c r="G707" s="144" t="s">
        <v>21</v>
      </c>
      <c r="H707" s="244">
        <v>52.382030487060547</v>
      </c>
      <c r="I707" s="449">
        <v>0.18</v>
      </c>
      <c r="J707" s="462">
        <v>-1.5490806770324701</v>
      </c>
      <c r="K707" s="530">
        <f t="shared" si="11"/>
        <v>8.3461404574611766</v>
      </c>
      <c r="L707" s="295" t="s">
        <v>272</v>
      </c>
      <c r="M707" s="317" t="s">
        <v>74</v>
      </c>
      <c r="N707" s="297" t="s">
        <v>274</v>
      </c>
      <c r="O707" s="298" t="s">
        <v>35</v>
      </c>
      <c r="P707" s="314" t="s">
        <v>91</v>
      </c>
      <c r="Q707" s="307" t="s">
        <v>492</v>
      </c>
      <c r="R707" s="299" t="s">
        <v>268</v>
      </c>
      <c r="S707" s="300" t="s">
        <v>596</v>
      </c>
    </row>
    <row r="708" spans="1:19">
      <c r="A708" s="167">
        <v>690</v>
      </c>
      <c r="B708" s="428"/>
      <c r="F708" s="391">
        <v>147.86000000000001</v>
      </c>
      <c r="G708" s="144" t="s">
        <v>21</v>
      </c>
      <c r="H708" s="244">
        <v>53.122093200683594</v>
      </c>
      <c r="I708" s="449">
        <v>-0.4</v>
      </c>
      <c r="J708" s="462">
        <v>-1.5490806770324701</v>
      </c>
      <c r="K708" s="530">
        <f t="shared" si="11"/>
        <v>10.887100434778986</v>
      </c>
      <c r="L708" s="295" t="s">
        <v>273</v>
      </c>
      <c r="M708" s="317" t="s">
        <v>74</v>
      </c>
      <c r="N708" s="297" t="s">
        <v>37</v>
      </c>
      <c r="O708" s="298" t="s">
        <v>35</v>
      </c>
      <c r="P708" s="314" t="s">
        <v>91</v>
      </c>
      <c r="Q708" s="307" t="s">
        <v>492</v>
      </c>
      <c r="R708" s="299" t="s">
        <v>268</v>
      </c>
      <c r="S708" s="223" t="s">
        <v>595</v>
      </c>
    </row>
    <row r="709" spans="1:19">
      <c r="A709" s="167">
        <v>690</v>
      </c>
      <c r="B709" s="428"/>
      <c r="F709" s="391">
        <v>147.86000000000001</v>
      </c>
      <c r="G709" s="144" t="s">
        <v>21</v>
      </c>
      <c r="H709" s="244">
        <v>53.122093200683594</v>
      </c>
      <c r="I709" s="449">
        <v>-2.0499999999999998</v>
      </c>
      <c r="J709" s="462">
        <v>-1.5490806770324701</v>
      </c>
      <c r="K709" s="530">
        <f t="shared" ref="K709:K748" si="12">16.1-4.64*($I709-J709)+0.09*($I709-J709)^2</f>
        <v>18.446848473700342</v>
      </c>
      <c r="L709" s="295" t="s">
        <v>392</v>
      </c>
      <c r="M709" s="317" t="s">
        <v>74</v>
      </c>
      <c r="N709" s="297" t="s">
        <v>37</v>
      </c>
      <c r="O709" s="298" t="s">
        <v>35</v>
      </c>
      <c r="P709" s="314" t="s">
        <v>91</v>
      </c>
      <c r="Q709" s="307" t="s">
        <v>492</v>
      </c>
      <c r="R709" s="299" t="s">
        <v>268</v>
      </c>
      <c r="S709" s="223" t="s">
        <v>595</v>
      </c>
    </row>
    <row r="710" spans="1:19">
      <c r="A710" s="177">
        <v>690</v>
      </c>
      <c r="B710" s="945"/>
      <c r="C710" s="183"/>
      <c r="D710" s="183"/>
      <c r="E710" s="183"/>
      <c r="F710" s="393">
        <v>147.86000000000001</v>
      </c>
      <c r="G710" s="221" t="s">
        <v>21</v>
      </c>
      <c r="H710" s="437">
        <v>53.122093200683594</v>
      </c>
      <c r="I710" s="456">
        <v>-1.34</v>
      </c>
      <c r="J710" s="939">
        <v>-1.5490806770324701</v>
      </c>
      <c r="K710" s="585">
        <f t="shared" si="12"/>
        <v>15.133799984225092</v>
      </c>
      <c r="L710" s="940" t="s">
        <v>392</v>
      </c>
      <c r="M710" s="386" t="s">
        <v>74</v>
      </c>
      <c r="N710" s="399" t="s">
        <v>274</v>
      </c>
      <c r="O710" s="390" t="s">
        <v>35</v>
      </c>
      <c r="P710" s="388" t="s">
        <v>91</v>
      </c>
      <c r="Q710" s="387" t="s">
        <v>492</v>
      </c>
      <c r="R710" s="944" t="s">
        <v>268</v>
      </c>
      <c r="S710" s="949" t="s">
        <v>595</v>
      </c>
    </row>
    <row r="711" spans="1:19">
      <c r="A711" s="167">
        <v>690</v>
      </c>
      <c r="B711" s="428"/>
      <c r="F711" s="156">
        <v>134.46</v>
      </c>
      <c r="G711" s="156" t="s">
        <v>21</v>
      </c>
      <c r="H711" s="156">
        <v>50.210227966308594</v>
      </c>
      <c r="I711" s="57">
        <v>-0.59</v>
      </c>
      <c r="J711" s="462">
        <v>-1.5490806770324701</v>
      </c>
      <c r="K711" s="491">
        <f t="shared" si="12"/>
        <v>11.732650875624476</v>
      </c>
      <c r="L711" s="295" t="s">
        <v>270</v>
      </c>
      <c r="M711" s="317" t="s">
        <v>74</v>
      </c>
      <c r="N711" s="297" t="s">
        <v>275</v>
      </c>
      <c r="O711" s="298" t="s">
        <v>44</v>
      </c>
      <c r="P711" s="314" t="s">
        <v>91</v>
      </c>
      <c r="Q711" s="307" t="s">
        <v>492</v>
      </c>
      <c r="R711" s="299" t="s">
        <v>268</v>
      </c>
      <c r="S711" s="223" t="s">
        <v>276</v>
      </c>
    </row>
    <row r="712" spans="1:19">
      <c r="A712" s="167">
        <v>690</v>
      </c>
      <c r="B712" s="428"/>
      <c r="F712" s="156">
        <v>135.19999999999999</v>
      </c>
      <c r="G712" s="156" t="s">
        <v>21</v>
      </c>
      <c r="H712" s="156">
        <v>50.479969024658203</v>
      </c>
      <c r="I712" s="57">
        <v>-0.26</v>
      </c>
      <c r="J712" s="462">
        <v>-1.5490806770324701</v>
      </c>
      <c r="K712" s="491">
        <f t="shared" si="12"/>
        <v>10.268221267840206</v>
      </c>
      <c r="L712" s="295" t="s">
        <v>270</v>
      </c>
      <c r="M712" s="317" t="s">
        <v>74</v>
      </c>
      <c r="N712" s="297" t="s">
        <v>275</v>
      </c>
      <c r="O712" s="298" t="s">
        <v>44</v>
      </c>
      <c r="P712" s="314" t="s">
        <v>91</v>
      </c>
      <c r="Q712" s="307" t="s">
        <v>492</v>
      </c>
      <c r="R712" s="299" t="s">
        <v>268</v>
      </c>
      <c r="S712" s="223" t="s">
        <v>593</v>
      </c>
    </row>
    <row r="713" spans="1:19">
      <c r="A713" s="167">
        <v>690</v>
      </c>
      <c r="B713" s="428"/>
      <c r="F713" s="156">
        <v>136.69999999999999</v>
      </c>
      <c r="G713" s="156" t="s">
        <v>21</v>
      </c>
      <c r="H713" s="156">
        <v>51.026741027832031</v>
      </c>
      <c r="I713" s="57">
        <v>-0.2</v>
      </c>
      <c r="J713" s="462">
        <v>-1.5490806770324701</v>
      </c>
      <c r="K713" s="491">
        <f t="shared" si="12"/>
        <v>10.004067339152154</v>
      </c>
      <c r="L713" s="295" t="s">
        <v>270</v>
      </c>
      <c r="M713" s="317" t="s">
        <v>74</v>
      </c>
      <c r="N713" s="297" t="s">
        <v>275</v>
      </c>
      <c r="O713" s="298" t="s">
        <v>44</v>
      </c>
      <c r="P713" s="314" t="s">
        <v>91</v>
      </c>
      <c r="Q713" s="307" t="s">
        <v>492</v>
      </c>
      <c r="R713" s="299" t="s">
        <v>268</v>
      </c>
      <c r="S713" s="223" t="s">
        <v>593</v>
      </c>
    </row>
    <row r="714" spans="1:19">
      <c r="A714" s="167">
        <v>690</v>
      </c>
      <c r="B714" s="428"/>
      <c r="F714" s="156">
        <v>137.46</v>
      </c>
      <c r="G714" s="156" t="s">
        <v>21</v>
      </c>
      <c r="H714" s="156">
        <v>51.256820678710938</v>
      </c>
      <c r="I714" s="57">
        <v>-0.18</v>
      </c>
      <c r="J714" s="462">
        <v>-1.5490806770324701</v>
      </c>
      <c r="K714" s="491">
        <f t="shared" si="12"/>
        <v>9.9161600295894718</v>
      </c>
      <c r="L714" s="295" t="s">
        <v>270</v>
      </c>
      <c r="M714" s="317" t="s">
        <v>74</v>
      </c>
      <c r="N714" s="297" t="s">
        <v>275</v>
      </c>
      <c r="O714" s="298" t="s">
        <v>44</v>
      </c>
      <c r="P714" s="314" t="s">
        <v>91</v>
      </c>
      <c r="Q714" s="307" t="s">
        <v>492</v>
      </c>
      <c r="R714" s="299" t="s">
        <v>268</v>
      </c>
      <c r="S714" s="223" t="s">
        <v>594</v>
      </c>
    </row>
    <row r="715" spans="1:19">
      <c r="A715" s="167">
        <v>690</v>
      </c>
      <c r="B715" s="428"/>
      <c r="F715" s="156">
        <v>138.16</v>
      </c>
      <c r="G715" s="156" t="s">
        <v>21</v>
      </c>
      <c r="H715" s="156">
        <v>51.385566711425781</v>
      </c>
      <c r="I715" s="57">
        <v>0</v>
      </c>
      <c r="J715" s="462">
        <v>-1.5490806770324701</v>
      </c>
      <c r="K715" s="491">
        <f t="shared" si="12"/>
        <v>9.1282342435253252</v>
      </c>
      <c r="L715" s="295" t="s">
        <v>270</v>
      </c>
      <c r="M715" s="317" t="s">
        <v>74</v>
      </c>
      <c r="N715" s="297" t="s">
        <v>275</v>
      </c>
      <c r="O715" s="298" t="s">
        <v>44</v>
      </c>
      <c r="P715" s="314" t="s">
        <v>91</v>
      </c>
      <c r="Q715" s="307" t="s">
        <v>492</v>
      </c>
      <c r="R715" s="299" t="s">
        <v>268</v>
      </c>
      <c r="S715" s="223" t="s">
        <v>594</v>
      </c>
    </row>
    <row r="716" spans="1:19">
      <c r="A716" s="167">
        <v>690</v>
      </c>
      <c r="B716" s="428"/>
      <c r="F716" s="156">
        <v>138.9</v>
      </c>
      <c r="G716" s="156" t="s">
        <v>21</v>
      </c>
      <c r="H716" s="156">
        <v>51.521671295166016</v>
      </c>
      <c r="I716" s="57">
        <v>0.1</v>
      </c>
      <c r="J716" s="462">
        <v>-1.5490806770324701</v>
      </c>
      <c r="K716" s="491">
        <f t="shared" si="12"/>
        <v>8.6930176957119087</v>
      </c>
      <c r="L716" s="295" t="s">
        <v>270</v>
      </c>
      <c r="M716" s="317" t="s">
        <v>74</v>
      </c>
      <c r="N716" s="297" t="s">
        <v>275</v>
      </c>
      <c r="O716" s="298" t="s">
        <v>44</v>
      </c>
      <c r="P716" s="314" t="s">
        <v>91</v>
      </c>
      <c r="Q716" s="307" t="s">
        <v>492</v>
      </c>
      <c r="R716" s="299" t="s">
        <v>268</v>
      </c>
      <c r="S716" s="223" t="s">
        <v>594</v>
      </c>
    </row>
    <row r="717" spans="1:19">
      <c r="A717" s="167">
        <v>690</v>
      </c>
      <c r="B717" s="428"/>
      <c r="F717" s="156">
        <v>138.9</v>
      </c>
      <c r="G717" s="156" t="s">
        <v>21</v>
      </c>
      <c r="H717" s="156">
        <v>51.521671295166016</v>
      </c>
      <c r="I717" s="57">
        <v>0.46</v>
      </c>
      <c r="J717" s="462">
        <v>-1.5490806770324701</v>
      </c>
      <c r="K717" s="491">
        <f t="shared" si="12"/>
        <v>7.1411421235836139</v>
      </c>
      <c r="L717" s="295" t="s">
        <v>270</v>
      </c>
      <c r="M717" s="317" t="s">
        <v>74</v>
      </c>
      <c r="N717" s="297" t="s">
        <v>275</v>
      </c>
      <c r="O717" s="298" t="s">
        <v>44</v>
      </c>
      <c r="P717" s="314" t="s">
        <v>91</v>
      </c>
      <c r="Q717" s="307" t="s">
        <v>492</v>
      </c>
      <c r="R717" s="299" t="s">
        <v>268</v>
      </c>
      <c r="S717" s="223" t="s">
        <v>594</v>
      </c>
    </row>
    <row r="718" spans="1:19">
      <c r="A718" s="167">
        <v>690</v>
      </c>
      <c r="B718" s="428"/>
      <c r="F718" s="156">
        <v>138.9</v>
      </c>
      <c r="G718" s="156" t="s">
        <v>21</v>
      </c>
      <c r="H718" s="156">
        <v>51.521671295166016</v>
      </c>
      <c r="I718" s="57">
        <v>-0.02</v>
      </c>
      <c r="J718" s="462">
        <v>-1.5490806770324701</v>
      </c>
      <c r="K718" s="491">
        <f t="shared" si="12"/>
        <v>9.215493553088006</v>
      </c>
      <c r="L718" s="295" t="s">
        <v>270</v>
      </c>
      <c r="M718" s="317" t="s">
        <v>74</v>
      </c>
      <c r="N718" s="297" t="s">
        <v>275</v>
      </c>
      <c r="O718" s="298" t="s">
        <v>44</v>
      </c>
      <c r="P718" s="314" t="s">
        <v>91</v>
      </c>
      <c r="Q718" s="307" t="s">
        <v>492</v>
      </c>
      <c r="R718" s="299" t="s">
        <v>268</v>
      </c>
      <c r="S718" s="223" t="s">
        <v>594</v>
      </c>
    </row>
    <row r="719" spans="1:19">
      <c r="A719" s="167">
        <v>690</v>
      </c>
      <c r="B719" s="428"/>
      <c r="F719" s="156">
        <v>140.4</v>
      </c>
      <c r="G719" s="156" t="s">
        <v>21</v>
      </c>
      <c r="H719" s="156">
        <v>51.797554016113281</v>
      </c>
      <c r="I719" s="57">
        <v>7.0000000000000007E-2</v>
      </c>
      <c r="J719" s="462">
        <v>-1.5490806770324701</v>
      </c>
      <c r="K719" s="491">
        <f t="shared" si="12"/>
        <v>8.8233936600559328</v>
      </c>
      <c r="L719" s="295" t="s">
        <v>270</v>
      </c>
      <c r="M719" s="317" t="s">
        <v>74</v>
      </c>
      <c r="N719" s="297" t="s">
        <v>275</v>
      </c>
      <c r="O719" s="298" t="s">
        <v>44</v>
      </c>
      <c r="P719" s="314" t="s">
        <v>91</v>
      </c>
      <c r="Q719" s="307" t="s">
        <v>492</v>
      </c>
      <c r="R719" s="299" t="s">
        <v>268</v>
      </c>
      <c r="S719" s="223" t="s">
        <v>594</v>
      </c>
    </row>
    <row r="720" spans="1:19">
      <c r="A720" s="167">
        <v>690</v>
      </c>
      <c r="B720" s="428"/>
      <c r="F720" s="156">
        <v>141.16</v>
      </c>
      <c r="G720" s="156" t="s">
        <v>21</v>
      </c>
      <c r="H720" s="156">
        <v>51.949352264404297</v>
      </c>
      <c r="I720" s="57">
        <v>0</v>
      </c>
      <c r="J720" s="462">
        <v>-1.5490806770324701</v>
      </c>
      <c r="K720" s="491">
        <f t="shared" si="12"/>
        <v>9.1282342435253252</v>
      </c>
      <c r="L720" s="295" t="s">
        <v>270</v>
      </c>
      <c r="M720" s="317" t="s">
        <v>74</v>
      </c>
      <c r="N720" s="297" t="s">
        <v>275</v>
      </c>
      <c r="O720" s="298" t="s">
        <v>44</v>
      </c>
      <c r="P720" s="314" t="s">
        <v>91</v>
      </c>
      <c r="Q720" s="307" t="s">
        <v>492</v>
      </c>
      <c r="R720" s="299" t="s">
        <v>268</v>
      </c>
      <c r="S720" s="223" t="s">
        <v>596</v>
      </c>
    </row>
    <row r="721" spans="1:19">
      <c r="A721" s="167">
        <v>690</v>
      </c>
      <c r="B721" s="428"/>
      <c r="F721" s="156">
        <v>141.16</v>
      </c>
      <c r="G721" s="156" t="s">
        <v>21</v>
      </c>
      <c r="H721" s="156">
        <v>51.949352264404297</v>
      </c>
      <c r="I721" s="57">
        <v>0.42</v>
      </c>
      <c r="J721" s="462">
        <v>-1.5490806770324701</v>
      </c>
      <c r="K721" s="491">
        <f t="shared" si="12"/>
        <v>7.3124207427089791</v>
      </c>
      <c r="L721" s="295" t="s">
        <v>270</v>
      </c>
      <c r="M721" s="317" t="s">
        <v>74</v>
      </c>
      <c r="N721" s="297" t="s">
        <v>275</v>
      </c>
      <c r="O721" s="298" t="s">
        <v>44</v>
      </c>
      <c r="P721" s="314" t="s">
        <v>91</v>
      </c>
      <c r="Q721" s="307" t="s">
        <v>492</v>
      </c>
      <c r="R721" s="299" t="s">
        <v>268</v>
      </c>
      <c r="S721" s="223" t="s">
        <v>596</v>
      </c>
    </row>
    <row r="722" spans="1:19">
      <c r="A722" s="167">
        <v>690</v>
      </c>
      <c r="B722" s="428"/>
      <c r="F722" s="156">
        <v>142.66</v>
      </c>
      <c r="G722" s="156" t="s">
        <v>21</v>
      </c>
      <c r="H722" s="156">
        <v>52.287380218505859</v>
      </c>
      <c r="I722" s="57">
        <v>0.28999999999999998</v>
      </c>
      <c r="J722" s="462">
        <v>-1.5490806770324701</v>
      </c>
      <c r="K722" s="491">
        <f t="shared" si="12"/>
        <v>7.8710652548664184</v>
      </c>
      <c r="L722" s="295" t="s">
        <v>270</v>
      </c>
      <c r="M722" s="317" t="s">
        <v>74</v>
      </c>
      <c r="N722" s="297" t="s">
        <v>275</v>
      </c>
      <c r="O722" s="298" t="s">
        <v>44</v>
      </c>
      <c r="P722" s="314" t="s">
        <v>91</v>
      </c>
      <c r="Q722" s="307" t="s">
        <v>492</v>
      </c>
      <c r="R722" s="299" t="s">
        <v>268</v>
      </c>
      <c r="S722" s="223" t="s">
        <v>596</v>
      </c>
    </row>
    <row r="723" spans="1:19">
      <c r="A723" s="167">
        <v>690</v>
      </c>
      <c r="B723" s="428"/>
      <c r="F723" s="156">
        <v>143.4</v>
      </c>
      <c r="G723" s="156" t="s">
        <v>21</v>
      </c>
      <c r="H723" s="156">
        <v>52.454139709472656</v>
      </c>
      <c r="I723" s="57">
        <v>0.09</v>
      </c>
      <c r="J723" s="462">
        <v>-1.5490806770324701</v>
      </c>
      <c r="K723" s="491">
        <f t="shared" si="12"/>
        <v>8.7364583504932511</v>
      </c>
      <c r="L723" s="295" t="s">
        <v>270</v>
      </c>
      <c r="M723" s="317" t="s">
        <v>74</v>
      </c>
      <c r="N723" s="297" t="s">
        <v>275</v>
      </c>
      <c r="O723" s="298" t="s">
        <v>44</v>
      </c>
      <c r="P723" s="314" t="s">
        <v>91</v>
      </c>
      <c r="Q723" s="307" t="s">
        <v>492</v>
      </c>
      <c r="R723" s="299" t="s">
        <v>268</v>
      </c>
      <c r="S723" s="223" t="s">
        <v>596</v>
      </c>
    </row>
    <row r="724" spans="1:19">
      <c r="A724" s="167">
        <v>690</v>
      </c>
      <c r="B724" s="428"/>
      <c r="F724" s="156">
        <v>143.4</v>
      </c>
      <c r="G724" s="156" t="s">
        <v>21</v>
      </c>
      <c r="H724" s="156">
        <v>52.454139709472656</v>
      </c>
      <c r="I724" s="57">
        <v>0.42</v>
      </c>
      <c r="J724" s="462">
        <v>-1.5490806770324701</v>
      </c>
      <c r="K724" s="491">
        <f t="shared" si="12"/>
        <v>7.3124207427089791</v>
      </c>
      <c r="L724" s="295" t="s">
        <v>270</v>
      </c>
      <c r="M724" s="317" t="s">
        <v>74</v>
      </c>
      <c r="N724" s="297" t="s">
        <v>275</v>
      </c>
      <c r="O724" s="298" t="s">
        <v>44</v>
      </c>
      <c r="P724" s="314" t="s">
        <v>91</v>
      </c>
      <c r="Q724" s="307" t="s">
        <v>492</v>
      </c>
      <c r="R724" s="299" t="s">
        <v>268</v>
      </c>
      <c r="S724" s="223" t="s">
        <v>596</v>
      </c>
    </row>
    <row r="725" spans="1:19">
      <c r="A725" s="167">
        <v>690</v>
      </c>
      <c r="B725" s="428"/>
      <c r="F725" s="156">
        <v>144.16</v>
      </c>
      <c r="G725" s="156" t="s">
        <v>21</v>
      </c>
      <c r="H725" s="156">
        <v>52.625408172607422</v>
      </c>
      <c r="I725" s="57">
        <v>0.46</v>
      </c>
      <c r="J725" s="462">
        <v>-1.5490806770324701</v>
      </c>
      <c r="K725" s="491">
        <f t="shared" si="12"/>
        <v>7.1411421235836139</v>
      </c>
      <c r="L725" s="295" t="s">
        <v>270</v>
      </c>
      <c r="M725" s="317" t="s">
        <v>74</v>
      </c>
      <c r="N725" s="297" t="s">
        <v>275</v>
      </c>
      <c r="O725" s="298" t="s">
        <v>44</v>
      </c>
      <c r="P725" s="314" t="s">
        <v>91</v>
      </c>
      <c r="Q725" s="307" t="s">
        <v>492</v>
      </c>
      <c r="R725" s="299" t="s">
        <v>268</v>
      </c>
      <c r="S725" s="223" t="s">
        <v>596</v>
      </c>
    </row>
    <row r="726" spans="1:19">
      <c r="A726" s="167">
        <v>690</v>
      </c>
      <c r="B726" s="428"/>
      <c r="F726" s="156">
        <v>145.66</v>
      </c>
      <c r="G726" s="156" t="s">
        <v>21</v>
      </c>
      <c r="H726" s="244">
        <v>52.8419189453125</v>
      </c>
      <c r="I726" s="449">
        <v>-0.17</v>
      </c>
      <c r="J726" s="462">
        <v>-1.5490806770324701</v>
      </c>
      <c r="K726" s="491">
        <f t="shared" si="12"/>
        <v>9.8722333748081308</v>
      </c>
      <c r="L726" s="295" t="s">
        <v>270</v>
      </c>
      <c r="M726" s="317" t="s">
        <v>74</v>
      </c>
      <c r="N726" s="297" t="s">
        <v>275</v>
      </c>
      <c r="O726" s="298" t="s">
        <v>44</v>
      </c>
      <c r="P726" s="314" t="s">
        <v>91</v>
      </c>
      <c r="Q726" s="307" t="s">
        <v>492</v>
      </c>
      <c r="R726" s="299" t="s">
        <v>268</v>
      </c>
      <c r="S726" s="223" t="s">
        <v>595</v>
      </c>
    </row>
    <row r="727" spans="1:19">
      <c r="A727" s="167">
        <v>690</v>
      </c>
      <c r="B727" s="428"/>
      <c r="F727" s="391">
        <v>146.4</v>
      </c>
      <c r="G727" s="156" t="s">
        <v>21</v>
      </c>
      <c r="H727" s="244">
        <v>52.9361572265625</v>
      </c>
      <c r="I727" s="449">
        <v>0.04</v>
      </c>
      <c r="J727" s="462">
        <v>-1.5490806770324701</v>
      </c>
      <c r="K727" s="491">
        <f t="shared" si="12"/>
        <v>8.9539316243999583</v>
      </c>
      <c r="L727" s="295" t="s">
        <v>270</v>
      </c>
      <c r="M727" s="317" t="s">
        <v>74</v>
      </c>
      <c r="N727" s="297" t="s">
        <v>275</v>
      </c>
      <c r="O727" s="298" t="s">
        <v>44</v>
      </c>
      <c r="P727" s="314" t="s">
        <v>91</v>
      </c>
      <c r="Q727" s="307" t="s">
        <v>492</v>
      </c>
      <c r="R727" s="299" t="s">
        <v>268</v>
      </c>
      <c r="S727" s="223" t="s">
        <v>595</v>
      </c>
    </row>
    <row r="728" spans="1:19">
      <c r="A728" s="167">
        <v>690</v>
      </c>
      <c r="B728" s="428"/>
      <c r="F728" s="391">
        <v>147.16</v>
      </c>
      <c r="G728" s="156" t="s">
        <v>21</v>
      </c>
      <c r="H728" s="244">
        <v>53.032947540283203</v>
      </c>
      <c r="I728" s="449">
        <v>0.11</v>
      </c>
      <c r="J728" s="462">
        <v>-1.5490806770324701</v>
      </c>
      <c r="K728" s="491">
        <f t="shared" si="12"/>
        <v>8.6495950409305671</v>
      </c>
      <c r="L728" s="295" t="s">
        <v>270</v>
      </c>
      <c r="M728" s="317" t="s">
        <v>74</v>
      </c>
      <c r="N728" s="297" t="s">
        <v>275</v>
      </c>
      <c r="O728" s="298" t="s">
        <v>44</v>
      </c>
      <c r="P728" s="314" t="s">
        <v>91</v>
      </c>
      <c r="Q728" s="307" t="s">
        <v>492</v>
      </c>
      <c r="R728" s="299" t="s">
        <v>268</v>
      </c>
      <c r="S728" s="223" t="s">
        <v>595</v>
      </c>
    </row>
    <row r="729" spans="1:19">
      <c r="A729" s="167">
        <v>690</v>
      </c>
      <c r="B729" s="428"/>
      <c r="F729" s="391">
        <v>147.86000000000001</v>
      </c>
      <c r="G729" s="156" t="s">
        <v>21</v>
      </c>
      <c r="H729" s="244">
        <v>53.122093200683594</v>
      </c>
      <c r="I729" s="449">
        <v>0.32</v>
      </c>
      <c r="J729" s="462">
        <v>-1.5490806770324701</v>
      </c>
      <c r="K729" s="491">
        <f t="shared" si="12"/>
        <v>7.7418772905223951</v>
      </c>
      <c r="L729" s="295" t="s">
        <v>270</v>
      </c>
      <c r="M729" s="317" t="s">
        <v>74</v>
      </c>
      <c r="N729" s="297" t="s">
        <v>275</v>
      </c>
      <c r="O729" s="298" t="s">
        <v>44</v>
      </c>
      <c r="P729" s="314" t="s">
        <v>91</v>
      </c>
      <c r="Q729" s="307" t="s">
        <v>492</v>
      </c>
      <c r="R729" s="299" t="s">
        <v>268</v>
      </c>
      <c r="S729" s="223" t="s">
        <v>595</v>
      </c>
    </row>
    <row r="730" spans="1:19">
      <c r="A730" s="167">
        <v>690</v>
      </c>
      <c r="B730" s="428"/>
      <c r="F730" s="391">
        <v>135.38999999999999</v>
      </c>
      <c r="G730" s="156" t="s">
        <v>21</v>
      </c>
      <c r="H730" s="244">
        <v>50.549224853515625</v>
      </c>
      <c r="I730" s="449">
        <v>-0.05</v>
      </c>
      <c r="J730" s="462">
        <v>-1.5490806770324701</v>
      </c>
      <c r="K730" s="491">
        <f t="shared" si="12"/>
        <v>9.3465175174320336</v>
      </c>
      <c r="L730" s="295" t="s">
        <v>255</v>
      </c>
      <c r="M730" s="317" t="s">
        <v>74</v>
      </c>
      <c r="N730" s="297" t="s">
        <v>274</v>
      </c>
      <c r="O730" s="298" t="s">
        <v>44</v>
      </c>
      <c r="P730" s="314" t="s">
        <v>91</v>
      </c>
      <c r="Q730" s="307" t="s">
        <v>492</v>
      </c>
      <c r="R730" s="299" t="s">
        <v>268</v>
      </c>
      <c r="S730" s="223" t="s">
        <v>593</v>
      </c>
    </row>
    <row r="731" spans="1:19">
      <c r="A731" s="167">
        <v>690</v>
      </c>
      <c r="B731" s="428"/>
      <c r="F731" s="391">
        <v>138.58000000000001</v>
      </c>
      <c r="G731" s="156" t="s">
        <v>21</v>
      </c>
      <c r="H731" s="244">
        <v>51.462814331054688</v>
      </c>
      <c r="I731" s="449">
        <v>0.32</v>
      </c>
      <c r="J731" s="462">
        <v>-1.5490806770324701</v>
      </c>
      <c r="K731" s="491">
        <f t="shared" si="12"/>
        <v>7.7418772905223951</v>
      </c>
      <c r="L731" s="295" t="s">
        <v>255</v>
      </c>
      <c r="M731" s="317" t="s">
        <v>74</v>
      </c>
      <c r="N731" s="297" t="s">
        <v>37</v>
      </c>
      <c r="O731" s="298" t="s">
        <v>44</v>
      </c>
      <c r="P731" s="314" t="s">
        <v>91</v>
      </c>
      <c r="Q731" s="307" t="s">
        <v>492</v>
      </c>
      <c r="R731" s="299" t="s">
        <v>268</v>
      </c>
      <c r="S731" s="223" t="s">
        <v>594</v>
      </c>
    </row>
    <row r="732" spans="1:19">
      <c r="A732" s="167">
        <v>690</v>
      </c>
      <c r="B732" s="428"/>
      <c r="F732" s="391">
        <v>140.08000000000001</v>
      </c>
      <c r="G732" s="156" t="s">
        <v>21</v>
      </c>
      <c r="H732" s="244">
        <v>51.738700866699219</v>
      </c>
      <c r="I732" s="449">
        <v>-0.03</v>
      </c>
      <c r="J732" s="462">
        <v>-1.5490806770324701</v>
      </c>
      <c r="K732" s="491">
        <f t="shared" si="12"/>
        <v>9.2591502078693502</v>
      </c>
      <c r="L732" s="295" t="s">
        <v>255</v>
      </c>
      <c r="M732" s="317" t="s">
        <v>74</v>
      </c>
      <c r="N732" s="297" t="s">
        <v>37</v>
      </c>
      <c r="O732" s="298" t="s">
        <v>44</v>
      </c>
      <c r="P732" s="314" t="s">
        <v>91</v>
      </c>
      <c r="Q732" s="307" t="s">
        <v>492</v>
      </c>
      <c r="R732" s="299" t="s">
        <v>268</v>
      </c>
      <c r="S732" s="223" t="s">
        <v>594</v>
      </c>
    </row>
    <row r="733" spans="1:19">
      <c r="A733" s="167">
        <v>690</v>
      </c>
      <c r="B733" s="428"/>
      <c r="F733" s="391">
        <v>140.08000000000001</v>
      </c>
      <c r="G733" s="156" t="s">
        <v>21</v>
      </c>
      <c r="H733" s="244">
        <v>51.738700866699219</v>
      </c>
      <c r="I733" s="449">
        <v>0.28000000000000003</v>
      </c>
      <c r="J733" s="462">
        <v>-1.5490806770324701</v>
      </c>
      <c r="K733" s="491">
        <f t="shared" si="12"/>
        <v>7.9141639096477601</v>
      </c>
      <c r="L733" s="295" t="s">
        <v>255</v>
      </c>
      <c r="M733" s="317" t="s">
        <v>74</v>
      </c>
      <c r="N733" s="297" t="s">
        <v>274</v>
      </c>
      <c r="O733" s="298" t="s">
        <v>44</v>
      </c>
      <c r="P733" s="314" t="s">
        <v>91</v>
      </c>
      <c r="Q733" s="307" t="s">
        <v>492</v>
      </c>
      <c r="R733" s="299" t="s">
        <v>268</v>
      </c>
      <c r="S733" s="223" t="s">
        <v>594</v>
      </c>
    </row>
    <row r="734" spans="1:19">
      <c r="A734" s="167">
        <v>690</v>
      </c>
      <c r="B734" s="428"/>
      <c r="F734" s="391">
        <v>144.58000000000001</v>
      </c>
      <c r="G734" s="156" t="s">
        <v>21</v>
      </c>
      <c r="H734" s="244">
        <v>52.704376220703125</v>
      </c>
      <c r="I734" s="449">
        <v>0.66</v>
      </c>
      <c r="J734" s="462">
        <v>-1.5490806770324701</v>
      </c>
      <c r="K734" s="491">
        <f t="shared" si="12"/>
        <v>6.2890690279567822</v>
      </c>
      <c r="L734" s="295" t="s">
        <v>255</v>
      </c>
      <c r="M734" s="317" t="s">
        <v>74</v>
      </c>
      <c r="N734" s="297" t="s">
        <v>274</v>
      </c>
      <c r="O734" s="298" t="s">
        <v>44</v>
      </c>
      <c r="P734" s="314" t="s">
        <v>91</v>
      </c>
      <c r="Q734" s="307" t="s">
        <v>492</v>
      </c>
      <c r="R734" s="299" t="s">
        <v>268</v>
      </c>
      <c r="S734" s="223" t="s">
        <v>595</v>
      </c>
    </row>
    <row r="735" spans="1:19">
      <c r="A735" s="167">
        <v>690</v>
      </c>
      <c r="B735" s="428"/>
      <c r="F735" s="391">
        <v>146.08000000000001</v>
      </c>
      <c r="G735" s="156" t="s">
        <v>21</v>
      </c>
      <c r="H735" s="244">
        <v>52.895404815673828</v>
      </c>
      <c r="I735" s="449">
        <v>0.52</v>
      </c>
      <c r="J735" s="462">
        <v>-1.5490806770324701</v>
      </c>
      <c r="K735" s="491">
        <f t="shared" si="12"/>
        <v>6.8847641948955633</v>
      </c>
      <c r="L735" s="295" t="s">
        <v>255</v>
      </c>
      <c r="M735" s="317" t="s">
        <v>74</v>
      </c>
      <c r="N735" s="297" t="s">
        <v>274</v>
      </c>
      <c r="O735" s="298" t="s">
        <v>44</v>
      </c>
      <c r="P735" s="314" t="s">
        <v>91</v>
      </c>
      <c r="Q735" s="307" t="s">
        <v>492</v>
      </c>
      <c r="R735" s="299" t="s">
        <v>268</v>
      </c>
      <c r="S735" s="223" t="s">
        <v>595</v>
      </c>
    </row>
    <row r="736" spans="1:19">
      <c r="A736" s="167">
        <v>690</v>
      </c>
      <c r="B736" s="428"/>
      <c r="F736" s="391">
        <v>148.30000000000001</v>
      </c>
      <c r="G736" s="156" t="s">
        <v>21</v>
      </c>
      <c r="H736" s="244">
        <v>53.178131103515625</v>
      </c>
      <c r="I736" s="449">
        <v>0.46</v>
      </c>
      <c r="J736" s="462">
        <v>-1.5490806770324701</v>
      </c>
      <c r="K736" s="491">
        <f t="shared" si="12"/>
        <v>7.1411421235836139</v>
      </c>
      <c r="L736" s="295" t="s">
        <v>255</v>
      </c>
      <c r="M736" s="317" t="s">
        <v>74</v>
      </c>
      <c r="N736" s="297" t="s">
        <v>37</v>
      </c>
      <c r="O736" s="298" t="s">
        <v>44</v>
      </c>
      <c r="P736" s="314" t="s">
        <v>91</v>
      </c>
      <c r="Q736" s="307" t="s">
        <v>492</v>
      </c>
      <c r="R736" s="299" t="s">
        <v>268</v>
      </c>
      <c r="S736" s="223" t="s">
        <v>595</v>
      </c>
    </row>
    <row r="737" spans="1:19">
      <c r="A737" s="167">
        <v>690</v>
      </c>
      <c r="B737" s="428"/>
      <c r="F737" s="391">
        <v>148.30000000000001</v>
      </c>
      <c r="G737" s="156" t="s">
        <v>21</v>
      </c>
      <c r="H737" s="244">
        <v>53.178131103515625</v>
      </c>
      <c r="I737" s="449">
        <v>0.52</v>
      </c>
      <c r="J737" s="462">
        <v>-1.5490806770324701</v>
      </c>
      <c r="K737" s="491">
        <f t="shared" si="12"/>
        <v>6.8847641948955633</v>
      </c>
      <c r="L737" s="295" t="s">
        <v>255</v>
      </c>
      <c r="M737" s="317" t="s">
        <v>74</v>
      </c>
      <c r="N737" s="297" t="s">
        <v>274</v>
      </c>
      <c r="O737" s="298" t="s">
        <v>44</v>
      </c>
      <c r="P737" s="314" t="s">
        <v>91</v>
      </c>
      <c r="Q737" s="307" t="s">
        <v>492</v>
      </c>
      <c r="R737" s="299" t="s">
        <v>268</v>
      </c>
      <c r="S737" s="223" t="s">
        <v>595</v>
      </c>
    </row>
    <row r="738" spans="1:19">
      <c r="A738" s="167">
        <v>690</v>
      </c>
      <c r="B738" s="428"/>
      <c r="F738" s="391">
        <v>149.80000000000001</v>
      </c>
      <c r="H738" s="244">
        <v>53.369159698486328</v>
      </c>
      <c r="I738" s="449">
        <v>0.35399999999999998</v>
      </c>
      <c r="J738" s="462">
        <v>-1.5490806770324701</v>
      </c>
      <c r="K738" s="491">
        <f t="shared" si="12"/>
        <v>7.595660104265832</v>
      </c>
      <c r="L738" s="295" t="s">
        <v>255</v>
      </c>
      <c r="M738" s="317" t="s">
        <v>74</v>
      </c>
      <c r="N738" s="297" t="s">
        <v>37</v>
      </c>
      <c r="O738" s="298" t="s">
        <v>44</v>
      </c>
      <c r="P738" s="314" t="s">
        <v>91</v>
      </c>
      <c r="Q738" s="307" t="s">
        <v>492</v>
      </c>
      <c r="R738" s="299" t="s">
        <v>268</v>
      </c>
      <c r="S738" s="223"/>
    </row>
    <row r="739" spans="1:19">
      <c r="A739" s="167">
        <v>690</v>
      </c>
      <c r="B739" s="428"/>
      <c r="F739" s="391">
        <v>151.30000000000001</v>
      </c>
      <c r="H739" s="244">
        <v>53.560188293457031</v>
      </c>
      <c r="I739" s="449">
        <v>0.32</v>
      </c>
      <c r="J739" s="462">
        <v>-1.5490806770324701</v>
      </c>
      <c r="K739" s="491">
        <f t="shared" si="12"/>
        <v>7.7418772905223951</v>
      </c>
      <c r="L739" s="295" t="s">
        <v>255</v>
      </c>
      <c r="M739" s="317" t="s">
        <v>74</v>
      </c>
      <c r="N739" s="297" t="s">
        <v>37</v>
      </c>
      <c r="O739" s="298" t="s">
        <v>44</v>
      </c>
      <c r="P739" s="314" t="s">
        <v>91</v>
      </c>
      <c r="Q739" s="307" t="s">
        <v>492</v>
      </c>
      <c r="R739" s="299" t="s">
        <v>268</v>
      </c>
      <c r="S739" s="223"/>
    </row>
    <row r="740" spans="1:19">
      <c r="A740" s="167">
        <v>690</v>
      </c>
      <c r="B740" s="428"/>
      <c r="F740" s="391">
        <v>151.30000000000001</v>
      </c>
      <c r="H740" s="244">
        <v>53.560188293457031</v>
      </c>
      <c r="I740" s="449">
        <v>0.22</v>
      </c>
      <c r="J740" s="462">
        <v>-1.5490806770324701</v>
      </c>
      <c r="K740" s="491">
        <f t="shared" si="12"/>
        <v>8.1731338383358114</v>
      </c>
      <c r="L740" s="295" t="s">
        <v>255</v>
      </c>
      <c r="M740" s="317" t="s">
        <v>74</v>
      </c>
      <c r="N740" s="297" t="s">
        <v>274</v>
      </c>
      <c r="O740" s="298" t="s">
        <v>44</v>
      </c>
      <c r="P740" s="314" t="s">
        <v>91</v>
      </c>
      <c r="Q740" s="307" t="s">
        <v>492</v>
      </c>
      <c r="R740" s="299" t="s">
        <v>268</v>
      </c>
      <c r="S740" s="223"/>
    </row>
    <row r="741" spans="1:19">
      <c r="A741" s="167">
        <v>690</v>
      </c>
      <c r="B741" s="428"/>
      <c r="F741" s="391">
        <v>152.80000000000001</v>
      </c>
      <c r="H741" s="244">
        <v>53.751216888427734</v>
      </c>
      <c r="I741" s="449">
        <v>0.39</v>
      </c>
      <c r="J741" s="462">
        <v>-1.5490806770324701</v>
      </c>
      <c r="K741" s="491">
        <f t="shared" si="12"/>
        <v>7.4410687070530024</v>
      </c>
      <c r="L741" s="295" t="s">
        <v>255</v>
      </c>
      <c r="M741" s="317" t="s">
        <v>74</v>
      </c>
      <c r="N741" s="297" t="s">
        <v>37</v>
      </c>
      <c r="O741" s="298" t="s">
        <v>44</v>
      </c>
      <c r="P741" s="314" t="s">
        <v>91</v>
      </c>
      <c r="Q741" s="307" t="s">
        <v>492</v>
      </c>
      <c r="R741" s="299" t="s">
        <v>268</v>
      </c>
      <c r="S741" s="223"/>
    </row>
    <row r="742" spans="1:19">
      <c r="A742" s="167">
        <v>690</v>
      </c>
      <c r="B742" s="428"/>
      <c r="F742" s="391">
        <v>152.80000000000001</v>
      </c>
      <c r="H742" s="244">
        <v>53.751216888427734</v>
      </c>
      <c r="I742" s="449">
        <v>0.23</v>
      </c>
      <c r="J742" s="462">
        <v>-1.5490806770324701</v>
      </c>
      <c r="K742" s="491">
        <f t="shared" si="12"/>
        <v>8.1299271835544697</v>
      </c>
      <c r="L742" s="295" t="s">
        <v>255</v>
      </c>
      <c r="M742" s="317" t="s">
        <v>74</v>
      </c>
      <c r="N742" s="297" t="s">
        <v>274</v>
      </c>
      <c r="O742" s="298" t="s">
        <v>44</v>
      </c>
      <c r="P742" s="314" t="s">
        <v>91</v>
      </c>
      <c r="Q742" s="307" t="s">
        <v>492</v>
      </c>
      <c r="R742" s="299" t="s">
        <v>268</v>
      </c>
      <c r="S742" s="300"/>
    </row>
    <row r="743" spans="1:19">
      <c r="A743" s="167">
        <v>690</v>
      </c>
      <c r="B743" s="428"/>
      <c r="F743" s="391">
        <v>154.30000000000001</v>
      </c>
      <c r="H743" s="244">
        <v>53.942249298095703</v>
      </c>
      <c r="I743" s="449">
        <v>0.35</v>
      </c>
      <c r="J743" s="462">
        <v>-1.5490806770324701</v>
      </c>
      <c r="K743" s="491">
        <f t="shared" si="12"/>
        <v>7.6128513261783697</v>
      </c>
      <c r="L743" s="295" t="s">
        <v>255</v>
      </c>
      <c r="M743" s="317" t="s">
        <v>74</v>
      </c>
      <c r="N743" s="297" t="s">
        <v>37</v>
      </c>
      <c r="O743" s="298" t="s">
        <v>44</v>
      </c>
      <c r="P743" s="314" t="s">
        <v>91</v>
      </c>
      <c r="Q743" s="307" t="s">
        <v>492</v>
      </c>
      <c r="R743" s="299" t="s">
        <v>268</v>
      </c>
      <c r="S743" s="300"/>
    </row>
    <row r="744" spans="1:19">
      <c r="A744" s="167">
        <v>690</v>
      </c>
      <c r="B744" s="428"/>
      <c r="F744" s="391">
        <v>155.80000000000001</v>
      </c>
      <c r="H744" s="244">
        <v>54.123489379882813</v>
      </c>
      <c r="I744" s="449">
        <v>0.25</v>
      </c>
      <c r="J744" s="462">
        <v>-1.5490806770324701</v>
      </c>
      <c r="K744" s="491">
        <f t="shared" si="12"/>
        <v>8.0435678739917851</v>
      </c>
      <c r="L744" s="295" t="s">
        <v>255</v>
      </c>
      <c r="M744" s="317" t="s">
        <v>74</v>
      </c>
      <c r="N744" s="297" t="s">
        <v>274</v>
      </c>
      <c r="O744" s="298" t="s">
        <v>44</v>
      </c>
      <c r="P744" s="314" t="s">
        <v>91</v>
      </c>
      <c r="Q744" s="307" t="s">
        <v>492</v>
      </c>
      <c r="R744" s="299" t="s">
        <v>268</v>
      </c>
      <c r="S744" s="300"/>
    </row>
    <row r="745" spans="1:19">
      <c r="A745" s="167">
        <v>690</v>
      </c>
      <c r="B745" s="428"/>
      <c r="F745" s="391">
        <v>156.66999999999999</v>
      </c>
      <c r="H745" s="244">
        <v>54.227073669433594</v>
      </c>
      <c r="I745" s="449">
        <v>0.16</v>
      </c>
      <c r="J745" s="462">
        <v>-1.5490806770324701</v>
      </c>
      <c r="K745" s="491">
        <f t="shared" si="12"/>
        <v>8.4327517670238592</v>
      </c>
      <c r="L745" s="295" t="s">
        <v>255</v>
      </c>
      <c r="M745" s="317" t="s">
        <v>74</v>
      </c>
      <c r="N745" s="297" t="s">
        <v>37</v>
      </c>
      <c r="O745" s="298" t="s">
        <v>44</v>
      </c>
      <c r="P745" s="314" t="s">
        <v>91</v>
      </c>
      <c r="Q745" s="307" t="s">
        <v>492</v>
      </c>
      <c r="R745" s="299" t="s">
        <v>268</v>
      </c>
      <c r="S745" s="300"/>
    </row>
    <row r="746" spans="1:19">
      <c r="A746" s="167">
        <v>690</v>
      </c>
      <c r="B746" s="428"/>
      <c r="F746" s="391">
        <v>156.66999999999999</v>
      </c>
      <c r="H746" s="244">
        <v>54.227073669433594</v>
      </c>
      <c r="I746" s="449">
        <v>0.16</v>
      </c>
      <c r="J746" s="462">
        <v>-1.5490806770324701</v>
      </c>
      <c r="K746" s="491">
        <f t="shared" si="12"/>
        <v>8.4327517670238592</v>
      </c>
      <c r="L746" s="295" t="s">
        <v>255</v>
      </c>
      <c r="M746" s="317" t="s">
        <v>74</v>
      </c>
      <c r="N746" s="297" t="s">
        <v>274</v>
      </c>
      <c r="O746" s="298" t="s">
        <v>44</v>
      </c>
      <c r="P746" s="314" t="s">
        <v>91</v>
      </c>
      <c r="Q746" s="307" t="s">
        <v>492</v>
      </c>
      <c r="R746" s="299" t="s">
        <v>268</v>
      </c>
      <c r="S746" s="300"/>
    </row>
    <row r="747" spans="1:19">
      <c r="A747" s="167">
        <v>690</v>
      </c>
      <c r="B747" s="428"/>
      <c r="F747" s="391">
        <v>159.49</v>
      </c>
      <c r="H747" s="244">
        <v>54.562824249267578</v>
      </c>
      <c r="I747" s="449">
        <v>0.12</v>
      </c>
      <c r="J747" s="462">
        <v>-1.5490806770324701</v>
      </c>
      <c r="K747" s="491">
        <f t="shared" si="12"/>
        <v>8.6061903861492262</v>
      </c>
      <c r="L747" s="295" t="s">
        <v>255</v>
      </c>
      <c r="M747" s="317" t="s">
        <v>74</v>
      </c>
      <c r="N747" s="297" t="s">
        <v>37</v>
      </c>
      <c r="O747" s="298" t="s">
        <v>44</v>
      </c>
      <c r="P747" s="314" t="s">
        <v>91</v>
      </c>
      <c r="Q747" s="307" t="s">
        <v>492</v>
      </c>
      <c r="R747" s="299" t="s">
        <v>268</v>
      </c>
      <c r="S747" s="300"/>
    </row>
    <row r="748" spans="1:19">
      <c r="A748" s="167">
        <v>690</v>
      </c>
      <c r="B748" s="428"/>
      <c r="F748" s="391">
        <v>160.99</v>
      </c>
      <c r="H748" s="244">
        <v>54.741413116455078</v>
      </c>
      <c r="I748" s="449">
        <v>0.12</v>
      </c>
      <c r="J748" s="462">
        <v>-1.5490806770324701</v>
      </c>
      <c r="K748" s="491">
        <f t="shared" si="12"/>
        <v>8.6061903861492262</v>
      </c>
      <c r="L748" s="295" t="s">
        <v>255</v>
      </c>
      <c r="M748" s="317" t="s">
        <v>74</v>
      </c>
      <c r="N748" s="297" t="s">
        <v>274</v>
      </c>
      <c r="O748" s="298" t="s">
        <v>44</v>
      </c>
      <c r="P748" s="314" t="s">
        <v>91</v>
      </c>
      <c r="Q748" s="307" t="s">
        <v>492</v>
      </c>
      <c r="R748" s="299" t="s">
        <v>268</v>
      </c>
      <c r="S748" s="300"/>
    </row>
    <row r="749" spans="1:19" ht="13.5" thickBot="1">
      <c r="A749" s="200"/>
      <c r="B749" s="201"/>
      <c r="C749" s="201"/>
      <c r="D749" s="201"/>
      <c r="E749" s="201"/>
      <c r="F749" s="202"/>
      <c r="G749" s="202"/>
      <c r="H749" s="202"/>
      <c r="I749" s="326"/>
      <c r="J749" s="201"/>
      <c r="K749" s="632"/>
      <c r="L749" s="325"/>
      <c r="M749" s="202"/>
      <c r="N749" s="327"/>
      <c r="O749" s="328"/>
      <c r="P749" s="664"/>
      <c r="Q749" s="442"/>
      <c r="R749" s="329"/>
      <c r="S749" s="329"/>
    </row>
    <row r="751" spans="1:19" ht="13.5" thickBot="1"/>
    <row r="752" spans="1:19" ht="13.5" thickBot="1">
      <c r="G752" s="729"/>
      <c r="H752" s="730" t="s">
        <v>607</v>
      </c>
      <c r="I752" s="730" t="s">
        <v>605</v>
      </c>
      <c r="J752" s="731">
        <v>0.05</v>
      </c>
      <c r="K752" s="730" t="s">
        <v>602</v>
      </c>
      <c r="L752" s="731">
        <v>0.95</v>
      </c>
      <c r="M752" s="732" t="s">
        <v>606</v>
      </c>
    </row>
    <row r="753" spans="7:13">
      <c r="G753" s="673" t="s">
        <v>21</v>
      </c>
      <c r="H753" s="674">
        <f>COUNT($K699:$K705,$K706:$K707,$K708,$K709:$K710)</f>
        <v>12</v>
      </c>
      <c r="I753" s="675">
        <f>MIN($K699:$K705,$K706:$K707,$K708,$K709:$K710)</f>
        <v>5.2760853132045851</v>
      </c>
      <c r="J753" s="675">
        <f>_xlfn.PERCENTILE.INC(($K699:$K705,$K706:$K707,$K708,$K709:$K710),0.05)</f>
        <v>6.9646156425457111</v>
      </c>
      <c r="K753" s="675">
        <f>AVERAGE($K699:$K705,$K706:$K707,$K708,$K709:$K710)</f>
        <v>12.867060699506899</v>
      </c>
      <c r="L753" s="675">
        <f>_xlfn.PERCENTILE.INC(($K699:$K705,$K706:$K707,$K708,$K709:$K710),0.95)</f>
        <v>17.030947166564758</v>
      </c>
      <c r="M753" s="676">
        <f>MAX($K699:$K705,$K706:$K707,$K708,$K709:$K710)</f>
        <v>18.446848473700342</v>
      </c>
    </row>
    <row r="754" spans="7:13">
      <c r="G754" s="673" t="s">
        <v>20</v>
      </c>
      <c r="H754" s="674">
        <f>COUNT($K16:$K21,$K122:$K214)</f>
        <v>99</v>
      </c>
      <c r="I754" s="675">
        <f>MIN($K16:$K21,$K122:$K214)</f>
        <v>13.488612412096796</v>
      </c>
      <c r="J754" s="675">
        <f>_xlfn.PERCENTILE.INC(($K16:$K21,$K122:$K214),0.05)</f>
        <v>14.121073713557443</v>
      </c>
      <c r="K754" s="675">
        <f>AVERAGE($K16:$K21,$K122:$K214)</f>
        <v>17.446584092805679</v>
      </c>
      <c r="L754" s="675">
        <f>_xlfn.PERCENTILE.INC(($K16:$K21,$K122:$K214),0.95)</f>
        <v>21.433528532056052</v>
      </c>
      <c r="M754" s="676">
        <f>MAX($K16:$K21,$K122:$K214)</f>
        <v>21.899223617956935</v>
      </c>
    </row>
    <row r="755" spans="7:13" ht="13.5" thickBot="1">
      <c r="G755" s="677" t="s">
        <v>601</v>
      </c>
      <c r="H755" s="678">
        <f>COUNT($K24:$K44,$K319:$K378)</f>
        <v>81</v>
      </c>
      <c r="I755" s="679">
        <f>MIN($K24:$K44,$K319:$K378)</f>
        <v>7.4410687070530024</v>
      </c>
      <c r="J755" s="679">
        <f>_xlfn.PERCENTILE.INC(($K24:$K44,$K319:$K378),0.05)</f>
        <v>8.8233936600559328</v>
      </c>
      <c r="K755" s="679">
        <f>AVERAGE($K24:$K44,$K319:$K378)</f>
        <v>11.106395910618531</v>
      </c>
      <c r="L755" s="679">
        <f>_xlfn.PERCENTILE.INC(($K24:$K44,$K319:$K378),0.95)</f>
        <v>15.502565222475825</v>
      </c>
      <c r="M755" s="680">
        <f>MAX($K24:$K44,$K319:$K378)</f>
        <v>16.011498425070581</v>
      </c>
    </row>
  </sheetData>
  <sortState xmlns:xlrd2="http://schemas.microsoft.com/office/spreadsheetml/2017/richdata2" ref="F690:P696">
    <sortCondition ref="F690"/>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zoomScale="70" zoomScaleNormal="70" zoomScalePageLayoutView="70" workbookViewId="0">
      <selection activeCell="B4" sqref="B4"/>
    </sheetView>
  </sheetViews>
  <sheetFormatPr defaultColWidth="10.625" defaultRowHeight="12.75"/>
  <cols>
    <col min="1" max="1" width="15.625" style="69" customWidth="1"/>
    <col min="2" max="2" width="30.625" style="69" customWidth="1"/>
    <col min="3" max="5" width="10.625" style="69"/>
    <col min="6" max="6" width="10.625" style="156"/>
    <col min="7" max="7" width="14.375" style="156" bestFit="1" customWidth="1"/>
    <col min="8" max="9" width="10.625" style="156"/>
    <col min="10" max="10" width="10.625" style="69"/>
    <col min="11" max="11" width="28.5" style="69" customWidth="1"/>
    <col min="12" max="12" width="25.375" style="156" bestFit="1" customWidth="1"/>
    <col min="13" max="13" width="16.375" style="69" bestFit="1" customWidth="1"/>
    <col min="14" max="15" width="10.625" style="69"/>
    <col min="16" max="16" width="15.625" style="69" bestFit="1" customWidth="1"/>
    <col min="17" max="17" width="42" style="69" customWidth="1"/>
    <col min="18" max="18" width="18" style="69" bestFit="1" customWidth="1"/>
    <col min="19" max="19" width="78.5" style="69" bestFit="1" customWidth="1"/>
    <col min="20" max="16384" width="10.625" style="69"/>
  </cols>
  <sheetData>
    <row r="1" spans="1:19" s="11" customFormat="1" ht="15.75">
      <c r="A1" s="205" t="s">
        <v>62</v>
      </c>
      <c r="B1" s="205" t="s">
        <v>373</v>
      </c>
      <c r="C1" s="207"/>
      <c r="D1" s="20"/>
      <c r="E1" s="20"/>
      <c r="F1" s="20"/>
      <c r="G1" s="20"/>
      <c r="H1" s="20"/>
      <c r="I1" s="20"/>
      <c r="J1" s="20"/>
      <c r="K1" s="20"/>
      <c r="L1" s="20"/>
      <c r="M1" s="20"/>
      <c r="N1" s="20"/>
      <c r="O1" s="20"/>
      <c r="P1" s="20"/>
      <c r="Q1" s="20"/>
      <c r="R1" s="19"/>
      <c r="S1" s="19"/>
    </row>
    <row r="2" spans="1:19">
      <c r="A2" s="141" t="s">
        <v>636</v>
      </c>
      <c r="B2" s="146" t="s">
        <v>649</v>
      </c>
      <c r="C2" s="143"/>
      <c r="D2" s="144"/>
      <c r="E2" s="144"/>
      <c r="F2" s="144"/>
      <c r="G2" s="144"/>
      <c r="H2" s="144"/>
      <c r="I2" s="144"/>
      <c r="J2" s="144"/>
      <c r="K2" s="144"/>
      <c r="L2" s="144"/>
      <c r="M2" s="144"/>
      <c r="N2" s="144"/>
      <c r="O2" s="144"/>
      <c r="P2" s="144"/>
      <c r="Q2" s="144"/>
      <c r="R2" s="145"/>
      <c r="S2" s="145"/>
    </row>
    <row r="3" spans="1:19">
      <c r="A3" s="141" t="s">
        <v>61</v>
      </c>
      <c r="B3" s="152" t="s">
        <v>81</v>
      </c>
      <c r="C3" s="143"/>
      <c r="D3" s="144"/>
      <c r="E3" s="144"/>
      <c r="F3" s="144"/>
      <c r="G3" s="144"/>
      <c r="H3" s="144"/>
      <c r="I3" s="144"/>
      <c r="J3" s="144"/>
      <c r="K3" s="144"/>
      <c r="L3" s="144"/>
      <c r="M3" s="144"/>
      <c r="N3" s="144"/>
      <c r="O3" s="144"/>
      <c r="P3" s="144"/>
      <c r="Q3" s="144"/>
      <c r="R3" s="145"/>
      <c r="S3" s="145"/>
    </row>
    <row r="4" spans="1:19">
      <c r="A4" s="147" t="s">
        <v>621</v>
      </c>
      <c r="B4" s="135">
        <v>36.32</v>
      </c>
      <c r="C4" s="148"/>
      <c r="D4" s="144"/>
      <c r="E4" s="144"/>
      <c r="F4" s="144"/>
      <c r="G4" s="144"/>
      <c r="H4" s="144"/>
      <c r="I4" s="144"/>
      <c r="J4" s="144"/>
      <c r="K4" s="144"/>
      <c r="L4" s="144"/>
      <c r="M4" s="144"/>
      <c r="N4" s="144"/>
      <c r="O4" s="144"/>
      <c r="P4" s="144"/>
      <c r="Q4" s="144"/>
      <c r="R4" s="145"/>
      <c r="S4" s="145"/>
    </row>
    <row r="5" spans="1:19">
      <c r="A5" s="147" t="s">
        <v>622</v>
      </c>
      <c r="B5" s="135">
        <v>-120.38</v>
      </c>
      <c r="C5" s="142"/>
      <c r="D5" s="144"/>
      <c r="E5" s="144"/>
      <c r="F5" s="144"/>
      <c r="G5" s="144"/>
      <c r="H5" s="144"/>
      <c r="I5" s="144"/>
      <c r="J5" s="144"/>
      <c r="K5" s="144"/>
      <c r="L5" s="144"/>
      <c r="M5" s="144"/>
      <c r="N5" s="144"/>
      <c r="O5" s="144"/>
      <c r="P5" s="144"/>
      <c r="Q5" s="144"/>
      <c r="R5" s="145"/>
      <c r="S5" s="145"/>
    </row>
    <row r="6" spans="1:19">
      <c r="A6" s="149" t="s">
        <v>50</v>
      </c>
      <c r="B6" s="150">
        <v>42.03420242</v>
      </c>
      <c r="C6" s="143"/>
      <c r="D6" s="144"/>
      <c r="E6" s="144"/>
      <c r="F6" s="144"/>
      <c r="G6" s="144"/>
      <c r="H6" s="144"/>
      <c r="I6" s="144"/>
      <c r="J6" s="144"/>
      <c r="K6" s="144"/>
      <c r="L6" s="144"/>
      <c r="M6" s="144"/>
      <c r="N6" s="144"/>
      <c r="O6" s="144"/>
      <c r="P6" s="144"/>
      <c r="Q6" s="144"/>
      <c r="R6" s="145"/>
      <c r="S6" s="145"/>
    </row>
    <row r="7" spans="1:19">
      <c r="A7" s="141" t="s">
        <v>696</v>
      </c>
      <c r="B7" s="151" t="s">
        <v>190</v>
      </c>
      <c r="C7" s="152" t="s">
        <v>81</v>
      </c>
      <c r="D7" s="144"/>
      <c r="E7" s="144"/>
      <c r="F7" s="144"/>
      <c r="G7" s="144"/>
      <c r="H7" s="144"/>
      <c r="I7" s="144"/>
      <c r="J7" s="144"/>
      <c r="K7" s="144"/>
      <c r="L7" s="144"/>
      <c r="M7" s="144"/>
      <c r="N7" s="144"/>
      <c r="O7" s="144"/>
      <c r="P7" s="144"/>
      <c r="Q7" s="144"/>
      <c r="R7" s="145"/>
      <c r="S7" s="145"/>
    </row>
    <row r="8" spans="1:19" ht="38.25">
      <c r="A8" s="141" t="s">
        <v>63</v>
      </c>
      <c r="B8" s="153" t="s">
        <v>698</v>
      </c>
      <c r="C8" s="72" t="s">
        <v>551</v>
      </c>
      <c r="D8" s="154"/>
      <c r="E8" s="154"/>
      <c r="F8" s="144"/>
      <c r="G8" s="144"/>
      <c r="H8" s="144"/>
      <c r="I8" s="144"/>
      <c r="J8" s="144"/>
      <c r="K8" s="144"/>
      <c r="L8" s="144"/>
      <c r="M8" s="144"/>
      <c r="N8" s="144"/>
      <c r="O8" s="144"/>
      <c r="P8" s="144"/>
      <c r="Q8" s="144"/>
      <c r="R8" s="145"/>
      <c r="S8" s="145"/>
    </row>
    <row r="9" spans="1:19">
      <c r="A9" s="141" t="s">
        <v>64</v>
      </c>
      <c r="B9" s="50" t="s">
        <v>197</v>
      </c>
      <c r="C9" s="68"/>
      <c r="D9" s="154"/>
      <c r="E9" s="154"/>
      <c r="F9" s="144"/>
      <c r="G9" s="144"/>
      <c r="H9" s="144"/>
      <c r="I9" s="144"/>
      <c r="J9" s="144"/>
      <c r="K9" s="144"/>
      <c r="L9" s="144"/>
      <c r="M9" s="144"/>
      <c r="N9" s="144"/>
      <c r="O9" s="144"/>
      <c r="P9" s="144"/>
      <c r="Q9" s="144"/>
      <c r="R9" s="145"/>
      <c r="S9" s="145"/>
    </row>
    <row r="10" spans="1:19">
      <c r="A10" s="141" t="s">
        <v>65</v>
      </c>
      <c r="B10" s="155" t="s">
        <v>367</v>
      </c>
      <c r="C10" s="152" t="s">
        <v>81</v>
      </c>
      <c r="D10" s="144"/>
      <c r="E10" s="144"/>
      <c r="F10" s="144"/>
      <c r="G10" s="144"/>
      <c r="I10" s="144"/>
      <c r="J10" s="144"/>
      <c r="K10" s="144"/>
      <c r="L10" s="144"/>
      <c r="M10" s="144"/>
      <c r="N10" s="144"/>
      <c r="O10" s="144"/>
      <c r="P10" s="144"/>
      <c r="Q10" s="144"/>
      <c r="R10" s="145"/>
      <c r="S10" s="145"/>
    </row>
    <row r="11" spans="1:19" ht="13.5" thickBot="1">
      <c r="A11" s="145"/>
      <c r="B11" s="145"/>
      <c r="C11" s="144"/>
      <c r="D11" s="144"/>
      <c r="E11" s="144"/>
      <c r="F11" s="144"/>
      <c r="G11" s="144"/>
      <c r="H11" s="154"/>
      <c r="I11" s="144"/>
      <c r="J11" s="144"/>
      <c r="L11" s="144"/>
      <c r="M11" s="144"/>
      <c r="N11" s="144"/>
      <c r="O11" s="144"/>
      <c r="P11" s="144"/>
      <c r="Q11" s="144"/>
      <c r="R11" s="145"/>
      <c r="S11" s="145"/>
    </row>
    <row r="12" spans="1:19" ht="64.5" thickBot="1">
      <c r="A12" s="157" t="s">
        <v>18</v>
      </c>
      <c r="B12" s="158" t="s">
        <v>66</v>
      </c>
      <c r="C12" s="158" t="s">
        <v>67</v>
      </c>
      <c r="D12" s="158" t="s">
        <v>68</v>
      </c>
      <c r="E12" s="158" t="s">
        <v>69</v>
      </c>
      <c r="F12" s="158" t="s">
        <v>43</v>
      </c>
      <c r="G12" s="158" t="s">
        <v>31</v>
      </c>
      <c r="H12" s="159" t="s">
        <v>10</v>
      </c>
      <c r="I12" s="160" t="s">
        <v>725</v>
      </c>
      <c r="J12" s="161" t="s">
        <v>664</v>
      </c>
      <c r="K12" s="162" t="s">
        <v>658</v>
      </c>
      <c r="L12" s="163" t="s">
        <v>70</v>
      </c>
      <c r="M12" s="163" t="s">
        <v>71</v>
      </c>
      <c r="N12" s="163" t="s">
        <v>36</v>
      </c>
      <c r="O12" s="164" t="s">
        <v>34</v>
      </c>
      <c r="P12" s="163" t="s">
        <v>72</v>
      </c>
      <c r="Q12" s="164" t="s">
        <v>73</v>
      </c>
      <c r="R12" s="160" t="s">
        <v>15</v>
      </c>
      <c r="S12" s="166" t="s">
        <v>38</v>
      </c>
    </row>
    <row r="13" spans="1:19">
      <c r="A13" s="706" t="s">
        <v>373</v>
      </c>
      <c r="B13" s="237"/>
      <c r="C13" s="237"/>
      <c r="D13" s="237"/>
      <c r="E13" s="237"/>
      <c r="F13" s="707">
        <v>60.67</v>
      </c>
      <c r="G13" s="817" t="s">
        <v>586</v>
      </c>
      <c r="H13" s="708">
        <v>53.790306091308594</v>
      </c>
      <c r="I13" s="709">
        <v>-1.82</v>
      </c>
      <c r="J13" s="499">
        <v>-1.74</v>
      </c>
      <c r="K13" s="815">
        <f t="shared" ref="K13:K19" si="0">16.1-4.64*($I13-J13)+0.09*($I13-J13)^2</f>
        <v>16.471776000000002</v>
      </c>
      <c r="L13" s="812" t="s">
        <v>665</v>
      </c>
      <c r="M13" s="191" t="s">
        <v>74</v>
      </c>
      <c r="N13" s="710" t="s">
        <v>82</v>
      </c>
      <c r="O13" s="711" t="s">
        <v>44</v>
      </c>
      <c r="P13" s="712" t="s">
        <v>58</v>
      </c>
      <c r="Q13" s="713" t="s">
        <v>493</v>
      </c>
      <c r="R13" s="703" t="s">
        <v>81</v>
      </c>
      <c r="S13" s="705" t="s">
        <v>700</v>
      </c>
    </row>
    <row r="14" spans="1:19">
      <c r="A14" s="167" t="s">
        <v>373</v>
      </c>
      <c r="B14" s="168"/>
      <c r="C14" s="168"/>
      <c r="D14" s="168"/>
      <c r="E14" s="168"/>
      <c r="F14" s="53">
        <v>44.68</v>
      </c>
      <c r="G14" s="586" t="s">
        <v>372</v>
      </c>
      <c r="H14" s="169">
        <v>55.045558929443359</v>
      </c>
      <c r="I14" s="56">
        <v>-2.1800000000000002</v>
      </c>
      <c r="J14" s="577">
        <v>-1.74</v>
      </c>
      <c r="K14" s="661">
        <f t="shared" si="0"/>
        <v>18.159024000000002</v>
      </c>
      <c r="L14" s="188" t="s">
        <v>665</v>
      </c>
      <c r="M14" s="52" t="s">
        <v>74</v>
      </c>
      <c r="N14" s="171" t="s">
        <v>82</v>
      </c>
      <c r="O14" s="172" t="s">
        <v>44</v>
      </c>
      <c r="P14" s="173" t="s">
        <v>58</v>
      </c>
      <c r="Q14" s="174" t="s">
        <v>493</v>
      </c>
      <c r="R14" s="175" t="s">
        <v>81</v>
      </c>
      <c r="S14" s="176"/>
    </row>
    <row r="15" spans="1:19">
      <c r="A15" s="167" t="s">
        <v>373</v>
      </c>
      <c r="B15" s="168"/>
      <c r="C15" s="168"/>
      <c r="D15" s="168"/>
      <c r="E15" s="168"/>
      <c r="F15" s="53">
        <v>39.53</v>
      </c>
      <c r="G15" s="586" t="s">
        <v>372</v>
      </c>
      <c r="H15" s="169">
        <v>55.736083984375</v>
      </c>
      <c r="I15" s="56">
        <v>-2.09</v>
      </c>
      <c r="J15" s="577">
        <v>-1.74</v>
      </c>
      <c r="K15" s="661">
        <f t="shared" si="0"/>
        <v>17.735025</v>
      </c>
      <c r="L15" s="188" t="s">
        <v>665</v>
      </c>
      <c r="M15" s="52" t="s">
        <v>74</v>
      </c>
      <c r="N15" s="171" t="s">
        <v>82</v>
      </c>
      <c r="O15" s="172" t="s">
        <v>44</v>
      </c>
      <c r="P15" s="173" t="s">
        <v>58</v>
      </c>
      <c r="Q15" s="174" t="s">
        <v>493</v>
      </c>
      <c r="R15" s="175" t="s">
        <v>81</v>
      </c>
      <c r="S15" s="176"/>
    </row>
    <row r="16" spans="1:19">
      <c r="A16" s="167" t="s">
        <v>373</v>
      </c>
      <c r="B16" s="168"/>
      <c r="C16" s="168"/>
      <c r="D16" s="168"/>
      <c r="E16" s="168"/>
      <c r="F16" s="53">
        <v>38.619999999999997</v>
      </c>
      <c r="G16" s="586" t="s">
        <v>372</v>
      </c>
      <c r="H16" s="169">
        <v>55.858097076416016</v>
      </c>
      <c r="I16" s="56">
        <v>-2.2400000000000002</v>
      </c>
      <c r="J16" s="577">
        <v>-1.74</v>
      </c>
      <c r="K16" s="661">
        <f t="shared" si="0"/>
        <v>18.442500000000003</v>
      </c>
      <c r="L16" s="188" t="s">
        <v>665</v>
      </c>
      <c r="M16" s="52" t="s">
        <v>74</v>
      </c>
      <c r="N16" s="171" t="s">
        <v>82</v>
      </c>
      <c r="O16" s="172" t="s">
        <v>44</v>
      </c>
      <c r="P16" s="173" t="s">
        <v>58</v>
      </c>
      <c r="Q16" s="174" t="s">
        <v>493</v>
      </c>
      <c r="R16" s="175" t="s">
        <v>81</v>
      </c>
      <c r="S16" s="176"/>
    </row>
    <row r="17" spans="1:19">
      <c r="A17" s="167" t="s">
        <v>373</v>
      </c>
      <c r="B17" s="168"/>
      <c r="C17" s="168"/>
      <c r="D17" s="168"/>
      <c r="E17" s="168"/>
      <c r="F17" s="53">
        <v>37.86</v>
      </c>
      <c r="G17" s="586" t="s">
        <v>372</v>
      </c>
      <c r="H17" s="169">
        <v>55.959999084472656</v>
      </c>
      <c r="I17" s="56">
        <v>-2.42</v>
      </c>
      <c r="J17" s="577">
        <v>-1.74</v>
      </c>
      <c r="K17" s="661">
        <f t="shared" si="0"/>
        <v>19.296816000000003</v>
      </c>
      <c r="L17" s="188" t="s">
        <v>665</v>
      </c>
      <c r="M17" s="52" t="s">
        <v>74</v>
      </c>
      <c r="N17" s="171" t="s">
        <v>82</v>
      </c>
      <c r="O17" s="172" t="s">
        <v>44</v>
      </c>
      <c r="P17" s="173" t="s">
        <v>58</v>
      </c>
      <c r="Q17" s="174" t="s">
        <v>493</v>
      </c>
      <c r="R17" s="175" t="s">
        <v>81</v>
      </c>
      <c r="S17" s="176" t="s">
        <v>699</v>
      </c>
    </row>
    <row r="18" spans="1:19">
      <c r="A18" s="167" t="s">
        <v>373</v>
      </c>
      <c r="B18" s="168"/>
      <c r="C18" s="168"/>
      <c r="D18" s="168"/>
      <c r="E18" s="168"/>
      <c r="F18" s="53">
        <v>36.950000000000003</v>
      </c>
      <c r="G18" s="586" t="s">
        <v>587</v>
      </c>
      <c r="H18" s="169">
        <v>56.082015991210938</v>
      </c>
      <c r="I18" s="56">
        <v>-2.75</v>
      </c>
      <c r="J18" s="577">
        <v>-1.74</v>
      </c>
      <c r="K18" s="661">
        <f t="shared" si="0"/>
        <v>20.878209000000002</v>
      </c>
      <c r="L18" s="188" t="s">
        <v>665</v>
      </c>
      <c r="M18" s="52" t="s">
        <v>74</v>
      </c>
      <c r="N18" s="171" t="s">
        <v>82</v>
      </c>
      <c r="O18" s="172" t="s">
        <v>44</v>
      </c>
      <c r="P18" s="173" t="s">
        <v>58</v>
      </c>
      <c r="Q18" s="174" t="s">
        <v>493</v>
      </c>
      <c r="R18" s="175" t="s">
        <v>81</v>
      </c>
      <c r="S18" s="176"/>
    </row>
    <row r="19" spans="1:19">
      <c r="A19" s="177" t="s">
        <v>373</v>
      </c>
      <c r="B19" s="178"/>
      <c r="C19" s="178"/>
      <c r="D19" s="178"/>
      <c r="E19" s="178"/>
      <c r="F19" s="179">
        <v>34.979999999999997</v>
      </c>
      <c r="G19" s="818" t="s">
        <v>587</v>
      </c>
      <c r="H19" s="180">
        <v>56.346157073974609</v>
      </c>
      <c r="I19" s="181">
        <v>-2.7</v>
      </c>
      <c r="J19" s="182">
        <v>-1.74</v>
      </c>
      <c r="K19" s="788">
        <f t="shared" si="0"/>
        <v>20.637344000000002</v>
      </c>
      <c r="L19" s="189" t="s">
        <v>665</v>
      </c>
      <c r="M19" s="183" t="s">
        <v>74</v>
      </c>
      <c r="N19" s="184" t="s">
        <v>82</v>
      </c>
      <c r="O19" s="185" t="s">
        <v>44</v>
      </c>
      <c r="P19" s="186" t="s">
        <v>58</v>
      </c>
      <c r="Q19" s="187" t="s">
        <v>493</v>
      </c>
      <c r="R19" s="175" t="s">
        <v>81</v>
      </c>
      <c r="S19" s="176"/>
    </row>
    <row r="20" spans="1:19">
      <c r="A20" s="167" t="s">
        <v>373</v>
      </c>
      <c r="B20" s="168"/>
      <c r="C20" s="168"/>
      <c r="D20" s="168"/>
      <c r="E20" s="168"/>
      <c r="F20" s="53">
        <v>60.67</v>
      </c>
      <c r="G20" s="814" t="s">
        <v>586</v>
      </c>
      <c r="H20" s="169">
        <v>53.790306091308594</v>
      </c>
      <c r="I20" s="56">
        <v>-2.1800000000000002</v>
      </c>
      <c r="J20" s="577">
        <v>-1.74</v>
      </c>
      <c r="K20" s="661">
        <f t="shared" ref="K20:K25" si="1">16.1-4.64*($I20-J20)+0.09*($I20-J20)^2</f>
        <v>18.159024000000002</v>
      </c>
      <c r="L20" s="188" t="s">
        <v>666</v>
      </c>
      <c r="M20" s="52" t="s">
        <v>74</v>
      </c>
      <c r="N20" s="171" t="s">
        <v>82</v>
      </c>
      <c r="O20" s="172" t="s">
        <v>35</v>
      </c>
      <c r="P20" s="173" t="s">
        <v>58</v>
      </c>
      <c r="Q20" s="174" t="s">
        <v>493</v>
      </c>
      <c r="R20" s="175" t="s">
        <v>81</v>
      </c>
      <c r="S20" s="176" t="s">
        <v>700</v>
      </c>
    </row>
    <row r="21" spans="1:19">
      <c r="A21" s="167" t="s">
        <v>373</v>
      </c>
      <c r="B21" s="168"/>
      <c r="C21" s="168"/>
      <c r="D21" s="168"/>
      <c r="E21" s="168"/>
      <c r="F21" s="53">
        <v>39.53</v>
      </c>
      <c r="G21" s="586" t="s">
        <v>372</v>
      </c>
      <c r="H21" s="169">
        <v>55.736083984375</v>
      </c>
      <c r="I21" s="56">
        <v>-2.48</v>
      </c>
      <c r="J21" s="577">
        <v>-1.74</v>
      </c>
      <c r="K21" s="661">
        <f t="shared" si="1"/>
        <v>19.582884</v>
      </c>
      <c r="L21" s="188" t="s">
        <v>666</v>
      </c>
      <c r="M21" s="52" t="s">
        <v>74</v>
      </c>
      <c r="N21" s="171" t="s">
        <v>82</v>
      </c>
      <c r="O21" s="172" t="s">
        <v>35</v>
      </c>
      <c r="P21" s="173" t="s">
        <v>58</v>
      </c>
      <c r="Q21" s="174" t="s">
        <v>493</v>
      </c>
      <c r="R21" s="175" t="s">
        <v>81</v>
      </c>
      <c r="S21" s="176"/>
    </row>
    <row r="22" spans="1:19">
      <c r="A22" s="167" t="s">
        <v>373</v>
      </c>
      <c r="B22" s="168"/>
      <c r="C22" s="168"/>
      <c r="D22" s="168"/>
      <c r="E22" s="168"/>
      <c r="F22" s="53">
        <v>38.619999999999997</v>
      </c>
      <c r="G22" s="586" t="s">
        <v>372</v>
      </c>
      <c r="H22" s="169">
        <v>55.858097076416016</v>
      </c>
      <c r="I22" s="56">
        <v>-2.66</v>
      </c>
      <c r="J22" s="577">
        <v>-1.74</v>
      </c>
      <c r="K22" s="661">
        <f t="shared" si="1"/>
        <v>20.444976</v>
      </c>
      <c r="L22" s="188" t="s">
        <v>666</v>
      </c>
      <c r="M22" s="52" t="s">
        <v>74</v>
      </c>
      <c r="N22" s="171" t="s">
        <v>82</v>
      </c>
      <c r="O22" s="172" t="s">
        <v>35</v>
      </c>
      <c r="P22" s="173" t="s">
        <v>58</v>
      </c>
      <c r="Q22" s="174" t="s">
        <v>493</v>
      </c>
      <c r="R22" s="175" t="s">
        <v>81</v>
      </c>
      <c r="S22" s="176"/>
    </row>
    <row r="23" spans="1:19">
      <c r="A23" s="167" t="s">
        <v>373</v>
      </c>
      <c r="B23" s="168"/>
      <c r="C23" s="168"/>
      <c r="D23" s="168"/>
      <c r="E23" s="168"/>
      <c r="F23" s="53">
        <v>37.86</v>
      </c>
      <c r="G23" s="586" t="s">
        <v>372</v>
      </c>
      <c r="H23" s="169">
        <v>55.959999084472656</v>
      </c>
      <c r="I23" s="56">
        <v>-2.33</v>
      </c>
      <c r="J23" s="577">
        <v>-1.74</v>
      </c>
      <c r="K23" s="661">
        <f t="shared" si="1"/>
        <v>18.868929000000001</v>
      </c>
      <c r="L23" s="188" t="s">
        <v>666</v>
      </c>
      <c r="M23" s="52" t="s">
        <v>74</v>
      </c>
      <c r="N23" s="171" t="s">
        <v>82</v>
      </c>
      <c r="O23" s="172" t="s">
        <v>35</v>
      </c>
      <c r="P23" s="173" t="s">
        <v>58</v>
      </c>
      <c r="Q23" s="174" t="s">
        <v>493</v>
      </c>
      <c r="R23" s="175" t="s">
        <v>81</v>
      </c>
      <c r="S23" s="176" t="s">
        <v>699</v>
      </c>
    </row>
    <row r="24" spans="1:19">
      <c r="A24" s="167" t="s">
        <v>373</v>
      </c>
      <c r="B24" s="168"/>
      <c r="C24" s="168"/>
      <c r="D24" s="168"/>
      <c r="E24" s="168"/>
      <c r="F24" s="53">
        <v>36.950000000000003</v>
      </c>
      <c r="G24" s="586" t="s">
        <v>587</v>
      </c>
      <c r="H24" s="169">
        <v>56.082015991210938</v>
      </c>
      <c r="I24" s="56">
        <v>-3.08</v>
      </c>
      <c r="J24" s="577">
        <v>-1.74</v>
      </c>
      <c r="K24" s="138">
        <f t="shared" si="1"/>
        <v>22.479204000000003</v>
      </c>
      <c r="L24" s="188" t="s">
        <v>666</v>
      </c>
      <c r="M24" s="52" t="s">
        <v>74</v>
      </c>
      <c r="N24" s="171" t="s">
        <v>82</v>
      </c>
      <c r="O24" s="172" t="s">
        <v>35</v>
      </c>
      <c r="P24" s="173" t="s">
        <v>58</v>
      </c>
      <c r="Q24" s="174" t="s">
        <v>493</v>
      </c>
      <c r="R24" s="175" t="s">
        <v>81</v>
      </c>
      <c r="S24" s="176"/>
    </row>
    <row r="25" spans="1:19">
      <c r="A25" s="177" t="s">
        <v>373</v>
      </c>
      <c r="B25" s="178"/>
      <c r="C25" s="178"/>
      <c r="D25" s="178"/>
      <c r="E25" s="178"/>
      <c r="F25" s="179">
        <v>34.979999999999997</v>
      </c>
      <c r="G25" s="818" t="s">
        <v>587</v>
      </c>
      <c r="H25" s="180">
        <v>56.346157073974609</v>
      </c>
      <c r="I25" s="181">
        <v>-3.3</v>
      </c>
      <c r="J25" s="182">
        <v>-1.74</v>
      </c>
      <c r="K25" s="139">
        <f t="shared" si="1"/>
        <v>23.557424000000001</v>
      </c>
      <c r="L25" s="189" t="s">
        <v>666</v>
      </c>
      <c r="M25" s="183" t="s">
        <v>74</v>
      </c>
      <c r="N25" s="184" t="s">
        <v>82</v>
      </c>
      <c r="O25" s="185" t="s">
        <v>35</v>
      </c>
      <c r="P25" s="186" t="s">
        <v>58</v>
      </c>
      <c r="Q25" s="187" t="s">
        <v>493</v>
      </c>
      <c r="R25" s="175" t="s">
        <v>81</v>
      </c>
      <c r="S25" s="176"/>
    </row>
    <row r="26" spans="1:19">
      <c r="A26" s="167" t="s">
        <v>373</v>
      </c>
      <c r="B26" s="168"/>
      <c r="C26" s="168"/>
      <c r="D26" s="168"/>
      <c r="E26" s="168"/>
      <c r="F26" s="53">
        <v>37.86</v>
      </c>
      <c r="G26" s="586" t="s">
        <v>372</v>
      </c>
      <c r="H26" s="169">
        <v>55.959999080000003</v>
      </c>
      <c r="I26" s="56">
        <v>-2.96</v>
      </c>
      <c r="J26" s="577">
        <v>-1.74</v>
      </c>
      <c r="K26" s="661">
        <f>16.1-4.64*($I26-J26)+0.09*($I26-J26)^2</f>
        <v>21.894756000000001</v>
      </c>
      <c r="L26" s="188" t="s">
        <v>79</v>
      </c>
      <c r="M26" s="52" t="s">
        <v>74</v>
      </c>
      <c r="N26" s="171" t="s">
        <v>82</v>
      </c>
      <c r="O26" s="172" t="s">
        <v>35</v>
      </c>
      <c r="P26" s="173" t="s">
        <v>58</v>
      </c>
      <c r="Q26" s="174" t="s">
        <v>493</v>
      </c>
      <c r="R26" s="175" t="s">
        <v>81</v>
      </c>
      <c r="S26" s="176" t="s">
        <v>699</v>
      </c>
    </row>
    <row r="27" spans="1:19">
      <c r="A27" s="167" t="s">
        <v>373</v>
      </c>
      <c r="B27" s="168"/>
      <c r="C27" s="168"/>
      <c r="D27" s="168"/>
      <c r="E27" s="168"/>
      <c r="F27" s="53">
        <v>36.950000000000003</v>
      </c>
      <c r="G27" s="586" t="s">
        <v>587</v>
      </c>
      <c r="H27" s="169">
        <v>55.959999080000003</v>
      </c>
      <c r="I27" s="56">
        <v>-3.31</v>
      </c>
      <c r="J27" s="577">
        <v>-1.74</v>
      </c>
      <c r="K27" s="138">
        <f>16.1-4.64*($I27-J27)+0.09*($I27-J27)^2</f>
        <v>23.606641000000003</v>
      </c>
      <c r="L27" s="188" t="s">
        <v>79</v>
      </c>
      <c r="M27" s="52" t="s">
        <v>74</v>
      </c>
      <c r="N27" s="171" t="s">
        <v>82</v>
      </c>
      <c r="O27" s="172" t="s">
        <v>35</v>
      </c>
      <c r="P27" s="173" t="s">
        <v>58</v>
      </c>
      <c r="Q27" s="174" t="s">
        <v>493</v>
      </c>
      <c r="R27" s="175" t="s">
        <v>81</v>
      </c>
      <c r="S27" s="176"/>
    </row>
    <row r="28" spans="1:19">
      <c r="A28" s="177" t="s">
        <v>373</v>
      </c>
      <c r="B28" s="178"/>
      <c r="C28" s="178"/>
      <c r="D28" s="178"/>
      <c r="E28" s="178"/>
      <c r="F28" s="179">
        <v>34.979999999999997</v>
      </c>
      <c r="G28" s="818" t="s">
        <v>587</v>
      </c>
      <c r="H28" s="180">
        <v>56.082015990000002</v>
      </c>
      <c r="I28" s="181">
        <v>-3.16</v>
      </c>
      <c r="J28" s="182">
        <v>-1.74</v>
      </c>
      <c r="K28" s="139">
        <f>16.1-4.64*($I28-J28)+0.09*($I28-J28)^2</f>
        <v>22.870276</v>
      </c>
      <c r="L28" s="189" t="s">
        <v>79</v>
      </c>
      <c r="M28" s="183" t="s">
        <v>74</v>
      </c>
      <c r="N28" s="184" t="s">
        <v>82</v>
      </c>
      <c r="O28" s="185" t="s">
        <v>35</v>
      </c>
      <c r="P28" s="186" t="s">
        <v>58</v>
      </c>
      <c r="Q28" s="187" t="s">
        <v>493</v>
      </c>
      <c r="R28" s="175" t="s">
        <v>81</v>
      </c>
      <c r="S28" s="176"/>
    </row>
    <row r="29" spans="1:19">
      <c r="A29" s="167" t="s">
        <v>373</v>
      </c>
      <c r="B29" s="168"/>
      <c r="C29" s="168"/>
      <c r="D29" s="168"/>
      <c r="E29" s="168"/>
      <c r="F29" s="53">
        <v>44.68</v>
      </c>
      <c r="G29" s="586" t="s">
        <v>372</v>
      </c>
      <c r="H29" s="169">
        <v>55.959999080000003</v>
      </c>
      <c r="I29" s="56">
        <v>-1.93</v>
      </c>
      <c r="J29" s="577">
        <v>-1.74</v>
      </c>
      <c r="K29" s="661">
        <f t="shared" ref="K29:K34" si="2">16.1-4.64*($I29-J29)+0.09*($I29-J29)^2</f>
        <v>16.984849000000001</v>
      </c>
      <c r="L29" s="188" t="s">
        <v>239</v>
      </c>
      <c r="M29" s="190" t="s">
        <v>74</v>
      </c>
      <c r="N29" s="171" t="s">
        <v>82</v>
      </c>
      <c r="O29" s="172" t="s">
        <v>35</v>
      </c>
      <c r="P29" s="173" t="s">
        <v>58</v>
      </c>
      <c r="Q29" s="174" t="s">
        <v>493</v>
      </c>
      <c r="R29" s="175" t="s">
        <v>81</v>
      </c>
      <c r="S29" s="176"/>
    </row>
    <row r="30" spans="1:19">
      <c r="A30" s="167" t="s">
        <v>373</v>
      </c>
      <c r="B30" s="168"/>
      <c r="C30" s="168"/>
      <c r="D30" s="168"/>
      <c r="E30" s="168"/>
      <c r="F30" s="53">
        <v>39.53</v>
      </c>
      <c r="G30" s="586" t="s">
        <v>372</v>
      </c>
      <c r="H30" s="169">
        <v>56.082015990000002</v>
      </c>
      <c r="I30" s="56">
        <v>-2.82</v>
      </c>
      <c r="J30" s="577">
        <v>-1.74</v>
      </c>
      <c r="K30" s="661">
        <f t="shared" si="2"/>
        <v>21.216176000000001</v>
      </c>
      <c r="L30" s="188" t="s">
        <v>239</v>
      </c>
      <c r="M30" s="190" t="s">
        <v>74</v>
      </c>
      <c r="N30" s="171" t="s">
        <v>82</v>
      </c>
      <c r="O30" s="172" t="s">
        <v>35</v>
      </c>
      <c r="P30" s="173" t="s">
        <v>58</v>
      </c>
      <c r="Q30" s="174" t="s">
        <v>493</v>
      </c>
      <c r="R30" s="175" t="s">
        <v>81</v>
      </c>
      <c r="S30" s="176"/>
    </row>
    <row r="31" spans="1:19">
      <c r="A31" s="167" t="s">
        <v>373</v>
      </c>
      <c r="B31" s="168"/>
      <c r="C31" s="168"/>
      <c r="D31" s="168"/>
      <c r="E31" s="168"/>
      <c r="F31" s="53">
        <v>38.619999999999997</v>
      </c>
      <c r="G31" s="586" t="s">
        <v>372</v>
      </c>
      <c r="H31" s="169">
        <v>56.204032900000001</v>
      </c>
      <c r="I31" s="56">
        <v>-2.93</v>
      </c>
      <c r="J31" s="577">
        <v>-1.74</v>
      </c>
      <c r="K31" s="661">
        <f t="shared" si="2"/>
        <v>21.749048999999999</v>
      </c>
      <c r="L31" s="188" t="s">
        <v>239</v>
      </c>
      <c r="M31" s="190" t="s">
        <v>74</v>
      </c>
      <c r="N31" s="171" t="s">
        <v>82</v>
      </c>
      <c r="O31" s="172" t="s">
        <v>35</v>
      </c>
      <c r="P31" s="173" t="s">
        <v>58</v>
      </c>
      <c r="Q31" s="174" t="s">
        <v>493</v>
      </c>
      <c r="R31" s="175" t="s">
        <v>81</v>
      </c>
      <c r="S31" s="176"/>
    </row>
    <row r="32" spans="1:19">
      <c r="A32" s="167" t="s">
        <v>373</v>
      </c>
      <c r="B32" s="168"/>
      <c r="C32" s="168"/>
      <c r="D32" s="168"/>
      <c r="E32" s="168"/>
      <c r="F32" s="53">
        <v>37.86</v>
      </c>
      <c r="G32" s="586" t="s">
        <v>372</v>
      </c>
      <c r="H32" s="169">
        <v>56.326049810000001</v>
      </c>
      <c r="I32" s="56">
        <v>-2.96</v>
      </c>
      <c r="J32" s="577">
        <v>-1.74</v>
      </c>
      <c r="K32" s="661">
        <f t="shared" si="2"/>
        <v>21.894756000000001</v>
      </c>
      <c r="L32" s="188" t="s">
        <v>239</v>
      </c>
      <c r="M32" s="190" t="s">
        <v>74</v>
      </c>
      <c r="N32" s="171" t="s">
        <v>82</v>
      </c>
      <c r="O32" s="172" t="s">
        <v>35</v>
      </c>
      <c r="P32" s="173" t="s">
        <v>58</v>
      </c>
      <c r="Q32" s="174" t="s">
        <v>493</v>
      </c>
      <c r="R32" s="175" t="s">
        <v>81</v>
      </c>
      <c r="S32" s="176" t="s">
        <v>699</v>
      </c>
    </row>
    <row r="33" spans="1:19">
      <c r="A33" s="167" t="s">
        <v>373</v>
      </c>
      <c r="B33" s="168"/>
      <c r="C33" s="168"/>
      <c r="D33" s="168"/>
      <c r="E33" s="168"/>
      <c r="F33" s="53">
        <v>36.950000000000003</v>
      </c>
      <c r="G33" s="586" t="s">
        <v>587</v>
      </c>
      <c r="H33" s="169">
        <v>56.44806672</v>
      </c>
      <c r="I33" s="56">
        <v>-3.06</v>
      </c>
      <c r="J33" s="577">
        <v>-1.74</v>
      </c>
      <c r="K33" s="138">
        <f t="shared" si="2"/>
        <v>22.381616000000001</v>
      </c>
      <c r="L33" s="188" t="s">
        <v>239</v>
      </c>
      <c r="M33" s="190" t="s">
        <v>74</v>
      </c>
      <c r="N33" s="171" t="s">
        <v>82</v>
      </c>
      <c r="O33" s="172" t="s">
        <v>35</v>
      </c>
      <c r="P33" s="173" t="s">
        <v>58</v>
      </c>
      <c r="Q33" s="174" t="s">
        <v>493</v>
      </c>
      <c r="R33" s="175" t="s">
        <v>81</v>
      </c>
      <c r="S33" s="176"/>
    </row>
    <row r="34" spans="1:19" ht="13.5" thickBot="1">
      <c r="A34" s="254" t="s">
        <v>373</v>
      </c>
      <c r="B34" s="714"/>
      <c r="C34" s="714"/>
      <c r="D34" s="714"/>
      <c r="E34" s="714"/>
      <c r="F34" s="203">
        <v>34.979999999999997</v>
      </c>
      <c r="G34" s="507" t="s">
        <v>587</v>
      </c>
      <c r="H34" s="715">
        <v>56.570083629999999</v>
      </c>
      <c r="I34" s="716">
        <v>-3.37</v>
      </c>
      <c r="J34" s="717">
        <v>-1.74</v>
      </c>
      <c r="K34" s="718">
        <f t="shared" si="2"/>
        <v>23.902321000000004</v>
      </c>
      <c r="L34" s="719" t="s">
        <v>239</v>
      </c>
      <c r="M34" s="507" t="s">
        <v>74</v>
      </c>
      <c r="N34" s="720" t="s">
        <v>82</v>
      </c>
      <c r="O34" s="721" t="s">
        <v>35</v>
      </c>
      <c r="P34" s="722" t="s">
        <v>58</v>
      </c>
      <c r="Q34" s="723" t="s">
        <v>493</v>
      </c>
      <c r="R34" s="704" t="s">
        <v>81</v>
      </c>
      <c r="S34" s="258"/>
    </row>
    <row r="36" spans="1:19" ht="13.5" thickBot="1"/>
    <row r="37" spans="1:19" ht="13.5" thickBot="1">
      <c r="G37" s="729"/>
      <c r="H37" s="730" t="s">
        <v>607</v>
      </c>
      <c r="I37" s="730" t="s">
        <v>605</v>
      </c>
      <c r="J37" s="731">
        <v>0.05</v>
      </c>
      <c r="K37" s="730" t="s">
        <v>602</v>
      </c>
      <c r="L37" s="731">
        <v>0.95</v>
      </c>
      <c r="M37" s="732" t="s">
        <v>606</v>
      </c>
    </row>
    <row r="38" spans="1:19">
      <c r="G38" s="673" t="s">
        <v>21</v>
      </c>
      <c r="H38" s="674"/>
      <c r="I38" s="674"/>
      <c r="J38" s="674"/>
      <c r="K38" s="674"/>
      <c r="L38" s="674"/>
      <c r="M38" s="681"/>
    </row>
    <row r="39" spans="1:19">
      <c r="G39" s="673" t="s">
        <v>20</v>
      </c>
      <c r="H39" s="674">
        <f>COUNT($K$24:$K$25,$K$27:$K$28,$K$33:$K$34)</f>
        <v>6</v>
      </c>
      <c r="I39" s="675">
        <f>MIN($K$24:$K$25,$K$27:$K$28,$K$33:$K$34)</f>
        <v>22.381616000000001</v>
      </c>
      <c r="J39" s="675">
        <f>_xlfn.PERCENTILE.INC(($K$24:$K$25,$K$27:$K$28,$K$33:$K$34),0.05)</f>
        <v>22.406013000000002</v>
      </c>
      <c r="K39" s="675">
        <f>AVERAGE($K$24:$K$25,$K$27:$K$28,$K$33:$K$34)</f>
        <v>23.132913666666667</v>
      </c>
      <c r="L39" s="675">
        <f>_xlfn.PERCENTILE.INC(($K$24:$K$25,$K$27:$K$28,$K$33:$K$34),0.95)</f>
        <v>23.828401000000003</v>
      </c>
      <c r="M39" s="676">
        <f>MAX($K$24:$K$25,$K$27:$K$28,$K$33:$K$34)</f>
        <v>23.902321000000004</v>
      </c>
    </row>
    <row r="40" spans="1:19" ht="13.5" thickBot="1">
      <c r="G40" s="677" t="s">
        <v>601</v>
      </c>
      <c r="H40" s="678"/>
      <c r="I40" s="678"/>
      <c r="J40" s="678"/>
      <c r="K40" s="678"/>
      <c r="L40" s="678"/>
      <c r="M40" s="68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2"/>
  <sheetViews>
    <sheetView zoomScale="80" zoomScaleNormal="80" zoomScalePageLayoutView="90" workbookViewId="0">
      <selection activeCell="I42" sqref="I42:I45"/>
    </sheetView>
  </sheetViews>
  <sheetFormatPr defaultColWidth="10.625" defaultRowHeight="12.75"/>
  <cols>
    <col min="1" max="1" width="15.625" style="69" customWidth="1"/>
    <col min="2" max="2" width="30.625" style="69" customWidth="1"/>
    <col min="3" max="6" width="10.625" style="69"/>
    <col min="7" max="7" width="14.375" style="156" bestFit="1" customWidth="1"/>
    <col min="8" max="10" width="10.625" style="69"/>
    <col min="11" max="11" width="15.625" style="69" customWidth="1"/>
    <col min="12" max="12" width="25.375" style="156" bestFit="1" customWidth="1"/>
    <col min="13" max="13" width="14" style="69" bestFit="1" customWidth="1"/>
    <col min="14" max="15" width="10.625" style="69"/>
    <col min="16" max="16" width="15.625" style="69" bestFit="1" customWidth="1"/>
    <col min="17" max="17" width="45.625" style="69" customWidth="1"/>
    <col min="18" max="18" width="18" style="69" bestFit="1" customWidth="1"/>
    <col min="19" max="19" width="65.375" style="69" bestFit="1" customWidth="1"/>
    <col min="20" max="16384" width="10.625" style="69"/>
  </cols>
  <sheetData>
    <row r="1" spans="1:19" s="11" customFormat="1" ht="15.75">
      <c r="A1" s="234" t="s">
        <v>62</v>
      </c>
      <c r="B1" s="205" t="s">
        <v>365</v>
      </c>
      <c r="C1" s="207"/>
      <c r="D1" s="20"/>
      <c r="E1" s="20"/>
      <c r="F1" s="20"/>
      <c r="G1" s="41"/>
      <c r="H1" s="20"/>
      <c r="I1" s="20"/>
      <c r="J1" s="20"/>
      <c r="K1" s="20"/>
      <c r="L1" s="20"/>
      <c r="M1" s="20"/>
      <c r="N1" s="20"/>
      <c r="O1" s="20"/>
      <c r="P1" s="20"/>
      <c r="Q1" s="20"/>
      <c r="R1" s="19"/>
      <c r="S1" s="19"/>
    </row>
    <row r="2" spans="1:19">
      <c r="A2" s="141" t="s">
        <v>636</v>
      </c>
      <c r="B2" s="146" t="s">
        <v>649</v>
      </c>
      <c r="C2" s="143"/>
      <c r="D2" s="144"/>
      <c r="E2" s="144"/>
      <c r="F2" s="144"/>
      <c r="H2" s="144"/>
      <c r="I2" s="144"/>
      <c r="J2" s="144"/>
      <c r="K2" s="144"/>
      <c r="L2" s="144"/>
      <c r="M2" s="144"/>
      <c r="N2" s="144"/>
      <c r="O2" s="144"/>
      <c r="P2" s="144"/>
      <c r="Q2" s="144"/>
      <c r="R2" s="145"/>
      <c r="S2" s="145"/>
    </row>
    <row r="3" spans="1:19">
      <c r="A3" s="208" t="s">
        <v>61</v>
      </c>
      <c r="B3" s="72" t="s">
        <v>551</v>
      </c>
      <c r="C3" s="143"/>
      <c r="D3" s="144"/>
      <c r="E3" s="144"/>
      <c r="F3" s="144"/>
      <c r="H3" s="144"/>
      <c r="I3" s="144"/>
      <c r="J3" s="144"/>
      <c r="K3" s="144"/>
      <c r="L3" s="144"/>
      <c r="M3" s="144"/>
      <c r="N3" s="144"/>
      <c r="O3" s="144"/>
      <c r="P3" s="144"/>
      <c r="Q3" s="144"/>
      <c r="R3" s="145"/>
      <c r="S3" s="145"/>
    </row>
    <row r="4" spans="1:19">
      <c r="A4" s="230" t="s">
        <v>621</v>
      </c>
      <c r="B4" s="231">
        <v>36.590000000000003</v>
      </c>
      <c r="C4" s="148"/>
      <c r="D4" s="144"/>
      <c r="E4" s="144"/>
      <c r="F4" s="144"/>
      <c r="H4" s="144"/>
      <c r="I4" s="144"/>
      <c r="J4" s="144"/>
      <c r="K4" s="144"/>
      <c r="L4" s="144"/>
      <c r="M4" s="144"/>
      <c r="N4" s="144"/>
      <c r="O4" s="144"/>
      <c r="P4" s="144"/>
      <c r="Q4" s="144"/>
      <c r="R4" s="145"/>
      <c r="S4" s="145"/>
    </row>
    <row r="5" spans="1:19">
      <c r="A5" s="230" t="s">
        <v>622</v>
      </c>
      <c r="B5" s="231">
        <v>-120.64</v>
      </c>
      <c r="C5" s="142"/>
      <c r="D5" s="144"/>
      <c r="E5" s="144"/>
      <c r="F5" s="144"/>
      <c r="H5" s="144"/>
      <c r="I5" s="144"/>
      <c r="J5" s="144"/>
      <c r="K5" s="144"/>
      <c r="L5" s="144"/>
      <c r="M5" s="144"/>
      <c r="N5" s="144"/>
      <c r="O5" s="144"/>
      <c r="P5" s="144"/>
      <c r="Q5" s="144"/>
      <c r="R5" s="145"/>
      <c r="S5" s="145"/>
    </row>
    <row r="6" spans="1:19">
      <c r="A6" s="232" t="s">
        <v>50</v>
      </c>
      <c r="B6" s="51">
        <v>38.940311182199999</v>
      </c>
      <c r="C6" s="143"/>
      <c r="D6" s="144"/>
      <c r="E6" s="144"/>
      <c r="F6" s="144"/>
      <c r="H6" s="144"/>
      <c r="I6" s="144"/>
      <c r="J6" s="144"/>
      <c r="K6" s="144"/>
      <c r="L6" s="144"/>
      <c r="M6" s="144"/>
      <c r="N6" s="144"/>
      <c r="O6" s="144"/>
      <c r="P6" s="144"/>
      <c r="Q6" s="144"/>
      <c r="R6" s="145"/>
      <c r="S6" s="145"/>
    </row>
    <row r="7" spans="1:19">
      <c r="A7" s="141" t="s">
        <v>696</v>
      </c>
      <c r="B7" s="151" t="s">
        <v>190</v>
      </c>
      <c r="C7" s="146"/>
      <c r="D7" s="144"/>
      <c r="E7" s="144"/>
      <c r="F7" s="144"/>
      <c r="H7" s="144"/>
      <c r="I7" s="144"/>
      <c r="J7" s="144"/>
      <c r="K7" s="144"/>
      <c r="L7" s="144"/>
      <c r="M7" s="144"/>
      <c r="N7" s="144"/>
      <c r="O7" s="144"/>
      <c r="P7" s="144"/>
      <c r="Q7" s="144"/>
      <c r="R7" s="145"/>
      <c r="S7" s="145"/>
    </row>
    <row r="8" spans="1:19" ht="38.25">
      <c r="A8" s="208" t="s">
        <v>63</v>
      </c>
      <c r="B8" s="153" t="s">
        <v>698</v>
      </c>
      <c r="C8" s="72" t="s">
        <v>551</v>
      </c>
      <c r="D8" s="154"/>
      <c r="E8" s="154"/>
      <c r="F8" s="144"/>
      <c r="H8" s="144"/>
      <c r="I8" s="144"/>
      <c r="J8" s="144"/>
      <c r="K8" s="144"/>
      <c r="L8" s="144"/>
      <c r="M8" s="144"/>
      <c r="N8" s="144"/>
      <c r="O8" s="144"/>
      <c r="P8" s="144"/>
      <c r="Q8" s="144"/>
      <c r="R8" s="145"/>
      <c r="S8" s="145"/>
    </row>
    <row r="9" spans="1:19">
      <c r="A9" s="208" t="s">
        <v>64</v>
      </c>
      <c r="B9" s="50" t="s">
        <v>197</v>
      </c>
      <c r="C9" s="68"/>
      <c r="D9" s="154"/>
      <c r="E9" s="154"/>
      <c r="F9" s="144"/>
      <c r="H9" s="144"/>
      <c r="I9" s="144"/>
      <c r="J9" s="144"/>
      <c r="K9" s="144"/>
      <c r="L9" s="144"/>
      <c r="M9" s="144"/>
      <c r="N9" s="144"/>
      <c r="O9" s="144"/>
      <c r="P9" s="144"/>
      <c r="Q9" s="144"/>
      <c r="R9" s="145"/>
      <c r="S9" s="145"/>
    </row>
    <row r="10" spans="1:19">
      <c r="A10" s="208" t="s">
        <v>65</v>
      </c>
      <c r="B10" s="155" t="s">
        <v>367</v>
      </c>
      <c r="C10" s="152" t="s">
        <v>81</v>
      </c>
      <c r="D10" s="144"/>
      <c r="E10" s="144"/>
      <c r="F10" s="144"/>
      <c r="I10" s="144"/>
      <c r="J10" s="144"/>
      <c r="K10" s="144"/>
      <c r="L10" s="144"/>
      <c r="M10" s="144"/>
      <c r="N10" s="144"/>
      <c r="O10" s="144"/>
      <c r="P10" s="144"/>
      <c r="Q10" s="144"/>
      <c r="R10" s="145"/>
      <c r="S10" s="145"/>
    </row>
    <row r="11" spans="1:19" ht="13.5" thickBot="1">
      <c r="A11" s="145"/>
      <c r="B11" s="145"/>
      <c r="C11" s="144"/>
      <c r="D11" s="144"/>
      <c r="E11" s="144"/>
      <c r="F11" s="144"/>
      <c r="G11" s="248"/>
      <c r="H11" s="154"/>
      <c r="I11" s="144"/>
      <c r="J11" s="144"/>
      <c r="L11" s="144"/>
      <c r="M11" s="144"/>
      <c r="N11" s="144"/>
      <c r="O11" s="144"/>
      <c r="P11" s="144"/>
      <c r="Q11" s="144"/>
      <c r="R11" s="145"/>
      <c r="S11" s="145"/>
    </row>
    <row r="12" spans="1:19" ht="64.5" thickBot="1">
      <c r="A12" s="211" t="s">
        <v>18</v>
      </c>
      <c r="B12" s="212" t="s">
        <v>66</v>
      </c>
      <c r="C12" s="212" t="s">
        <v>67</v>
      </c>
      <c r="D12" s="212" t="s">
        <v>68</v>
      </c>
      <c r="E12" s="212" t="s">
        <v>69</v>
      </c>
      <c r="F12" s="212" t="s">
        <v>43</v>
      </c>
      <c r="G12" s="813" t="s">
        <v>31</v>
      </c>
      <c r="H12" s="213" t="s">
        <v>10</v>
      </c>
      <c r="I12" s="160" t="s">
        <v>725</v>
      </c>
      <c r="J12" s="553" t="s">
        <v>664</v>
      </c>
      <c r="K12" s="724" t="s">
        <v>659</v>
      </c>
      <c r="L12" s="217" t="s">
        <v>70</v>
      </c>
      <c r="M12" s="217" t="s">
        <v>71</v>
      </c>
      <c r="N12" s="217" t="s">
        <v>36</v>
      </c>
      <c r="O12" s="218" t="s">
        <v>34</v>
      </c>
      <c r="P12" s="217" t="s">
        <v>72</v>
      </c>
      <c r="Q12" s="218" t="s">
        <v>73</v>
      </c>
      <c r="R12" s="160" t="s">
        <v>15</v>
      </c>
      <c r="S12" s="166" t="s">
        <v>38</v>
      </c>
    </row>
    <row r="13" spans="1:19">
      <c r="A13" s="706" t="s">
        <v>365</v>
      </c>
      <c r="B13" s="237"/>
      <c r="C13" s="237"/>
      <c r="D13" s="237"/>
      <c r="E13" s="237"/>
      <c r="F13" s="707">
        <v>76.768000000000001</v>
      </c>
      <c r="G13" s="707" t="s">
        <v>21</v>
      </c>
      <c r="H13" s="725">
        <v>49.110202789306641</v>
      </c>
      <c r="I13" s="709">
        <v>-2.27</v>
      </c>
      <c r="J13" s="499">
        <v>-1.7411633443832399</v>
      </c>
      <c r="K13" s="815">
        <f t="shared" ref="K13" si="0">16.1-4.64*($I13-J13)+0.09*($I13-J13)^2</f>
        <v>18.578972220810922</v>
      </c>
      <c r="L13" s="812" t="s">
        <v>255</v>
      </c>
      <c r="M13" s="191" t="s">
        <v>74</v>
      </c>
      <c r="N13" s="710" t="s">
        <v>82</v>
      </c>
      <c r="O13" s="711" t="s">
        <v>44</v>
      </c>
      <c r="P13" s="712" t="s">
        <v>58</v>
      </c>
      <c r="Q13" s="713" t="s">
        <v>493</v>
      </c>
      <c r="R13" s="175" t="s">
        <v>81</v>
      </c>
      <c r="S13" s="176" t="s">
        <v>368</v>
      </c>
    </row>
    <row r="14" spans="1:19">
      <c r="A14" s="167" t="s">
        <v>365</v>
      </c>
      <c r="B14" s="168"/>
      <c r="C14" s="168"/>
      <c r="D14" s="168"/>
      <c r="E14" s="168"/>
      <c r="F14" s="53">
        <v>73.302000000000007</v>
      </c>
      <c r="G14" s="53" t="s">
        <v>21</v>
      </c>
      <c r="H14" s="726">
        <v>49.460075378417969</v>
      </c>
      <c r="I14" s="56">
        <v>-2.16</v>
      </c>
      <c r="J14" s="577">
        <v>-1.7411633443832399</v>
      </c>
      <c r="K14" s="661">
        <f t="shared" ref="K14:K75" si="1">16.1-4.64*($I14-J14)+0.09*($I14-J14)^2</f>
        <v>18.059190255029709</v>
      </c>
      <c r="L14" s="188" t="s">
        <v>255</v>
      </c>
      <c r="M14" s="52" t="s">
        <v>74</v>
      </c>
      <c r="N14" s="171" t="s">
        <v>82</v>
      </c>
      <c r="O14" s="172" t="s">
        <v>44</v>
      </c>
      <c r="P14" s="173" t="s">
        <v>58</v>
      </c>
      <c r="Q14" s="174" t="s">
        <v>493</v>
      </c>
      <c r="R14" s="175" t="s">
        <v>81</v>
      </c>
      <c r="S14" s="176" t="s">
        <v>701</v>
      </c>
    </row>
    <row r="15" spans="1:19">
      <c r="A15" s="167" t="s">
        <v>365</v>
      </c>
      <c r="B15" s="168"/>
      <c r="C15" s="168"/>
      <c r="D15" s="168"/>
      <c r="E15" s="168"/>
      <c r="F15" s="53">
        <v>69.668000000000006</v>
      </c>
      <c r="G15" s="53" t="s">
        <v>21</v>
      </c>
      <c r="H15" s="726">
        <v>49.826904296875</v>
      </c>
      <c r="I15" s="56">
        <v>-2.2599999999999998</v>
      </c>
      <c r="J15" s="577">
        <v>-1.7411633443832399</v>
      </c>
      <c r="K15" s="661">
        <f t="shared" si="1"/>
        <v>18.531629314830809</v>
      </c>
      <c r="L15" s="188" t="s">
        <v>255</v>
      </c>
      <c r="M15" s="52" t="s">
        <v>74</v>
      </c>
      <c r="N15" s="171" t="s">
        <v>82</v>
      </c>
      <c r="O15" s="172" t="s">
        <v>44</v>
      </c>
      <c r="P15" s="173" t="s">
        <v>58</v>
      </c>
      <c r="Q15" s="174" t="s">
        <v>493</v>
      </c>
      <c r="R15" s="175" t="s">
        <v>81</v>
      </c>
      <c r="S15" s="176" t="s">
        <v>701</v>
      </c>
    </row>
    <row r="16" spans="1:19">
      <c r="A16" s="167" t="s">
        <v>365</v>
      </c>
      <c r="B16" s="168"/>
      <c r="C16" s="168"/>
      <c r="D16" s="168"/>
      <c r="E16" s="168"/>
      <c r="F16" s="53">
        <v>30.7</v>
      </c>
      <c r="G16" s="756" t="s">
        <v>269</v>
      </c>
      <c r="H16" s="726">
        <v>53.760494232177734</v>
      </c>
      <c r="I16" s="56">
        <v>-1.56</v>
      </c>
      <c r="J16" s="577">
        <v>-1.7411633443832399</v>
      </c>
      <c r="K16" s="661">
        <f t="shared" si="1"/>
        <v>15.262355896223099</v>
      </c>
      <c r="L16" s="188" t="s">
        <v>255</v>
      </c>
      <c r="M16" s="52" t="s">
        <v>74</v>
      </c>
      <c r="N16" s="171" t="s">
        <v>82</v>
      </c>
      <c r="O16" s="172" t="s">
        <v>44</v>
      </c>
      <c r="P16" s="173" t="s">
        <v>58</v>
      </c>
      <c r="Q16" s="174" t="s">
        <v>493</v>
      </c>
      <c r="R16" s="175" t="s">
        <v>81</v>
      </c>
      <c r="S16" s="176" t="s">
        <v>702</v>
      </c>
    </row>
    <row r="17" spans="1:19">
      <c r="A17" s="167" t="s">
        <v>365</v>
      </c>
      <c r="B17" s="168"/>
      <c r="C17" s="168"/>
      <c r="D17" s="168"/>
      <c r="E17" s="168"/>
      <c r="F17" s="53">
        <v>26.5</v>
      </c>
      <c r="G17" s="53" t="s">
        <v>586</v>
      </c>
      <c r="H17" s="726">
        <v>54.184459686279297</v>
      </c>
      <c r="I17" s="56">
        <v>-2.0299999999999998</v>
      </c>
      <c r="J17" s="577">
        <v>-1.7411633443832399</v>
      </c>
      <c r="K17" s="661">
        <f t="shared" si="1"/>
        <v>17.447710477288275</v>
      </c>
      <c r="L17" s="188" t="s">
        <v>255</v>
      </c>
      <c r="M17" s="52" t="s">
        <v>74</v>
      </c>
      <c r="N17" s="171" t="s">
        <v>82</v>
      </c>
      <c r="O17" s="172" t="s">
        <v>44</v>
      </c>
      <c r="P17" s="173" t="s">
        <v>58</v>
      </c>
      <c r="Q17" s="174" t="s">
        <v>493</v>
      </c>
      <c r="R17" s="175" t="s">
        <v>81</v>
      </c>
      <c r="S17" s="176" t="s">
        <v>703</v>
      </c>
    </row>
    <row r="18" spans="1:19">
      <c r="A18" s="167" t="s">
        <v>365</v>
      </c>
      <c r="B18" s="168"/>
      <c r="C18" s="168"/>
      <c r="D18" s="168"/>
      <c r="E18" s="168"/>
      <c r="F18" s="53">
        <v>19.5</v>
      </c>
      <c r="G18" s="196" t="s">
        <v>372</v>
      </c>
      <c r="H18" s="726">
        <v>54.891067504882813</v>
      </c>
      <c r="I18" s="56">
        <v>-1.84</v>
      </c>
      <c r="J18" s="577">
        <v>-1.7411633443832399</v>
      </c>
      <c r="K18" s="661">
        <f t="shared" si="1"/>
        <v>16.559481263666182</v>
      </c>
      <c r="L18" s="188" t="s">
        <v>255</v>
      </c>
      <c r="M18" s="52" t="s">
        <v>74</v>
      </c>
      <c r="N18" s="171" t="s">
        <v>82</v>
      </c>
      <c r="O18" s="172" t="s">
        <v>44</v>
      </c>
      <c r="P18" s="173" t="s">
        <v>58</v>
      </c>
      <c r="Q18" s="174" t="s">
        <v>493</v>
      </c>
      <c r="R18" s="175" t="s">
        <v>81</v>
      </c>
      <c r="S18" s="176"/>
    </row>
    <row r="19" spans="1:19">
      <c r="A19" s="167" t="s">
        <v>365</v>
      </c>
      <c r="B19" s="168"/>
      <c r="C19" s="168"/>
      <c r="D19" s="168"/>
      <c r="E19" s="168"/>
      <c r="F19" s="53">
        <v>18.100000000000001</v>
      </c>
      <c r="G19" s="196" t="s">
        <v>372</v>
      </c>
      <c r="H19" s="726">
        <v>55.032382965087891</v>
      </c>
      <c r="I19" s="56">
        <v>-1.8</v>
      </c>
      <c r="J19" s="577">
        <v>-1.7411633443832399</v>
      </c>
      <c r="K19" s="661">
        <f t="shared" si="1"/>
        <v>16.373313639745742</v>
      </c>
      <c r="L19" s="188" t="s">
        <v>255</v>
      </c>
      <c r="M19" s="52" t="s">
        <v>74</v>
      </c>
      <c r="N19" s="171" t="s">
        <v>82</v>
      </c>
      <c r="O19" s="172" t="s">
        <v>44</v>
      </c>
      <c r="P19" s="173" t="s">
        <v>58</v>
      </c>
      <c r="Q19" s="174" t="s">
        <v>493</v>
      </c>
      <c r="R19" s="175" t="s">
        <v>81</v>
      </c>
      <c r="S19" s="176"/>
    </row>
    <row r="20" spans="1:19">
      <c r="A20" s="167" t="s">
        <v>365</v>
      </c>
      <c r="B20" s="168"/>
      <c r="C20" s="168"/>
      <c r="D20" s="168"/>
      <c r="E20" s="168"/>
      <c r="F20" s="53">
        <v>17.5</v>
      </c>
      <c r="G20" s="196" t="s">
        <v>372</v>
      </c>
      <c r="H20" s="726">
        <v>55.09295654296875</v>
      </c>
      <c r="I20" s="56">
        <v>-2.19</v>
      </c>
      <c r="J20" s="577">
        <v>-1.7411633443832399</v>
      </c>
      <c r="K20" s="661">
        <f t="shared" si="1"/>
        <v>18.200732972970037</v>
      </c>
      <c r="L20" s="188" t="s">
        <v>255</v>
      </c>
      <c r="M20" s="52" t="s">
        <v>74</v>
      </c>
      <c r="N20" s="171" t="s">
        <v>82</v>
      </c>
      <c r="O20" s="172" t="s">
        <v>44</v>
      </c>
      <c r="P20" s="173" t="s">
        <v>58</v>
      </c>
      <c r="Q20" s="174" t="s">
        <v>493</v>
      </c>
      <c r="R20" s="175" t="s">
        <v>81</v>
      </c>
      <c r="S20" s="176"/>
    </row>
    <row r="21" spans="1:19">
      <c r="A21" s="167" t="s">
        <v>365</v>
      </c>
      <c r="B21" s="168"/>
      <c r="C21" s="168"/>
      <c r="D21" s="168"/>
      <c r="E21" s="168"/>
      <c r="F21" s="53">
        <v>16.600000000000001</v>
      </c>
      <c r="G21" s="196" t="s">
        <v>372</v>
      </c>
      <c r="H21" s="726">
        <v>55.183799743652344</v>
      </c>
      <c r="I21" s="56">
        <v>-2.1800000000000002</v>
      </c>
      <c r="J21" s="577">
        <v>-1.7411633443832399</v>
      </c>
      <c r="K21" s="661">
        <f t="shared" si="1"/>
        <v>18.153534066989931</v>
      </c>
      <c r="L21" s="188" t="s">
        <v>255</v>
      </c>
      <c r="M21" s="52" t="s">
        <v>74</v>
      </c>
      <c r="N21" s="171" t="s">
        <v>82</v>
      </c>
      <c r="O21" s="172" t="s">
        <v>44</v>
      </c>
      <c r="P21" s="173" t="s">
        <v>58</v>
      </c>
      <c r="Q21" s="174" t="s">
        <v>493</v>
      </c>
      <c r="R21" s="175" t="s">
        <v>81</v>
      </c>
      <c r="S21" s="176"/>
    </row>
    <row r="22" spans="1:19">
      <c r="A22" s="167" t="s">
        <v>365</v>
      </c>
      <c r="B22" s="168"/>
      <c r="C22" s="168"/>
      <c r="D22" s="168"/>
      <c r="E22" s="168"/>
      <c r="F22" s="53">
        <v>16</v>
      </c>
      <c r="G22" s="196" t="s">
        <v>372</v>
      </c>
      <c r="H22" s="726">
        <v>55.244373321533203</v>
      </c>
      <c r="I22" s="56">
        <v>-2.21</v>
      </c>
      <c r="J22" s="577">
        <v>-1.7411633443832399</v>
      </c>
      <c r="K22" s="661">
        <f t="shared" si="1"/>
        <v>18.29518478493026</v>
      </c>
      <c r="L22" s="188" t="s">
        <v>255</v>
      </c>
      <c r="M22" s="52" t="s">
        <v>74</v>
      </c>
      <c r="N22" s="171" t="s">
        <v>82</v>
      </c>
      <c r="O22" s="172" t="s">
        <v>44</v>
      </c>
      <c r="P22" s="173" t="s">
        <v>58</v>
      </c>
      <c r="Q22" s="174" t="s">
        <v>493</v>
      </c>
      <c r="R22" s="175" t="s">
        <v>81</v>
      </c>
      <c r="S22" s="176"/>
    </row>
    <row r="23" spans="1:19">
      <c r="A23" s="167" t="s">
        <v>365</v>
      </c>
      <c r="B23" s="168"/>
      <c r="C23" s="168"/>
      <c r="D23" s="168"/>
      <c r="E23" s="168"/>
      <c r="F23" s="53">
        <v>15.2</v>
      </c>
      <c r="G23" s="196" t="s">
        <v>372</v>
      </c>
      <c r="H23" s="726">
        <v>55.325130462646484</v>
      </c>
      <c r="I23" s="56">
        <v>-2.27</v>
      </c>
      <c r="J23" s="577">
        <v>-1.7411633443832399</v>
      </c>
      <c r="K23" s="661">
        <f t="shared" si="1"/>
        <v>18.578972220810922</v>
      </c>
      <c r="L23" s="188" t="s">
        <v>255</v>
      </c>
      <c r="M23" s="52" t="s">
        <v>74</v>
      </c>
      <c r="N23" s="171" t="s">
        <v>82</v>
      </c>
      <c r="O23" s="172" t="s">
        <v>44</v>
      </c>
      <c r="P23" s="173" t="s">
        <v>58</v>
      </c>
      <c r="Q23" s="174" t="s">
        <v>493</v>
      </c>
      <c r="R23" s="175" t="s">
        <v>81</v>
      </c>
      <c r="S23" s="176" t="s">
        <v>699</v>
      </c>
    </row>
    <row r="24" spans="1:19">
      <c r="A24" s="167" t="s">
        <v>365</v>
      </c>
      <c r="B24" s="168"/>
      <c r="C24" s="168"/>
      <c r="D24" s="168"/>
      <c r="E24" s="168"/>
      <c r="F24" s="53">
        <v>13.8</v>
      </c>
      <c r="G24" s="196" t="s">
        <v>372</v>
      </c>
      <c r="H24" s="726">
        <v>55.466445922851563</v>
      </c>
      <c r="I24" s="56">
        <v>-2.59</v>
      </c>
      <c r="J24" s="577">
        <v>-1.7411633443832399</v>
      </c>
      <c r="K24" s="661">
        <f t="shared" si="1"/>
        <v>20.103449212174446</v>
      </c>
      <c r="L24" s="188" t="s">
        <v>255</v>
      </c>
      <c r="M24" s="52" t="s">
        <v>74</v>
      </c>
      <c r="N24" s="171" t="s">
        <v>82</v>
      </c>
      <c r="O24" s="172" t="s">
        <v>44</v>
      </c>
      <c r="P24" s="173" t="s">
        <v>58</v>
      </c>
      <c r="Q24" s="174" t="s">
        <v>493</v>
      </c>
      <c r="R24" s="175" t="s">
        <v>81</v>
      </c>
      <c r="S24" s="176"/>
    </row>
    <row r="25" spans="1:19">
      <c r="A25" s="167" t="s">
        <v>365</v>
      </c>
      <c r="B25" s="168"/>
      <c r="C25" s="168"/>
      <c r="D25" s="168"/>
      <c r="E25" s="168"/>
      <c r="F25" s="53">
        <v>13.7</v>
      </c>
      <c r="G25" s="196" t="s">
        <v>372</v>
      </c>
      <c r="H25" s="726">
        <v>55.476547241210938</v>
      </c>
      <c r="I25" s="56">
        <v>-2.33</v>
      </c>
      <c r="J25" s="577">
        <v>-1.7411633443832399</v>
      </c>
      <c r="K25" s="661">
        <f t="shared" si="1"/>
        <v>18.863407656691582</v>
      </c>
      <c r="L25" s="188" t="s">
        <v>255</v>
      </c>
      <c r="M25" s="52" t="s">
        <v>74</v>
      </c>
      <c r="N25" s="171" t="s">
        <v>82</v>
      </c>
      <c r="O25" s="172" t="s">
        <v>44</v>
      </c>
      <c r="P25" s="173" t="s">
        <v>58</v>
      </c>
      <c r="Q25" s="174" t="s">
        <v>493</v>
      </c>
      <c r="R25" s="175" t="s">
        <v>81</v>
      </c>
      <c r="S25" s="176"/>
    </row>
    <row r="26" spans="1:19">
      <c r="A26" s="167" t="s">
        <v>365</v>
      </c>
      <c r="B26" s="168"/>
      <c r="C26" s="168"/>
      <c r="D26" s="168"/>
      <c r="E26" s="168"/>
      <c r="F26" s="53">
        <v>12.7</v>
      </c>
      <c r="G26" s="196" t="s">
        <v>372</v>
      </c>
      <c r="H26" s="726">
        <v>55.577491760253906</v>
      </c>
      <c r="I26" s="56">
        <v>-2.5499999999999998</v>
      </c>
      <c r="J26" s="577">
        <v>-1.7411633443832399</v>
      </c>
      <c r="K26" s="661">
        <f t="shared" si="1"/>
        <v>19.911881588254005</v>
      </c>
      <c r="L26" s="188" t="s">
        <v>255</v>
      </c>
      <c r="M26" s="52" t="s">
        <v>74</v>
      </c>
      <c r="N26" s="171" t="s">
        <v>82</v>
      </c>
      <c r="O26" s="172" t="s">
        <v>44</v>
      </c>
      <c r="P26" s="173" t="s">
        <v>58</v>
      </c>
      <c r="Q26" s="174" t="s">
        <v>493</v>
      </c>
      <c r="R26" s="175" t="s">
        <v>81</v>
      </c>
      <c r="S26" s="176"/>
    </row>
    <row r="27" spans="1:19">
      <c r="A27" s="167" t="s">
        <v>365</v>
      </c>
      <c r="B27" s="168"/>
      <c r="C27" s="168"/>
      <c r="D27" s="168"/>
      <c r="E27" s="168"/>
      <c r="F27" s="53">
        <v>12.1</v>
      </c>
      <c r="G27" s="196" t="s">
        <v>372</v>
      </c>
      <c r="H27" s="726">
        <v>55.638046264648438</v>
      </c>
      <c r="I27" s="56">
        <v>-2.52</v>
      </c>
      <c r="J27" s="577">
        <v>-1.7411633443832399</v>
      </c>
      <c r="K27" s="661">
        <f t="shared" si="1"/>
        <v>19.768394870313674</v>
      </c>
      <c r="L27" s="188" t="s">
        <v>255</v>
      </c>
      <c r="M27" s="52" t="s">
        <v>74</v>
      </c>
      <c r="N27" s="171" t="s">
        <v>82</v>
      </c>
      <c r="O27" s="172" t="s">
        <v>44</v>
      </c>
      <c r="P27" s="173" t="s">
        <v>58</v>
      </c>
      <c r="Q27" s="174" t="s">
        <v>493</v>
      </c>
      <c r="R27" s="175" t="s">
        <v>81</v>
      </c>
      <c r="S27" s="176"/>
    </row>
    <row r="28" spans="1:19">
      <c r="A28" s="167" t="s">
        <v>365</v>
      </c>
      <c r="B28" s="168"/>
      <c r="C28" s="168"/>
      <c r="D28" s="168"/>
      <c r="E28" s="168"/>
      <c r="F28" s="53">
        <v>11.3</v>
      </c>
      <c r="G28" s="196" t="s">
        <v>372</v>
      </c>
      <c r="H28" s="726">
        <v>55.718807220458984</v>
      </c>
      <c r="I28" s="56">
        <v>-2.4900000000000002</v>
      </c>
      <c r="J28" s="577">
        <v>-1.7411633443832399</v>
      </c>
      <c r="K28" s="661">
        <f t="shared" si="1"/>
        <v>19.625070152373347</v>
      </c>
      <c r="L28" s="188" t="s">
        <v>255</v>
      </c>
      <c r="M28" s="52" t="s">
        <v>74</v>
      </c>
      <c r="N28" s="171" t="s">
        <v>82</v>
      </c>
      <c r="O28" s="172" t="s">
        <v>44</v>
      </c>
      <c r="P28" s="173" t="s">
        <v>58</v>
      </c>
      <c r="Q28" s="174" t="s">
        <v>493</v>
      </c>
      <c r="R28" s="175" t="s">
        <v>81</v>
      </c>
      <c r="S28" s="176"/>
    </row>
    <row r="29" spans="1:19">
      <c r="A29" s="167" t="s">
        <v>365</v>
      </c>
      <c r="B29" s="168"/>
      <c r="C29" s="168"/>
      <c r="D29" s="168"/>
      <c r="E29" s="168"/>
      <c r="F29" s="53">
        <v>9.6</v>
      </c>
      <c r="G29" s="196" t="s">
        <v>372</v>
      </c>
      <c r="H29" s="726">
        <v>55.890407562255859</v>
      </c>
      <c r="I29" s="56">
        <v>-2.52</v>
      </c>
      <c r="J29" s="577">
        <v>-1.7411633443832399</v>
      </c>
      <c r="K29" s="661">
        <f t="shared" si="1"/>
        <v>19.768394870313674</v>
      </c>
      <c r="L29" s="188" t="s">
        <v>255</v>
      </c>
      <c r="M29" s="52" t="s">
        <v>74</v>
      </c>
      <c r="N29" s="171" t="s">
        <v>82</v>
      </c>
      <c r="O29" s="172" t="s">
        <v>44</v>
      </c>
      <c r="P29" s="173" t="s">
        <v>58</v>
      </c>
      <c r="Q29" s="174" t="s">
        <v>493</v>
      </c>
      <c r="R29" s="175" t="s">
        <v>81</v>
      </c>
      <c r="S29" s="176"/>
    </row>
    <row r="30" spans="1:19">
      <c r="A30" s="167" t="s">
        <v>365</v>
      </c>
      <c r="B30" s="168"/>
      <c r="C30" s="168"/>
      <c r="D30" s="168"/>
      <c r="E30" s="168"/>
      <c r="F30" s="53">
        <v>9.1</v>
      </c>
      <c r="G30" s="196" t="s">
        <v>20</v>
      </c>
      <c r="H30" s="726">
        <v>55.940879821777344</v>
      </c>
      <c r="I30" s="56">
        <v>-2.48</v>
      </c>
      <c r="J30" s="577">
        <v>-1.7411633443832399</v>
      </c>
      <c r="K30" s="661">
        <f t="shared" si="1"/>
        <v>19.577331246393232</v>
      </c>
      <c r="L30" s="188" t="s">
        <v>255</v>
      </c>
      <c r="M30" s="52" t="s">
        <v>74</v>
      </c>
      <c r="N30" s="171" t="s">
        <v>82</v>
      </c>
      <c r="O30" s="172" t="s">
        <v>44</v>
      </c>
      <c r="P30" s="173" t="s">
        <v>58</v>
      </c>
      <c r="Q30" s="174" t="s">
        <v>493</v>
      </c>
      <c r="R30" s="175" t="s">
        <v>81</v>
      </c>
      <c r="S30" s="176"/>
    </row>
    <row r="31" spans="1:19">
      <c r="A31" s="167" t="s">
        <v>365</v>
      </c>
      <c r="B31" s="168"/>
      <c r="C31" s="168"/>
      <c r="D31" s="168"/>
      <c r="E31" s="168"/>
      <c r="F31" s="53">
        <v>9</v>
      </c>
      <c r="G31" s="196" t="s">
        <v>20</v>
      </c>
      <c r="H31" s="726">
        <v>55.950981140136719</v>
      </c>
      <c r="I31" s="56">
        <v>-2.52</v>
      </c>
      <c r="J31" s="577">
        <v>-1.7411633443832399</v>
      </c>
      <c r="K31" s="661">
        <f t="shared" si="1"/>
        <v>19.768394870313674</v>
      </c>
      <c r="L31" s="188" t="s">
        <v>255</v>
      </c>
      <c r="M31" s="52" t="s">
        <v>74</v>
      </c>
      <c r="N31" s="171" t="s">
        <v>82</v>
      </c>
      <c r="O31" s="172" t="s">
        <v>44</v>
      </c>
      <c r="P31" s="173" t="s">
        <v>58</v>
      </c>
      <c r="Q31" s="174" t="s">
        <v>493</v>
      </c>
      <c r="R31" s="175" t="s">
        <v>81</v>
      </c>
      <c r="S31" s="176"/>
    </row>
    <row r="32" spans="1:19">
      <c r="A32" s="167" t="s">
        <v>365</v>
      </c>
      <c r="B32" s="168"/>
      <c r="C32" s="168"/>
      <c r="D32" s="168"/>
      <c r="E32" s="168"/>
      <c r="F32" s="53">
        <v>8.9</v>
      </c>
      <c r="G32" s="196" t="s">
        <v>20</v>
      </c>
      <c r="H32" s="726">
        <v>55.961082458496094</v>
      </c>
      <c r="I32" s="56">
        <v>-2.83</v>
      </c>
      <c r="J32" s="577">
        <v>-1.7411633443832399</v>
      </c>
      <c r="K32" s="661">
        <f t="shared" si="1"/>
        <v>21.258902955697092</v>
      </c>
      <c r="L32" s="188" t="s">
        <v>255</v>
      </c>
      <c r="M32" s="52" t="s">
        <v>74</v>
      </c>
      <c r="N32" s="171" t="s">
        <v>82</v>
      </c>
      <c r="O32" s="172" t="s">
        <v>44</v>
      </c>
      <c r="P32" s="173" t="s">
        <v>58</v>
      </c>
      <c r="Q32" s="174" t="s">
        <v>493</v>
      </c>
      <c r="R32" s="175" t="s">
        <v>81</v>
      </c>
      <c r="S32" s="176"/>
    </row>
    <row r="33" spans="1:19">
      <c r="A33" s="167" t="s">
        <v>365</v>
      </c>
      <c r="B33" s="168"/>
      <c r="C33" s="168"/>
      <c r="D33" s="168"/>
      <c r="E33" s="168"/>
      <c r="F33" s="53">
        <v>8.8000000000000007</v>
      </c>
      <c r="G33" s="196" t="s">
        <v>20</v>
      </c>
      <c r="H33" s="726">
        <v>55.971164703369141</v>
      </c>
      <c r="I33" s="56">
        <v>-2.61</v>
      </c>
      <c r="J33" s="577">
        <v>-1.7411633443832399</v>
      </c>
      <c r="K33" s="661">
        <f t="shared" si="1"/>
        <v>20.199341024134668</v>
      </c>
      <c r="L33" s="188" t="s">
        <v>255</v>
      </c>
      <c r="M33" s="52" t="s">
        <v>74</v>
      </c>
      <c r="N33" s="171" t="s">
        <v>82</v>
      </c>
      <c r="O33" s="172" t="s">
        <v>44</v>
      </c>
      <c r="P33" s="173" t="s">
        <v>58</v>
      </c>
      <c r="Q33" s="174" t="s">
        <v>493</v>
      </c>
      <c r="R33" s="175" t="s">
        <v>81</v>
      </c>
      <c r="S33" s="176"/>
    </row>
    <row r="34" spans="1:19">
      <c r="A34" s="167" t="s">
        <v>365</v>
      </c>
      <c r="B34" s="168"/>
      <c r="C34" s="168"/>
      <c r="D34" s="168"/>
      <c r="E34" s="168"/>
      <c r="F34" s="53">
        <v>8.6999999999999993</v>
      </c>
      <c r="G34" s="196" t="s">
        <v>20</v>
      </c>
      <c r="H34" s="726">
        <v>55.981266021728516</v>
      </c>
      <c r="I34" s="56">
        <v>-2.61</v>
      </c>
      <c r="J34" s="577">
        <v>-1.7411633443832399</v>
      </c>
      <c r="K34" s="661">
        <f t="shared" si="1"/>
        <v>20.199341024134668</v>
      </c>
      <c r="L34" s="188" t="s">
        <v>255</v>
      </c>
      <c r="M34" s="52" t="s">
        <v>74</v>
      </c>
      <c r="N34" s="171" t="s">
        <v>82</v>
      </c>
      <c r="O34" s="172" t="s">
        <v>44</v>
      </c>
      <c r="P34" s="173" t="s">
        <v>58</v>
      </c>
      <c r="Q34" s="174" t="s">
        <v>493</v>
      </c>
      <c r="R34" s="175" t="s">
        <v>81</v>
      </c>
      <c r="S34" s="176"/>
    </row>
    <row r="35" spans="1:19">
      <c r="A35" s="167" t="s">
        <v>365</v>
      </c>
      <c r="B35" s="168"/>
      <c r="C35" s="168"/>
      <c r="D35" s="168"/>
      <c r="E35" s="168"/>
      <c r="F35" s="53">
        <v>8.6</v>
      </c>
      <c r="G35" s="196" t="s">
        <v>20</v>
      </c>
      <c r="H35" s="726">
        <v>55.991352081298828</v>
      </c>
      <c r="I35" s="56">
        <v>-2.44</v>
      </c>
      <c r="J35" s="577">
        <v>-1.7411633443832399</v>
      </c>
      <c r="K35" s="661">
        <f t="shared" si="1"/>
        <v>19.386555622472791</v>
      </c>
      <c r="L35" s="188" t="s">
        <v>255</v>
      </c>
      <c r="M35" s="52" t="s">
        <v>74</v>
      </c>
      <c r="N35" s="171" t="s">
        <v>82</v>
      </c>
      <c r="O35" s="172" t="s">
        <v>44</v>
      </c>
      <c r="P35" s="173" t="s">
        <v>58</v>
      </c>
      <c r="Q35" s="174" t="s">
        <v>493</v>
      </c>
      <c r="R35" s="175" t="s">
        <v>81</v>
      </c>
      <c r="S35" s="176"/>
    </row>
    <row r="36" spans="1:19">
      <c r="A36" s="167" t="s">
        <v>365</v>
      </c>
      <c r="B36" s="168"/>
      <c r="C36" s="168"/>
      <c r="D36" s="168"/>
      <c r="E36" s="168"/>
      <c r="F36" s="53">
        <v>7.9</v>
      </c>
      <c r="G36" s="196" t="s">
        <v>20</v>
      </c>
      <c r="H36" s="726">
        <v>56.062023162841797</v>
      </c>
      <c r="I36" s="56">
        <v>-2.96</v>
      </c>
      <c r="J36" s="577">
        <v>-1.7411633443832399</v>
      </c>
      <c r="K36" s="661">
        <f t="shared" si="1"/>
        <v>21.88910273343852</v>
      </c>
      <c r="L36" s="188" t="s">
        <v>255</v>
      </c>
      <c r="M36" s="52" t="s">
        <v>74</v>
      </c>
      <c r="N36" s="171" t="s">
        <v>82</v>
      </c>
      <c r="O36" s="172" t="s">
        <v>44</v>
      </c>
      <c r="P36" s="173" t="s">
        <v>58</v>
      </c>
      <c r="Q36" s="174" t="s">
        <v>493</v>
      </c>
      <c r="R36" s="175" t="s">
        <v>81</v>
      </c>
      <c r="S36" s="176"/>
    </row>
    <row r="37" spans="1:19">
      <c r="A37" s="167" t="s">
        <v>365</v>
      </c>
      <c r="B37" s="168"/>
      <c r="C37" s="168"/>
      <c r="D37" s="168"/>
      <c r="E37" s="168"/>
      <c r="F37" s="53">
        <v>7.7</v>
      </c>
      <c r="G37" s="196" t="s">
        <v>20</v>
      </c>
      <c r="H37" s="726">
        <v>56.082210540771484</v>
      </c>
      <c r="I37" s="56">
        <v>-2.41</v>
      </c>
      <c r="J37" s="577">
        <v>-1.7411633443832399</v>
      </c>
      <c r="K37" s="661">
        <f t="shared" si="1"/>
        <v>19.243662904532464</v>
      </c>
      <c r="L37" s="188" t="s">
        <v>255</v>
      </c>
      <c r="M37" s="52" t="s">
        <v>74</v>
      </c>
      <c r="N37" s="171" t="s">
        <v>82</v>
      </c>
      <c r="O37" s="172" t="s">
        <v>44</v>
      </c>
      <c r="P37" s="173" t="s">
        <v>58</v>
      </c>
      <c r="Q37" s="174" t="s">
        <v>493</v>
      </c>
      <c r="R37" s="175" t="s">
        <v>81</v>
      </c>
      <c r="S37" s="176"/>
    </row>
    <row r="38" spans="1:19">
      <c r="A38" s="167" t="s">
        <v>365</v>
      </c>
      <c r="B38" s="168"/>
      <c r="C38" s="168"/>
      <c r="D38" s="168"/>
      <c r="E38" s="168"/>
      <c r="F38" s="53">
        <v>7.6</v>
      </c>
      <c r="G38" s="196" t="s">
        <v>20</v>
      </c>
      <c r="H38" s="726">
        <v>56.092296600341797</v>
      </c>
      <c r="I38" s="56">
        <v>-2.78</v>
      </c>
      <c r="J38" s="577">
        <v>-1.7411633443832399</v>
      </c>
      <c r="K38" s="661">
        <f t="shared" si="1"/>
        <v>21.017328425796538</v>
      </c>
      <c r="L38" s="188" t="s">
        <v>255</v>
      </c>
      <c r="M38" s="52" t="s">
        <v>74</v>
      </c>
      <c r="N38" s="171" t="s">
        <v>82</v>
      </c>
      <c r="O38" s="172" t="s">
        <v>44</v>
      </c>
      <c r="P38" s="173" t="s">
        <v>58</v>
      </c>
      <c r="Q38" s="174" t="s">
        <v>493</v>
      </c>
      <c r="R38" s="175" t="s">
        <v>81</v>
      </c>
      <c r="S38" s="176"/>
    </row>
    <row r="39" spans="1:19">
      <c r="A39" s="167" t="s">
        <v>365</v>
      </c>
      <c r="B39" s="168"/>
      <c r="C39" s="168"/>
      <c r="D39" s="168"/>
      <c r="E39" s="168"/>
      <c r="F39" s="53">
        <v>7.5</v>
      </c>
      <c r="G39" s="196" t="s">
        <v>20</v>
      </c>
      <c r="H39" s="726">
        <v>56.102397918701172</v>
      </c>
      <c r="I39" s="56">
        <v>-2.4900000000000002</v>
      </c>
      <c r="J39" s="577">
        <v>-1.7411633443832399</v>
      </c>
      <c r="K39" s="661">
        <f t="shared" si="1"/>
        <v>19.625070152373347</v>
      </c>
      <c r="L39" s="188" t="s">
        <v>255</v>
      </c>
      <c r="M39" s="52" t="s">
        <v>74</v>
      </c>
      <c r="N39" s="171" t="s">
        <v>82</v>
      </c>
      <c r="O39" s="172" t="s">
        <v>44</v>
      </c>
      <c r="P39" s="173" t="s">
        <v>58</v>
      </c>
      <c r="Q39" s="174" t="s">
        <v>493</v>
      </c>
      <c r="R39" s="175" t="s">
        <v>81</v>
      </c>
      <c r="S39" s="176"/>
    </row>
    <row r="40" spans="1:19">
      <c r="A40" s="167" t="s">
        <v>365</v>
      </c>
      <c r="B40" s="168"/>
      <c r="C40" s="168"/>
      <c r="D40" s="168"/>
      <c r="E40" s="168"/>
      <c r="F40" s="53">
        <v>7.4</v>
      </c>
      <c r="G40" s="196" t="s">
        <v>20</v>
      </c>
      <c r="H40" s="726">
        <v>56.112495422363281</v>
      </c>
      <c r="I40" s="56">
        <v>-2.58</v>
      </c>
      <c r="J40" s="577">
        <v>-1.7411633443832399</v>
      </c>
      <c r="K40" s="661">
        <f t="shared" si="1"/>
        <v>20.055530306194338</v>
      </c>
      <c r="L40" s="188" t="s">
        <v>255</v>
      </c>
      <c r="M40" s="52" t="s">
        <v>74</v>
      </c>
      <c r="N40" s="171" t="s">
        <v>82</v>
      </c>
      <c r="O40" s="172" t="s">
        <v>44</v>
      </c>
      <c r="P40" s="173" t="s">
        <v>58</v>
      </c>
      <c r="Q40" s="174" t="s">
        <v>493</v>
      </c>
      <c r="R40" s="175" t="s">
        <v>81</v>
      </c>
      <c r="S40" s="176"/>
    </row>
    <row r="41" spans="1:19">
      <c r="A41" s="177" t="s">
        <v>365</v>
      </c>
      <c r="B41" s="178"/>
      <c r="C41" s="178"/>
      <c r="D41" s="178"/>
      <c r="E41" s="178"/>
      <c r="F41" s="179">
        <v>7.03</v>
      </c>
      <c r="G41" s="226" t="s">
        <v>20</v>
      </c>
      <c r="H41" s="222">
        <v>56.149833679199219</v>
      </c>
      <c r="I41" s="181">
        <v>-2.42</v>
      </c>
      <c r="J41" s="182">
        <v>-1.7411633443832399</v>
      </c>
      <c r="K41" s="788">
        <f t="shared" si="1"/>
        <v>19.29127581051257</v>
      </c>
      <c r="L41" s="189" t="s">
        <v>255</v>
      </c>
      <c r="M41" s="183" t="s">
        <v>74</v>
      </c>
      <c r="N41" s="184" t="s">
        <v>82</v>
      </c>
      <c r="O41" s="185" t="s">
        <v>44</v>
      </c>
      <c r="P41" s="186" t="s">
        <v>58</v>
      </c>
      <c r="Q41" s="187" t="s">
        <v>493</v>
      </c>
      <c r="R41" s="175" t="s">
        <v>81</v>
      </c>
      <c r="S41" s="223" t="s">
        <v>704</v>
      </c>
    </row>
    <row r="42" spans="1:19">
      <c r="A42" s="167" t="s">
        <v>365</v>
      </c>
      <c r="B42" s="168"/>
      <c r="C42" s="168"/>
      <c r="D42" s="168"/>
      <c r="E42" s="168"/>
      <c r="F42" s="53">
        <v>76.768000000000001</v>
      </c>
      <c r="G42" s="53" t="s">
        <v>21</v>
      </c>
      <c r="H42" s="726">
        <v>49.110202789306641</v>
      </c>
      <c r="I42" s="56">
        <v>-1.94</v>
      </c>
      <c r="J42" s="577">
        <v>-1.7411633443832399</v>
      </c>
      <c r="K42" s="233">
        <f t="shared" si="1"/>
        <v>17.026160323467284</v>
      </c>
      <c r="L42" s="224" t="s">
        <v>668</v>
      </c>
      <c r="M42" s="52" t="s">
        <v>74</v>
      </c>
      <c r="N42" s="171" t="s">
        <v>82</v>
      </c>
      <c r="O42" s="172" t="s">
        <v>35</v>
      </c>
      <c r="P42" s="173" t="s">
        <v>58</v>
      </c>
      <c r="Q42" s="174" t="s">
        <v>493</v>
      </c>
      <c r="R42" s="175" t="s">
        <v>81</v>
      </c>
      <c r="S42" s="176" t="s">
        <v>701</v>
      </c>
    </row>
    <row r="43" spans="1:19">
      <c r="A43" s="167" t="s">
        <v>365</v>
      </c>
      <c r="B43" s="168"/>
      <c r="C43" s="168"/>
      <c r="D43" s="168"/>
      <c r="E43" s="168"/>
      <c r="F43" s="53">
        <v>73.302000000000007</v>
      </c>
      <c r="G43" s="53" t="s">
        <v>21</v>
      </c>
      <c r="H43" s="726">
        <v>49.460075378417969</v>
      </c>
      <c r="I43" s="56">
        <v>-2.34</v>
      </c>
      <c r="J43" s="577">
        <v>-1.7411633443832399</v>
      </c>
      <c r="K43" s="233">
        <f t="shared" si="1"/>
        <v>18.910876562671692</v>
      </c>
      <c r="L43" s="224" t="s">
        <v>668</v>
      </c>
      <c r="M43" s="52" t="s">
        <v>74</v>
      </c>
      <c r="N43" s="171" t="s">
        <v>82</v>
      </c>
      <c r="O43" s="172" t="s">
        <v>35</v>
      </c>
      <c r="P43" s="173" t="s">
        <v>58</v>
      </c>
      <c r="Q43" s="174" t="s">
        <v>493</v>
      </c>
      <c r="R43" s="175" t="s">
        <v>81</v>
      </c>
      <c r="S43" s="176" t="s">
        <v>701</v>
      </c>
    </row>
    <row r="44" spans="1:19">
      <c r="A44" s="167" t="s">
        <v>365</v>
      </c>
      <c r="B44" s="168"/>
      <c r="C44" s="168"/>
      <c r="D44" s="168"/>
      <c r="E44" s="168"/>
      <c r="F44" s="53">
        <v>69.668000000000006</v>
      </c>
      <c r="G44" s="53" t="s">
        <v>21</v>
      </c>
      <c r="H44" s="726">
        <v>49.826904296875</v>
      </c>
      <c r="I44" s="56">
        <v>-2.65</v>
      </c>
      <c r="J44" s="577">
        <v>-1.7411633443832399</v>
      </c>
      <c r="K44" s="233">
        <f t="shared" si="1"/>
        <v>20.39134064805511</v>
      </c>
      <c r="L44" s="224" t="s">
        <v>668</v>
      </c>
      <c r="M44" s="52" t="s">
        <v>74</v>
      </c>
      <c r="N44" s="171" t="s">
        <v>82</v>
      </c>
      <c r="O44" s="172" t="s">
        <v>35</v>
      </c>
      <c r="P44" s="173" t="s">
        <v>58</v>
      </c>
      <c r="Q44" s="174" t="s">
        <v>493</v>
      </c>
      <c r="R44" s="175" t="s">
        <v>81</v>
      </c>
      <c r="S44" s="176" t="s">
        <v>701</v>
      </c>
    </row>
    <row r="45" spans="1:19">
      <c r="A45" s="167" t="s">
        <v>365</v>
      </c>
      <c r="B45" s="168"/>
      <c r="C45" s="168"/>
      <c r="D45" s="168"/>
      <c r="E45" s="168"/>
      <c r="F45" s="53">
        <v>30.7</v>
      </c>
      <c r="G45" s="53" t="s">
        <v>21</v>
      </c>
      <c r="H45" s="726">
        <v>53.760494232177734</v>
      </c>
      <c r="I45" s="56">
        <v>-2.31</v>
      </c>
      <c r="J45" s="577">
        <v>-1.7411633443832399</v>
      </c>
      <c r="K45" s="233">
        <f t="shared" si="1"/>
        <v>18.768523844731362</v>
      </c>
      <c r="L45" s="224" t="s">
        <v>668</v>
      </c>
      <c r="M45" s="52" t="s">
        <v>74</v>
      </c>
      <c r="N45" s="171" t="s">
        <v>82</v>
      </c>
      <c r="O45" s="172" t="s">
        <v>35</v>
      </c>
      <c r="P45" s="173" t="s">
        <v>58</v>
      </c>
      <c r="Q45" s="174" t="s">
        <v>493</v>
      </c>
      <c r="R45" s="175" t="s">
        <v>81</v>
      </c>
      <c r="S45" s="176" t="s">
        <v>702</v>
      </c>
    </row>
    <row r="46" spans="1:19">
      <c r="A46" s="167" t="s">
        <v>365</v>
      </c>
      <c r="B46" s="168"/>
      <c r="C46" s="168"/>
      <c r="D46" s="168"/>
      <c r="E46" s="168"/>
      <c r="F46" s="53">
        <v>26.5</v>
      </c>
      <c r="G46" s="53" t="s">
        <v>586</v>
      </c>
      <c r="H46" s="726">
        <v>54.184459686279297</v>
      </c>
      <c r="I46" s="56">
        <v>-2.2200000000000002</v>
      </c>
      <c r="J46" s="577">
        <v>-1.7411633443832399</v>
      </c>
      <c r="K46" s="661">
        <f t="shared" si="1"/>
        <v>18.342437690910369</v>
      </c>
      <c r="L46" s="224" t="s">
        <v>668</v>
      </c>
      <c r="M46" s="52" t="s">
        <v>74</v>
      </c>
      <c r="N46" s="171" t="s">
        <v>82</v>
      </c>
      <c r="O46" s="172" t="s">
        <v>35</v>
      </c>
      <c r="P46" s="173" t="s">
        <v>58</v>
      </c>
      <c r="Q46" s="174" t="s">
        <v>493</v>
      </c>
      <c r="R46" s="175" t="s">
        <v>81</v>
      </c>
      <c r="S46" s="176" t="s">
        <v>703</v>
      </c>
    </row>
    <row r="47" spans="1:19">
      <c r="A47" s="167" t="s">
        <v>365</v>
      </c>
      <c r="B47" s="168"/>
      <c r="C47" s="168"/>
      <c r="D47" s="168"/>
      <c r="E47" s="168"/>
      <c r="F47" s="53">
        <v>19.5</v>
      </c>
      <c r="G47" s="196" t="s">
        <v>372</v>
      </c>
      <c r="H47" s="726">
        <v>54.891067504882813</v>
      </c>
      <c r="I47" s="56">
        <v>-2.44</v>
      </c>
      <c r="J47" s="577">
        <v>-1.7411633443832399</v>
      </c>
      <c r="K47" s="661">
        <f t="shared" si="1"/>
        <v>19.386555622472791</v>
      </c>
      <c r="L47" s="224" t="s">
        <v>668</v>
      </c>
      <c r="M47" s="52" t="s">
        <v>74</v>
      </c>
      <c r="N47" s="171" t="s">
        <v>82</v>
      </c>
      <c r="O47" s="172" t="s">
        <v>35</v>
      </c>
      <c r="P47" s="173" t="s">
        <v>58</v>
      </c>
      <c r="Q47" s="174" t="s">
        <v>493</v>
      </c>
      <c r="R47" s="175" t="s">
        <v>81</v>
      </c>
      <c r="S47" s="176"/>
    </row>
    <row r="48" spans="1:19">
      <c r="A48" s="167" t="s">
        <v>365</v>
      </c>
      <c r="B48" s="168"/>
      <c r="C48" s="168"/>
      <c r="D48" s="168"/>
      <c r="E48" s="168"/>
      <c r="F48" s="53">
        <v>18.100000000000001</v>
      </c>
      <c r="G48" s="196" t="s">
        <v>372</v>
      </c>
      <c r="H48" s="726">
        <v>55.032382965087891</v>
      </c>
      <c r="I48" s="56">
        <v>-2.48</v>
      </c>
      <c r="J48" s="577">
        <v>-1.7411633443832399</v>
      </c>
      <c r="K48" s="661">
        <f t="shared" si="1"/>
        <v>19.577331246393232</v>
      </c>
      <c r="L48" s="224" t="s">
        <v>668</v>
      </c>
      <c r="M48" s="52" t="s">
        <v>74</v>
      </c>
      <c r="N48" s="171" t="s">
        <v>82</v>
      </c>
      <c r="O48" s="172" t="s">
        <v>35</v>
      </c>
      <c r="P48" s="173" t="s">
        <v>58</v>
      </c>
      <c r="Q48" s="174" t="s">
        <v>493</v>
      </c>
      <c r="R48" s="175" t="s">
        <v>81</v>
      </c>
      <c r="S48" s="176"/>
    </row>
    <row r="49" spans="1:19">
      <c r="A49" s="167" t="s">
        <v>365</v>
      </c>
      <c r="B49" s="168"/>
      <c r="C49" s="168"/>
      <c r="D49" s="168"/>
      <c r="E49" s="168"/>
      <c r="F49" s="53">
        <v>17.5</v>
      </c>
      <c r="G49" s="196" t="s">
        <v>372</v>
      </c>
      <c r="H49" s="726">
        <v>55.09295654296875</v>
      </c>
      <c r="I49" s="56">
        <v>-2.5299999999999998</v>
      </c>
      <c r="J49" s="577">
        <v>-1.7411633443832399</v>
      </c>
      <c r="K49" s="661">
        <f t="shared" si="1"/>
        <v>19.816205776293785</v>
      </c>
      <c r="L49" s="224" t="s">
        <v>668</v>
      </c>
      <c r="M49" s="52" t="s">
        <v>74</v>
      </c>
      <c r="N49" s="171" t="s">
        <v>82</v>
      </c>
      <c r="O49" s="172" t="s">
        <v>35</v>
      </c>
      <c r="P49" s="173" t="s">
        <v>58</v>
      </c>
      <c r="Q49" s="174" t="s">
        <v>493</v>
      </c>
      <c r="R49" s="175" t="s">
        <v>81</v>
      </c>
      <c r="S49" s="176"/>
    </row>
    <row r="50" spans="1:19">
      <c r="A50" s="167" t="s">
        <v>365</v>
      </c>
      <c r="B50" s="168"/>
      <c r="C50" s="168"/>
      <c r="D50" s="168"/>
      <c r="E50" s="168"/>
      <c r="F50" s="53">
        <v>16.600000000000001</v>
      </c>
      <c r="G50" s="196" t="s">
        <v>372</v>
      </c>
      <c r="H50" s="726">
        <v>55.183799743652344</v>
      </c>
      <c r="I50" s="56">
        <v>-2.27</v>
      </c>
      <c r="J50" s="577">
        <v>-1.7411633443832399</v>
      </c>
      <c r="K50" s="661">
        <f t="shared" si="1"/>
        <v>18.578972220810922</v>
      </c>
      <c r="L50" s="224" t="s">
        <v>668</v>
      </c>
      <c r="M50" s="52" t="s">
        <v>74</v>
      </c>
      <c r="N50" s="171" t="s">
        <v>82</v>
      </c>
      <c r="O50" s="172" t="s">
        <v>35</v>
      </c>
      <c r="P50" s="173" t="s">
        <v>58</v>
      </c>
      <c r="Q50" s="174" t="s">
        <v>493</v>
      </c>
      <c r="R50" s="175" t="s">
        <v>81</v>
      </c>
      <c r="S50" s="176"/>
    </row>
    <row r="51" spans="1:19">
      <c r="A51" s="167" t="s">
        <v>365</v>
      </c>
      <c r="B51" s="168"/>
      <c r="C51" s="168"/>
      <c r="D51" s="168"/>
      <c r="E51" s="168"/>
      <c r="F51" s="53">
        <v>16</v>
      </c>
      <c r="G51" s="196" t="s">
        <v>372</v>
      </c>
      <c r="H51" s="726">
        <v>55.244373321533203</v>
      </c>
      <c r="I51" s="56">
        <v>-2.94</v>
      </c>
      <c r="J51" s="577">
        <v>-1.7411633443832399</v>
      </c>
      <c r="K51" s="661">
        <f t="shared" si="1"/>
        <v>21.7919509214783</v>
      </c>
      <c r="L51" s="224" t="s">
        <v>668</v>
      </c>
      <c r="M51" s="52" t="s">
        <v>74</v>
      </c>
      <c r="N51" s="171" t="s">
        <v>82</v>
      </c>
      <c r="O51" s="172" t="s">
        <v>35</v>
      </c>
      <c r="P51" s="173" t="s">
        <v>58</v>
      </c>
      <c r="Q51" s="174" t="s">
        <v>493</v>
      </c>
      <c r="R51" s="175" t="s">
        <v>81</v>
      </c>
      <c r="S51" s="176"/>
    </row>
    <row r="52" spans="1:19">
      <c r="A52" s="167" t="s">
        <v>365</v>
      </c>
      <c r="B52" s="168"/>
      <c r="C52" s="168"/>
      <c r="D52" s="168"/>
      <c r="E52" s="168"/>
      <c r="F52" s="53">
        <v>15.2</v>
      </c>
      <c r="G52" s="196" t="s">
        <v>372</v>
      </c>
      <c r="H52" s="726">
        <v>55.325130462646484</v>
      </c>
      <c r="I52" s="56">
        <v>-3.02</v>
      </c>
      <c r="J52" s="577">
        <v>-1.7411633443832399</v>
      </c>
      <c r="K52" s="661">
        <f t="shared" si="1"/>
        <v>22.180990169319184</v>
      </c>
      <c r="L52" s="224" t="s">
        <v>668</v>
      </c>
      <c r="M52" s="52" t="s">
        <v>74</v>
      </c>
      <c r="N52" s="171" t="s">
        <v>82</v>
      </c>
      <c r="O52" s="172" t="s">
        <v>35</v>
      </c>
      <c r="P52" s="173" t="s">
        <v>58</v>
      </c>
      <c r="Q52" s="174" t="s">
        <v>493</v>
      </c>
      <c r="R52" s="175" t="s">
        <v>81</v>
      </c>
      <c r="S52" s="176" t="s">
        <v>699</v>
      </c>
    </row>
    <row r="53" spans="1:19">
      <c r="A53" s="167" t="s">
        <v>365</v>
      </c>
      <c r="B53" s="168"/>
      <c r="C53" s="168"/>
      <c r="D53" s="168"/>
      <c r="E53" s="168"/>
      <c r="F53" s="53">
        <v>13.8</v>
      </c>
      <c r="G53" s="196" t="s">
        <v>372</v>
      </c>
      <c r="H53" s="726">
        <v>55.466445922851563</v>
      </c>
      <c r="I53" s="56">
        <v>-2.5</v>
      </c>
      <c r="J53" s="577">
        <v>-1.7411633443832399</v>
      </c>
      <c r="K53" s="661">
        <f t="shared" si="1"/>
        <v>19.672827058353455</v>
      </c>
      <c r="L53" s="224" t="s">
        <v>668</v>
      </c>
      <c r="M53" s="52" t="s">
        <v>74</v>
      </c>
      <c r="N53" s="171" t="s">
        <v>82</v>
      </c>
      <c r="O53" s="172" t="s">
        <v>35</v>
      </c>
      <c r="P53" s="173" t="s">
        <v>58</v>
      </c>
      <c r="Q53" s="174" t="s">
        <v>493</v>
      </c>
      <c r="R53" s="175" t="s">
        <v>81</v>
      </c>
      <c r="S53" s="176"/>
    </row>
    <row r="54" spans="1:19">
      <c r="A54" s="167" t="s">
        <v>365</v>
      </c>
      <c r="B54" s="168"/>
      <c r="C54" s="168"/>
      <c r="D54" s="168"/>
      <c r="E54" s="168"/>
      <c r="F54" s="53">
        <v>13.7</v>
      </c>
      <c r="G54" s="196" t="s">
        <v>372</v>
      </c>
      <c r="H54" s="726">
        <v>55.476547241210938</v>
      </c>
      <c r="I54" s="56">
        <v>-2.93</v>
      </c>
      <c r="J54" s="577">
        <v>-1.7411633443832399</v>
      </c>
      <c r="K54" s="661">
        <f t="shared" si="1"/>
        <v>21.743402015498191</v>
      </c>
      <c r="L54" s="224" t="s">
        <v>668</v>
      </c>
      <c r="M54" s="52" t="s">
        <v>74</v>
      </c>
      <c r="N54" s="171" t="s">
        <v>82</v>
      </c>
      <c r="O54" s="172" t="s">
        <v>35</v>
      </c>
      <c r="P54" s="173" t="s">
        <v>58</v>
      </c>
      <c r="Q54" s="174" t="s">
        <v>493</v>
      </c>
      <c r="R54" s="175" t="s">
        <v>81</v>
      </c>
      <c r="S54" s="176"/>
    </row>
    <row r="55" spans="1:19">
      <c r="A55" s="167" t="s">
        <v>365</v>
      </c>
      <c r="B55" s="168"/>
      <c r="C55" s="168"/>
      <c r="D55" s="168"/>
      <c r="E55" s="168"/>
      <c r="F55" s="53">
        <v>12.7</v>
      </c>
      <c r="G55" s="196" t="s">
        <v>372</v>
      </c>
      <c r="H55" s="726">
        <v>55.577491760253906</v>
      </c>
      <c r="I55" s="56">
        <v>-2.7</v>
      </c>
      <c r="J55" s="577">
        <v>-1.7411633443832399</v>
      </c>
      <c r="K55" s="661">
        <f t="shared" si="1"/>
        <v>20.631745177955658</v>
      </c>
      <c r="L55" s="224" t="s">
        <v>668</v>
      </c>
      <c r="M55" s="52" t="s">
        <v>74</v>
      </c>
      <c r="N55" s="171" t="s">
        <v>82</v>
      </c>
      <c r="O55" s="172" t="s">
        <v>35</v>
      </c>
      <c r="P55" s="173" t="s">
        <v>58</v>
      </c>
      <c r="Q55" s="174" t="s">
        <v>493</v>
      </c>
      <c r="R55" s="175" t="s">
        <v>81</v>
      </c>
      <c r="S55" s="176"/>
    </row>
    <row r="56" spans="1:19">
      <c r="A56" s="167" t="s">
        <v>365</v>
      </c>
      <c r="B56" s="168"/>
      <c r="C56" s="168"/>
      <c r="D56" s="168"/>
      <c r="E56" s="168"/>
      <c r="F56" s="53">
        <v>12.1</v>
      </c>
      <c r="G56" s="196" t="s">
        <v>372</v>
      </c>
      <c r="H56" s="726">
        <v>55.638046264648438</v>
      </c>
      <c r="I56" s="56">
        <v>-2.78</v>
      </c>
      <c r="J56" s="577">
        <v>-1.7411633443832399</v>
      </c>
      <c r="K56" s="661">
        <f t="shared" si="1"/>
        <v>21.017328425796538</v>
      </c>
      <c r="L56" s="224" t="s">
        <v>668</v>
      </c>
      <c r="M56" s="52" t="s">
        <v>74</v>
      </c>
      <c r="N56" s="171" t="s">
        <v>82</v>
      </c>
      <c r="O56" s="172" t="s">
        <v>35</v>
      </c>
      <c r="P56" s="173" t="s">
        <v>58</v>
      </c>
      <c r="Q56" s="174" t="s">
        <v>493</v>
      </c>
      <c r="R56" s="175" t="s">
        <v>81</v>
      </c>
      <c r="S56" s="176"/>
    </row>
    <row r="57" spans="1:19">
      <c r="A57" s="167" t="s">
        <v>365</v>
      </c>
      <c r="B57" s="168"/>
      <c r="C57" s="168"/>
      <c r="D57" s="168"/>
      <c r="E57" s="168"/>
      <c r="F57" s="53">
        <v>11.3</v>
      </c>
      <c r="G57" s="196" t="s">
        <v>372</v>
      </c>
      <c r="H57" s="726">
        <v>55.718807220458984</v>
      </c>
      <c r="I57" s="56">
        <v>-2.67</v>
      </c>
      <c r="J57" s="577">
        <v>-1.7411633443832399</v>
      </c>
      <c r="K57" s="661">
        <f t="shared" si="1"/>
        <v>20.487448460015326</v>
      </c>
      <c r="L57" s="224" t="s">
        <v>668</v>
      </c>
      <c r="M57" s="52" t="s">
        <v>74</v>
      </c>
      <c r="N57" s="171" t="s">
        <v>82</v>
      </c>
      <c r="O57" s="172" t="s">
        <v>35</v>
      </c>
      <c r="P57" s="173" t="s">
        <v>58</v>
      </c>
      <c r="Q57" s="174" t="s">
        <v>493</v>
      </c>
      <c r="R57" s="175" t="s">
        <v>81</v>
      </c>
      <c r="S57" s="176"/>
    </row>
    <row r="58" spans="1:19">
      <c r="A58" s="167" t="s">
        <v>365</v>
      </c>
      <c r="B58" s="168"/>
      <c r="C58" s="168"/>
      <c r="D58" s="168"/>
      <c r="E58" s="168"/>
      <c r="F58" s="53">
        <v>9.6</v>
      </c>
      <c r="G58" s="196" t="s">
        <v>372</v>
      </c>
      <c r="H58" s="726">
        <v>55.890407562255859</v>
      </c>
      <c r="I58" s="56">
        <v>-3.08</v>
      </c>
      <c r="J58" s="577">
        <v>-1.7411633443832399</v>
      </c>
      <c r="K58" s="661">
        <f t="shared" si="1"/>
        <v>22.473525605199843</v>
      </c>
      <c r="L58" s="224" t="s">
        <v>668</v>
      </c>
      <c r="M58" s="52" t="s">
        <v>74</v>
      </c>
      <c r="N58" s="171" t="s">
        <v>82</v>
      </c>
      <c r="O58" s="172" t="s">
        <v>35</v>
      </c>
      <c r="P58" s="173" t="s">
        <v>58</v>
      </c>
      <c r="Q58" s="174" t="s">
        <v>493</v>
      </c>
      <c r="R58" s="175" t="s">
        <v>81</v>
      </c>
      <c r="S58" s="176"/>
    </row>
    <row r="59" spans="1:19">
      <c r="A59" s="167" t="s">
        <v>365</v>
      </c>
      <c r="B59" s="55"/>
      <c r="C59" s="196"/>
      <c r="D59" s="196"/>
      <c r="E59" s="196"/>
      <c r="F59" s="53">
        <v>9.1</v>
      </c>
      <c r="G59" s="196" t="s">
        <v>20</v>
      </c>
      <c r="H59" s="726">
        <v>55.940879821777344</v>
      </c>
      <c r="I59" s="56">
        <v>-2.62</v>
      </c>
      <c r="J59" s="577">
        <v>-1.7411633443832399</v>
      </c>
      <c r="K59" s="138">
        <f t="shared" si="1"/>
        <v>20.247313930114775</v>
      </c>
      <c r="L59" s="224" t="s">
        <v>668</v>
      </c>
      <c r="M59" s="52" t="s">
        <v>74</v>
      </c>
      <c r="N59" s="171" t="s">
        <v>82</v>
      </c>
      <c r="O59" s="172" t="s">
        <v>35</v>
      </c>
      <c r="P59" s="173" t="s">
        <v>58</v>
      </c>
      <c r="Q59" s="174" t="s">
        <v>493</v>
      </c>
      <c r="R59" s="175" t="s">
        <v>81</v>
      </c>
      <c r="S59" s="223"/>
    </row>
    <row r="60" spans="1:19">
      <c r="A60" s="167" t="s">
        <v>365</v>
      </c>
      <c r="B60" s="55"/>
      <c r="C60" s="196"/>
      <c r="D60" s="196"/>
      <c r="E60" s="196"/>
      <c r="F60" s="53">
        <v>9</v>
      </c>
      <c r="G60" s="196" t="s">
        <v>20</v>
      </c>
      <c r="H60" s="726">
        <v>55.950981140136719</v>
      </c>
      <c r="I60" s="56">
        <v>-2.9</v>
      </c>
      <c r="J60" s="577">
        <v>-1.7411633443832399</v>
      </c>
      <c r="K60" s="138">
        <f t="shared" si="1"/>
        <v>21.597863297557858</v>
      </c>
      <c r="L60" s="224" t="s">
        <v>668</v>
      </c>
      <c r="M60" s="52" t="s">
        <v>74</v>
      </c>
      <c r="N60" s="171" t="s">
        <v>82</v>
      </c>
      <c r="O60" s="172" t="s">
        <v>35</v>
      </c>
      <c r="P60" s="173" t="s">
        <v>58</v>
      </c>
      <c r="Q60" s="174" t="s">
        <v>493</v>
      </c>
      <c r="R60" s="175" t="s">
        <v>81</v>
      </c>
      <c r="S60" s="223"/>
    </row>
    <row r="61" spans="1:19">
      <c r="A61" s="167" t="s">
        <v>365</v>
      </c>
      <c r="B61" s="55"/>
      <c r="C61" s="196"/>
      <c r="D61" s="196"/>
      <c r="E61" s="196"/>
      <c r="F61" s="53">
        <v>8.9</v>
      </c>
      <c r="G61" s="196" t="s">
        <v>20</v>
      </c>
      <c r="H61" s="726">
        <v>55.961082458496094</v>
      </c>
      <c r="I61" s="56">
        <v>-2.8</v>
      </c>
      <c r="J61" s="577">
        <v>-1.7411633443832399</v>
      </c>
      <c r="K61" s="138">
        <f t="shared" si="1"/>
        <v>21.11390423775676</v>
      </c>
      <c r="L61" s="224" t="s">
        <v>668</v>
      </c>
      <c r="M61" s="52" t="s">
        <v>74</v>
      </c>
      <c r="N61" s="171" t="s">
        <v>82</v>
      </c>
      <c r="O61" s="172" t="s">
        <v>35</v>
      </c>
      <c r="P61" s="173" t="s">
        <v>58</v>
      </c>
      <c r="Q61" s="174" t="s">
        <v>493</v>
      </c>
      <c r="R61" s="175" t="s">
        <v>81</v>
      </c>
      <c r="S61" s="176"/>
    </row>
    <row r="62" spans="1:19">
      <c r="A62" s="167" t="s">
        <v>365</v>
      </c>
      <c r="B62" s="55"/>
      <c r="C62" s="196"/>
      <c r="D62" s="196"/>
      <c r="E62" s="196"/>
      <c r="F62" s="53">
        <v>8.8000000000000007</v>
      </c>
      <c r="G62" s="196" t="s">
        <v>20</v>
      </c>
      <c r="H62" s="726">
        <v>55.971164703369141</v>
      </c>
      <c r="I62" s="56">
        <v>-3.09</v>
      </c>
      <c r="J62" s="577">
        <v>-1.7411633443832399</v>
      </c>
      <c r="K62" s="138">
        <f t="shared" si="1"/>
        <v>22.522344511179952</v>
      </c>
      <c r="L62" s="224" t="s">
        <v>668</v>
      </c>
      <c r="M62" s="52" t="s">
        <v>74</v>
      </c>
      <c r="N62" s="171" t="s">
        <v>82</v>
      </c>
      <c r="O62" s="172" t="s">
        <v>35</v>
      </c>
      <c r="P62" s="173" t="s">
        <v>58</v>
      </c>
      <c r="Q62" s="174" t="s">
        <v>493</v>
      </c>
      <c r="R62" s="175" t="s">
        <v>81</v>
      </c>
      <c r="S62" s="176"/>
    </row>
    <row r="63" spans="1:19">
      <c r="A63" s="167" t="s">
        <v>365</v>
      </c>
      <c r="B63" s="55"/>
      <c r="C63" s="196"/>
      <c r="D63" s="196"/>
      <c r="E63" s="196"/>
      <c r="F63" s="53">
        <v>8.6999999999999993</v>
      </c>
      <c r="G63" s="196" t="s">
        <v>20</v>
      </c>
      <c r="H63" s="726">
        <v>55.981266021728516</v>
      </c>
      <c r="I63" s="56">
        <v>-2.91</v>
      </c>
      <c r="J63" s="577">
        <v>-1.7411633443832399</v>
      </c>
      <c r="K63" s="138">
        <f t="shared" si="1"/>
        <v>21.646358203537972</v>
      </c>
      <c r="L63" s="224" t="s">
        <v>668</v>
      </c>
      <c r="M63" s="52" t="s">
        <v>74</v>
      </c>
      <c r="N63" s="171" t="s">
        <v>82</v>
      </c>
      <c r="O63" s="172" t="s">
        <v>35</v>
      </c>
      <c r="P63" s="173" t="s">
        <v>58</v>
      </c>
      <c r="Q63" s="174" t="s">
        <v>493</v>
      </c>
      <c r="R63" s="175" t="s">
        <v>81</v>
      </c>
      <c r="S63" s="176"/>
    </row>
    <row r="64" spans="1:19">
      <c r="A64" s="167" t="s">
        <v>365</v>
      </c>
      <c r="B64" s="55"/>
      <c r="C64" s="196"/>
      <c r="D64" s="196"/>
      <c r="E64" s="196"/>
      <c r="F64" s="53">
        <v>8.6</v>
      </c>
      <c r="G64" s="196" t="s">
        <v>20</v>
      </c>
      <c r="H64" s="726">
        <v>55.991352081298828</v>
      </c>
      <c r="I64" s="56">
        <v>-3.11</v>
      </c>
      <c r="J64" s="577">
        <v>-1.7411633443832399</v>
      </c>
      <c r="K64" s="138">
        <f t="shared" si="1"/>
        <v>22.620036323140177</v>
      </c>
      <c r="L64" s="224" t="s">
        <v>668</v>
      </c>
      <c r="M64" s="52" t="s">
        <v>74</v>
      </c>
      <c r="N64" s="171" t="s">
        <v>82</v>
      </c>
      <c r="O64" s="172" t="s">
        <v>35</v>
      </c>
      <c r="P64" s="173" t="s">
        <v>58</v>
      </c>
      <c r="Q64" s="174" t="s">
        <v>493</v>
      </c>
      <c r="R64" s="175" t="s">
        <v>81</v>
      </c>
      <c r="S64" s="223"/>
    </row>
    <row r="65" spans="1:19">
      <c r="A65" s="167" t="s">
        <v>365</v>
      </c>
      <c r="B65" s="55"/>
      <c r="C65" s="196"/>
      <c r="D65" s="196"/>
      <c r="E65" s="196"/>
      <c r="F65" s="53">
        <v>7.9</v>
      </c>
      <c r="G65" s="196" t="s">
        <v>20</v>
      </c>
      <c r="H65" s="726">
        <v>56.062023162841797</v>
      </c>
      <c r="I65" s="56">
        <v>-3.1</v>
      </c>
      <c r="J65" s="577">
        <v>-1.7411633443832399</v>
      </c>
      <c r="K65" s="138">
        <f t="shared" si="1"/>
        <v>22.571181417160062</v>
      </c>
      <c r="L65" s="224" t="s">
        <v>668</v>
      </c>
      <c r="M65" s="52" t="s">
        <v>74</v>
      </c>
      <c r="N65" s="171" t="s">
        <v>82</v>
      </c>
      <c r="O65" s="172" t="s">
        <v>35</v>
      </c>
      <c r="P65" s="173" t="s">
        <v>58</v>
      </c>
      <c r="Q65" s="174" t="s">
        <v>493</v>
      </c>
      <c r="R65" s="175" t="s">
        <v>81</v>
      </c>
      <c r="S65" s="176"/>
    </row>
    <row r="66" spans="1:19">
      <c r="A66" s="167" t="s">
        <v>365</v>
      </c>
      <c r="B66" s="55"/>
      <c r="C66" s="196"/>
      <c r="D66" s="196"/>
      <c r="E66" s="196"/>
      <c r="F66" s="53">
        <v>7.7</v>
      </c>
      <c r="G66" s="196" t="s">
        <v>20</v>
      </c>
      <c r="H66" s="726">
        <v>56.082210540771484</v>
      </c>
      <c r="I66" s="56">
        <v>-2.96</v>
      </c>
      <c r="J66" s="577">
        <v>-1.7411633443832399</v>
      </c>
      <c r="K66" s="138">
        <f t="shared" si="1"/>
        <v>21.88910273343852</v>
      </c>
      <c r="L66" s="224" t="s">
        <v>668</v>
      </c>
      <c r="M66" s="52" t="s">
        <v>74</v>
      </c>
      <c r="N66" s="171" t="s">
        <v>82</v>
      </c>
      <c r="O66" s="172" t="s">
        <v>35</v>
      </c>
      <c r="P66" s="173" t="s">
        <v>58</v>
      </c>
      <c r="Q66" s="174" t="s">
        <v>493</v>
      </c>
      <c r="R66" s="175" t="s">
        <v>81</v>
      </c>
      <c r="S66" s="176"/>
    </row>
    <row r="67" spans="1:19">
      <c r="A67" s="167" t="s">
        <v>365</v>
      </c>
      <c r="B67" s="55"/>
      <c r="C67" s="196"/>
      <c r="D67" s="196"/>
      <c r="E67" s="196"/>
      <c r="F67" s="53">
        <v>7.6</v>
      </c>
      <c r="G67" s="196" t="s">
        <v>20</v>
      </c>
      <c r="H67" s="726">
        <v>56.092296600341797</v>
      </c>
      <c r="I67" s="56">
        <v>-3.07</v>
      </c>
      <c r="J67" s="577">
        <v>-1.7411633443832399</v>
      </c>
      <c r="K67" s="138">
        <f t="shared" si="1"/>
        <v>22.424724699219734</v>
      </c>
      <c r="L67" s="224" t="s">
        <v>668</v>
      </c>
      <c r="M67" s="52" t="s">
        <v>74</v>
      </c>
      <c r="N67" s="171" t="s">
        <v>82</v>
      </c>
      <c r="O67" s="172" t="s">
        <v>35</v>
      </c>
      <c r="P67" s="173" t="s">
        <v>58</v>
      </c>
      <c r="Q67" s="174" t="s">
        <v>493</v>
      </c>
      <c r="R67" s="175" t="s">
        <v>81</v>
      </c>
      <c r="S67" s="176"/>
    </row>
    <row r="68" spans="1:19">
      <c r="A68" s="167" t="s">
        <v>365</v>
      </c>
      <c r="B68" s="55"/>
      <c r="C68" s="196"/>
      <c r="D68" s="196"/>
      <c r="E68" s="196"/>
      <c r="F68" s="53">
        <v>7.5</v>
      </c>
      <c r="G68" s="196" t="s">
        <v>20</v>
      </c>
      <c r="H68" s="726">
        <v>56.102397918701172</v>
      </c>
      <c r="I68" s="56">
        <v>-3.09</v>
      </c>
      <c r="J68" s="577">
        <v>-1.7411633443832399</v>
      </c>
      <c r="K68" s="138">
        <f t="shared" si="1"/>
        <v>22.522344511179952</v>
      </c>
      <c r="L68" s="224" t="s">
        <v>668</v>
      </c>
      <c r="M68" s="52" t="s">
        <v>74</v>
      </c>
      <c r="N68" s="171" t="s">
        <v>82</v>
      </c>
      <c r="O68" s="172" t="s">
        <v>35</v>
      </c>
      <c r="P68" s="173" t="s">
        <v>58</v>
      </c>
      <c r="Q68" s="174" t="s">
        <v>493</v>
      </c>
      <c r="R68" s="175" t="s">
        <v>81</v>
      </c>
      <c r="S68" s="223"/>
    </row>
    <row r="69" spans="1:19">
      <c r="A69" s="167" t="s">
        <v>365</v>
      </c>
      <c r="B69" s="55"/>
      <c r="C69" s="196"/>
      <c r="D69" s="196"/>
      <c r="E69" s="196"/>
      <c r="F69" s="53">
        <v>7.4</v>
      </c>
      <c r="G69" s="196" t="s">
        <v>20</v>
      </c>
      <c r="H69" s="726">
        <v>56.112495422363281</v>
      </c>
      <c r="I69" s="56">
        <v>-3.07</v>
      </c>
      <c r="J69" s="577">
        <v>-1.7411633443832399</v>
      </c>
      <c r="K69" s="138">
        <f t="shared" si="1"/>
        <v>22.424724699219734</v>
      </c>
      <c r="L69" s="224" t="s">
        <v>668</v>
      </c>
      <c r="M69" s="52" t="s">
        <v>74</v>
      </c>
      <c r="N69" s="171" t="s">
        <v>82</v>
      </c>
      <c r="O69" s="172" t="s">
        <v>35</v>
      </c>
      <c r="P69" s="173" t="s">
        <v>58</v>
      </c>
      <c r="Q69" s="174" t="s">
        <v>493</v>
      </c>
      <c r="R69" s="175" t="s">
        <v>81</v>
      </c>
      <c r="S69" s="176"/>
    </row>
    <row r="70" spans="1:19">
      <c r="A70" s="177" t="s">
        <v>365</v>
      </c>
      <c r="B70" s="221"/>
      <c r="C70" s="226"/>
      <c r="D70" s="226"/>
      <c r="E70" s="226"/>
      <c r="F70" s="179">
        <v>7.03</v>
      </c>
      <c r="G70" s="226" t="s">
        <v>20</v>
      </c>
      <c r="H70" s="222">
        <v>56.149833679199219</v>
      </c>
      <c r="I70" s="181">
        <v>-3.28</v>
      </c>
      <c r="J70" s="182">
        <v>-1.7411633443832399</v>
      </c>
      <c r="K70" s="139">
        <f t="shared" si="1"/>
        <v>23.453323724802047</v>
      </c>
      <c r="L70" s="227" t="s">
        <v>668</v>
      </c>
      <c r="M70" s="183" t="s">
        <v>74</v>
      </c>
      <c r="N70" s="184" t="s">
        <v>82</v>
      </c>
      <c r="O70" s="185" t="s">
        <v>35</v>
      </c>
      <c r="P70" s="186" t="s">
        <v>58</v>
      </c>
      <c r="Q70" s="187" t="s">
        <v>493</v>
      </c>
      <c r="R70" s="175" t="s">
        <v>81</v>
      </c>
      <c r="S70" s="223" t="s">
        <v>704</v>
      </c>
    </row>
    <row r="71" spans="1:19">
      <c r="A71" s="167" t="s">
        <v>365</v>
      </c>
      <c r="B71" s="55"/>
      <c r="C71" s="196"/>
      <c r="D71" s="196"/>
      <c r="E71" s="196"/>
      <c r="F71" s="53">
        <v>19.5</v>
      </c>
      <c r="G71" s="196" t="s">
        <v>372</v>
      </c>
      <c r="H71" s="726">
        <v>54.891067504882813</v>
      </c>
      <c r="I71" s="56">
        <v>-2.74</v>
      </c>
      <c r="J71" s="577">
        <v>-1.7411633443832399</v>
      </c>
      <c r="K71" s="661">
        <f t="shared" si="1"/>
        <v>20.824392801876101</v>
      </c>
      <c r="L71" s="395" t="s">
        <v>366</v>
      </c>
      <c r="M71" s="52" t="s">
        <v>74</v>
      </c>
      <c r="N71" s="171" t="s">
        <v>82</v>
      </c>
      <c r="O71" s="172" t="s">
        <v>35</v>
      </c>
      <c r="P71" s="173" t="s">
        <v>58</v>
      </c>
      <c r="Q71" s="174" t="s">
        <v>493</v>
      </c>
      <c r="R71" s="175" t="s">
        <v>81</v>
      </c>
      <c r="S71" s="223"/>
    </row>
    <row r="72" spans="1:19">
      <c r="A72" s="167" t="s">
        <v>365</v>
      </c>
      <c r="B72" s="55"/>
      <c r="C72" s="196"/>
      <c r="D72" s="196"/>
      <c r="E72" s="196"/>
      <c r="F72" s="53">
        <v>18.100000000000001</v>
      </c>
      <c r="G72" s="196" t="s">
        <v>372</v>
      </c>
      <c r="H72" s="726">
        <v>55.032382965087891</v>
      </c>
      <c r="I72" s="56">
        <v>-2.21</v>
      </c>
      <c r="J72" s="577">
        <v>-1.7411633443832399</v>
      </c>
      <c r="K72" s="661">
        <f t="shared" si="1"/>
        <v>18.29518478493026</v>
      </c>
      <c r="L72" s="395" t="s">
        <v>366</v>
      </c>
      <c r="M72" s="52" t="s">
        <v>74</v>
      </c>
      <c r="N72" s="171" t="s">
        <v>82</v>
      </c>
      <c r="O72" s="172" t="s">
        <v>35</v>
      </c>
      <c r="P72" s="173" t="s">
        <v>58</v>
      </c>
      <c r="Q72" s="174" t="s">
        <v>493</v>
      </c>
      <c r="R72" s="175" t="s">
        <v>81</v>
      </c>
      <c r="S72" s="223"/>
    </row>
    <row r="73" spans="1:19">
      <c r="A73" s="167" t="s">
        <v>365</v>
      </c>
      <c r="B73" s="55"/>
      <c r="C73" s="196"/>
      <c r="D73" s="196"/>
      <c r="E73" s="196"/>
      <c r="F73" s="53">
        <v>16.600000000000001</v>
      </c>
      <c r="G73" s="196" t="s">
        <v>372</v>
      </c>
      <c r="H73" s="726">
        <v>55.183799743652344</v>
      </c>
      <c r="I73" s="56">
        <v>-2.66</v>
      </c>
      <c r="J73" s="577">
        <v>-1.7411633443832399</v>
      </c>
      <c r="K73" s="661">
        <f t="shared" si="1"/>
        <v>20.439385554035216</v>
      </c>
      <c r="L73" s="395" t="s">
        <v>366</v>
      </c>
      <c r="M73" s="52" t="s">
        <v>74</v>
      </c>
      <c r="N73" s="171" t="s">
        <v>82</v>
      </c>
      <c r="O73" s="172" t="s">
        <v>35</v>
      </c>
      <c r="P73" s="173" t="s">
        <v>58</v>
      </c>
      <c r="Q73" s="174" t="s">
        <v>493</v>
      </c>
      <c r="R73" s="175" t="s">
        <v>81</v>
      </c>
      <c r="S73" s="223"/>
    </row>
    <row r="74" spans="1:19">
      <c r="A74" s="167" t="s">
        <v>365</v>
      </c>
      <c r="B74" s="55"/>
      <c r="C74" s="196"/>
      <c r="D74" s="196"/>
      <c r="E74" s="196"/>
      <c r="F74" s="53">
        <v>15.2</v>
      </c>
      <c r="G74" s="196" t="s">
        <v>372</v>
      </c>
      <c r="H74" s="726">
        <v>55.325130462646484</v>
      </c>
      <c r="I74" s="56">
        <v>-2.72</v>
      </c>
      <c r="J74" s="577">
        <v>-1.7411633443832399</v>
      </c>
      <c r="K74" s="661">
        <f t="shared" si="1"/>
        <v>20.728032989915878</v>
      </c>
      <c r="L74" s="395" t="s">
        <v>366</v>
      </c>
      <c r="M74" s="52" t="s">
        <v>74</v>
      </c>
      <c r="N74" s="171" t="s">
        <v>82</v>
      </c>
      <c r="O74" s="172" t="s">
        <v>35</v>
      </c>
      <c r="P74" s="173" t="s">
        <v>58</v>
      </c>
      <c r="Q74" s="174" t="s">
        <v>493</v>
      </c>
      <c r="R74" s="175" t="s">
        <v>81</v>
      </c>
      <c r="S74" s="176" t="s">
        <v>699</v>
      </c>
    </row>
    <row r="75" spans="1:19">
      <c r="A75" s="167" t="s">
        <v>365</v>
      </c>
      <c r="B75" s="55"/>
      <c r="C75" s="196"/>
      <c r="D75" s="196"/>
      <c r="E75" s="196"/>
      <c r="F75" s="53">
        <v>13.8</v>
      </c>
      <c r="G75" s="196" t="s">
        <v>372</v>
      </c>
      <c r="H75" s="726">
        <v>55.466445922851563</v>
      </c>
      <c r="I75" s="56">
        <v>-2.82</v>
      </c>
      <c r="J75" s="577">
        <v>-1.7411633443832399</v>
      </c>
      <c r="K75" s="661">
        <f t="shared" si="1"/>
        <v>21.210552049716981</v>
      </c>
      <c r="L75" s="395" t="s">
        <v>366</v>
      </c>
      <c r="M75" s="52" t="s">
        <v>74</v>
      </c>
      <c r="N75" s="171" t="s">
        <v>82</v>
      </c>
      <c r="O75" s="172" t="s">
        <v>35</v>
      </c>
      <c r="P75" s="173" t="s">
        <v>58</v>
      </c>
      <c r="Q75" s="174" t="s">
        <v>493</v>
      </c>
      <c r="R75" s="175" t="s">
        <v>81</v>
      </c>
      <c r="S75" s="223"/>
    </row>
    <row r="76" spans="1:19">
      <c r="A76" s="167" t="s">
        <v>365</v>
      </c>
      <c r="B76" s="55"/>
      <c r="C76" s="196"/>
      <c r="D76" s="196"/>
      <c r="E76" s="196"/>
      <c r="F76" s="53">
        <v>13.7</v>
      </c>
      <c r="G76" s="196" t="s">
        <v>372</v>
      </c>
      <c r="H76" s="726">
        <v>55.476547241210938</v>
      </c>
      <c r="I76" s="56">
        <v>-2.85</v>
      </c>
      <c r="J76" s="577">
        <v>-1.7411633443832399</v>
      </c>
      <c r="K76" s="661">
        <f t="shared" ref="K76:K116" si="2">16.1-4.64*($I76-J76)+0.09*($I76-J76)^2</f>
        <v>21.35565876765731</v>
      </c>
      <c r="L76" s="395" t="s">
        <v>366</v>
      </c>
      <c r="M76" s="52" t="s">
        <v>74</v>
      </c>
      <c r="N76" s="171" t="s">
        <v>82</v>
      </c>
      <c r="O76" s="172" t="s">
        <v>35</v>
      </c>
      <c r="P76" s="173" t="s">
        <v>58</v>
      </c>
      <c r="Q76" s="174" t="s">
        <v>493</v>
      </c>
      <c r="R76" s="175" t="s">
        <v>81</v>
      </c>
      <c r="S76" s="223"/>
    </row>
    <row r="77" spans="1:19">
      <c r="A77" s="167" t="s">
        <v>365</v>
      </c>
      <c r="B77" s="55"/>
      <c r="C77" s="196"/>
      <c r="D77" s="196"/>
      <c r="E77" s="196"/>
      <c r="F77" s="53">
        <v>12.7</v>
      </c>
      <c r="G77" s="196" t="s">
        <v>372</v>
      </c>
      <c r="H77" s="726">
        <v>55.577491760253906</v>
      </c>
      <c r="I77" s="56">
        <v>-2.98</v>
      </c>
      <c r="J77" s="577">
        <v>-1.7411633443832399</v>
      </c>
      <c r="K77" s="661">
        <f t="shared" si="2"/>
        <v>21.986326545398743</v>
      </c>
      <c r="L77" s="395" t="s">
        <v>366</v>
      </c>
      <c r="M77" s="52" t="s">
        <v>74</v>
      </c>
      <c r="N77" s="171" t="s">
        <v>82</v>
      </c>
      <c r="O77" s="172" t="s">
        <v>35</v>
      </c>
      <c r="P77" s="173" t="s">
        <v>58</v>
      </c>
      <c r="Q77" s="174" t="s">
        <v>493</v>
      </c>
      <c r="R77" s="175" t="s">
        <v>81</v>
      </c>
      <c r="S77" s="223"/>
    </row>
    <row r="78" spans="1:19">
      <c r="A78" s="167" t="s">
        <v>365</v>
      </c>
      <c r="B78" s="55"/>
      <c r="C78" s="196"/>
      <c r="D78" s="196"/>
      <c r="E78" s="196"/>
      <c r="F78" s="53">
        <v>12.1</v>
      </c>
      <c r="G78" s="196" t="s">
        <v>372</v>
      </c>
      <c r="H78" s="726">
        <v>55.638046264648438</v>
      </c>
      <c r="I78" s="56">
        <v>-3.06</v>
      </c>
      <c r="J78" s="577">
        <v>-1.7411633443832399</v>
      </c>
      <c r="K78" s="661">
        <f t="shared" si="2"/>
        <v>22.375941793239626</v>
      </c>
      <c r="L78" s="395" t="s">
        <v>366</v>
      </c>
      <c r="M78" s="52" t="s">
        <v>74</v>
      </c>
      <c r="N78" s="171" t="s">
        <v>82</v>
      </c>
      <c r="O78" s="172" t="s">
        <v>35</v>
      </c>
      <c r="P78" s="173" t="s">
        <v>58</v>
      </c>
      <c r="Q78" s="174" t="s">
        <v>493</v>
      </c>
      <c r="R78" s="175" t="s">
        <v>81</v>
      </c>
      <c r="S78" s="223"/>
    </row>
    <row r="79" spans="1:19">
      <c r="A79" s="167" t="s">
        <v>365</v>
      </c>
      <c r="B79" s="55"/>
      <c r="C79" s="196"/>
      <c r="D79" s="196"/>
      <c r="E79" s="196"/>
      <c r="F79" s="53">
        <v>11.3</v>
      </c>
      <c r="G79" s="196" t="s">
        <v>372</v>
      </c>
      <c r="H79" s="726">
        <v>55.718807220458984</v>
      </c>
      <c r="I79" s="56">
        <v>-3</v>
      </c>
      <c r="J79" s="577">
        <v>-1.7411633443832399</v>
      </c>
      <c r="K79" s="661">
        <f t="shared" si="2"/>
        <v>22.083622357358962</v>
      </c>
      <c r="L79" s="395" t="s">
        <v>366</v>
      </c>
      <c r="M79" s="52" t="s">
        <v>74</v>
      </c>
      <c r="N79" s="171" t="s">
        <v>82</v>
      </c>
      <c r="O79" s="172" t="s">
        <v>35</v>
      </c>
      <c r="P79" s="173" t="s">
        <v>58</v>
      </c>
      <c r="Q79" s="174" t="s">
        <v>493</v>
      </c>
      <c r="R79" s="175" t="s">
        <v>81</v>
      </c>
      <c r="S79" s="223"/>
    </row>
    <row r="80" spans="1:19">
      <c r="A80" s="167" t="s">
        <v>365</v>
      </c>
      <c r="B80" s="55"/>
      <c r="C80" s="196"/>
      <c r="D80" s="196"/>
      <c r="E80" s="196"/>
      <c r="F80" s="53">
        <v>9.6</v>
      </c>
      <c r="G80" s="196" t="s">
        <v>372</v>
      </c>
      <c r="H80" s="726">
        <v>55.890407562255859</v>
      </c>
      <c r="I80" s="56">
        <v>-2.93</v>
      </c>
      <c r="J80" s="577">
        <v>-1.7411633443832399</v>
      </c>
      <c r="K80" s="661">
        <f t="shared" si="2"/>
        <v>21.743402015498191</v>
      </c>
      <c r="L80" s="395" t="s">
        <v>366</v>
      </c>
      <c r="M80" s="52" t="s">
        <v>74</v>
      </c>
      <c r="N80" s="171" t="s">
        <v>82</v>
      </c>
      <c r="O80" s="172" t="s">
        <v>35</v>
      </c>
      <c r="P80" s="173" t="s">
        <v>58</v>
      </c>
      <c r="Q80" s="174" t="s">
        <v>493</v>
      </c>
      <c r="R80" s="175" t="s">
        <v>81</v>
      </c>
      <c r="S80" s="223"/>
    </row>
    <row r="81" spans="1:19">
      <c r="A81" s="167" t="s">
        <v>365</v>
      </c>
      <c r="B81" s="55"/>
      <c r="C81" s="196"/>
      <c r="D81" s="196"/>
      <c r="E81" s="196"/>
      <c r="F81" s="53">
        <v>9.1</v>
      </c>
      <c r="G81" s="196" t="s">
        <v>20</v>
      </c>
      <c r="H81" s="726">
        <v>55.940879821777344</v>
      </c>
      <c r="I81" s="56">
        <v>-2.83</v>
      </c>
      <c r="J81" s="577">
        <v>-1.7411633443832399</v>
      </c>
      <c r="K81" s="138">
        <f t="shared" si="2"/>
        <v>21.258902955697092</v>
      </c>
      <c r="L81" s="395" t="s">
        <v>366</v>
      </c>
      <c r="M81" s="52" t="s">
        <v>74</v>
      </c>
      <c r="N81" s="171" t="s">
        <v>82</v>
      </c>
      <c r="O81" s="172" t="s">
        <v>35</v>
      </c>
      <c r="P81" s="173" t="s">
        <v>58</v>
      </c>
      <c r="Q81" s="174" t="s">
        <v>493</v>
      </c>
      <c r="R81" s="175" t="s">
        <v>81</v>
      </c>
      <c r="S81" s="223"/>
    </row>
    <row r="82" spans="1:19">
      <c r="A82" s="167" t="s">
        <v>365</v>
      </c>
      <c r="B82" s="55"/>
      <c r="C82" s="196"/>
      <c r="D82" s="196"/>
      <c r="E82" s="196"/>
      <c r="F82" s="53">
        <v>9</v>
      </c>
      <c r="G82" s="196" t="s">
        <v>20</v>
      </c>
      <c r="H82" s="726">
        <v>55.950981140136719</v>
      </c>
      <c r="I82" s="56">
        <v>-2.62</v>
      </c>
      <c r="J82" s="577">
        <v>-1.7411633443832399</v>
      </c>
      <c r="K82" s="138">
        <f t="shared" si="2"/>
        <v>20.247313930114775</v>
      </c>
      <c r="L82" s="395" t="s">
        <v>366</v>
      </c>
      <c r="M82" s="52" t="s">
        <v>74</v>
      </c>
      <c r="N82" s="171" t="s">
        <v>82</v>
      </c>
      <c r="O82" s="172" t="s">
        <v>35</v>
      </c>
      <c r="P82" s="173" t="s">
        <v>58</v>
      </c>
      <c r="Q82" s="174" t="s">
        <v>493</v>
      </c>
      <c r="R82" s="175" t="s">
        <v>81</v>
      </c>
      <c r="S82" s="223"/>
    </row>
    <row r="83" spans="1:19">
      <c r="A83" s="167" t="s">
        <v>365</v>
      </c>
      <c r="B83" s="55"/>
      <c r="C83" s="196"/>
      <c r="D83" s="196"/>
      <c r="E83" s="196"/>
      <c r="F83" s="53">
        <v>8.9</v>
      </c>
      <c r="G83" s="196" t="s">
        <v>20</v>
      </c>
      <c r="H83" s="726">
        <v>55.961082458496094</v>
      </c>
      <c r="I83" s="56">
        <v>-2.78</v>
      </c>
      <c r="J83" s="577">
        <v>-1.7411633443832399</v>
      </c>
      <c r="K83" s="138">
        <f t="shared" si="2"/>
        <v>21.017328425796538</v>
      </c>
      <c r="L83" s="395" t="s">
        <v>366</v>
      </c>
      <c r="M83" s="52" t="s">
        <v>74</v>
      </c>
      <c r="N83" s="171" t="s">
        <v>82</v>
      </c>
      <c r="O83" s="172" t="s">
        <v>35</v>
      </c>
      <c r="P83" s="173" t="s">
        <v>58</v>
      </c>
      <c r="Q83" s="174" t="s">
        <v>493</v>
      </c>
      <c r="R83" s="175" t="s">
        <v>81</v>
      </c>
      <c r="S83" s="223"/>
    </row>
    <row r="84" spans="1:19">
      <c r="A84" s="167" t="s">
        <v>365</v>
      </c>
      <c r="B84" s="55"/>
      <c r="C84" s="196"/>
      <c r="D84" s="196"/>
      <c r="E84" s="196"/>
      <c r="F84" s="53">
        <v>8.8000000000000007</v>
      </c>
      <c r="G84" s="196" t="s">
        <v>20</v>
      </c>
      <c r="H84" s="726">
        <v>55.971164703369141</v>
      </c>
      <c r="I84" s="56">
        <v>-2.93</v>
      </c>
      <c r="J84" s="577">
        <v>-1.7411633443832399</v>
      </c>
      <c r="K84" s="138">
        <f t="shared" si="2"/>
        <v>21.743402015498191</v>
      </c>
      <c r="L84" s="395" t="s">
        <v>366</v>
      </c>
      <c r="M84" s="52" t="s">
        <v>74</v>
      </c>
      <c r="N84" s="171" t="s">
        <v>82</v>
      </c>
      <c r="O84" s="172" t="s">
        <v>35</v>
      </c>
      <c r="P84" s="173" t="s">
        <v>58</v>
      </c>
      <c r="Q84" s="174" t="s">
        <v>493</v>
      </c>
      <c r="R84" s="175" t="s">
        <v>81</v>
      </c>
      <c r="S84" s="223"/>
    </row>
    <row r="85" spans="1:19">
      <c r="A85" s="167" t="s">
        <v>365</v>
      </c>
      <c r="B85" s="55"/>
      <c r="C85" s="196"/>
      <c r="D85" s="196"/>
      <c r="E85" s="196"/>
      <c r="F85" s="53">
        <v>8.6999999999999993</v>
      </c>
      <c r="G85" s="196" t="s">
        <v>20</v>
      </c>
      <c r="H85" s="726">
        <v>55.981266021728516</v>
      </c>
      <c r="I85" s="56">
        <v>-2.98</v>
      </c>
      <c r="J85" s="577">
        <v>-1.7411633443832399</v>
      </c>
      <c r="K85" s="138">
        <f t="shared" si="2"/>
        <v>21.986326545398743</v>
      </c>
      <c r="L85" s="395" t="s">
        <v>366</v>
      </c>
      <c r="M85" s="52" t="s">
        <v>74</v>
      </c>
      <c r="N85" s="171" t="s">
        <v>82</v>
      </c>
      <c r="O85" s="172" t="s">
        <v>35</v>
      </c>
      <c r="P85" s="173" t="s">
        <v>58</v>
      </c>
      <c r="Q85" s="174" t="s">
        <v>493</v>
      </c>
      <c r="R85" s="175" t="s">
        <v>81</v>
      </c>
      <c r="S85" s="223"/>
    </row>
    <row r="86" spans="1:19">
      <c r="A86" s="167" t="s">
        <v>365</v>
      </c>
      <c r="B86" s="55"/>
      <c r="C86" s="196"/>
      <c r="D86" s="196"/>
      <c r="E86" s="196"/>
      <c r="F86" s="53">
        <v>8.6</v>
      </c>
      <c r="G86" s="196" t="s">
        <v>20</v>
      </c>
      <c r="H86" s="726">
        <v>55.991352081298828</v>
      </c>
      <c r="I86" s="56">
        <v>-2.79</v>
      </c>
      <c r="J86" s="577">
        <v>-1.7411633443832399</v>
      </c>
      <c r="K86" s="138">
        <f t="shared" si="2"/>
        <v>21.065607331776651</v>
      </c>
      <c r="L86" s="395" t="s">
        <v>366</v>
      </c>
      <c r="M86" s="52" t="s">
        <v>74</v>
      </c>
      <c r="N86" s="171" t="s">
        <v>82</v>
      </c>
      <c r="O86" s="172" t="s">
        <v>35</v>
      </c>
      <c r="P86" s="173" t="s">
        <v>58</v>
      </c>
      <c r="Q86" s="174" t="s">
        <v>493</v>
      </c>
      <c r="R86" s="175" t="s">
        <v>81</v>
      </c>
      <c r="S86" s="223"/>
    </row>
    <row r="87" spans="1:19">
      <c r="A87" s="167" t="s">
        <v>365</v>
      </c>
      <c r="B87" s="55"/>
      <c r="C87" s="196"/>
      <c r="D87" s="196"/>
      <c r="E87" s="196"/>
      <c r="F87" s="53">
        <v>7.7</v>
      </c>
      <c r="G87" s="196" t="s">
        <v>20</v>
      </c>
      <c r="H87" s="726">
        <v>56.082210540771484</v>
      </c>
      <c r="I87" s="56">
        <v>-2.93</v>
      </c>
      <c r="J87" s="577">
        <v>-1.7411633443832399</v>
      </c>
      <c r="K87" s="138">
        <f t="shared" si="2"/>
        <v>21.743402015498191</v>
      </c>
      <c r="L87" s="395" t="s">
        <v>366</v>
      </c>
      <c r="M87" s="52" t="s">
        <v>74</v>
      </c>
      <c r="N87" s="171" t="s">
        <v>82</v>
      </c>
      <c r="O87" s="172" t="s">
        <v>35</v>
      </c>
      <c r="P87" s="173" t="s">
        <v>58</v>
      </c>
      <c r="Q87" s="174" t="s">
        <v>493</v>
      </c>
      <c r="R87" s="175" t="s">
        <v>81</v>
      </c>
      <c r="S87" s="223"/>
    </row>
    <row r="88" spans="1:19">
      <c r="A88" s="167" t="s">
        <v>365</v>
      </c>
      <c r="B88" s="55"/>
      <c r="C88" s="196"/>
      <c r="D88" s="196"/>
      <c r="E88" s="196"/>
      <c r="F88" s="53">
        <v>7.6</v>
      </c>
      <c r="G88" s="196" t="s">
        <v>20</v>
      </c>
      <c r="H88" s="726">
        <v>56.092296600341797</v>
      </c>
      <c r="I88" s="56">
        <v>-2.85</v>
      </c>
      <c r="J88" s="577">
        <v>-1.7411633443832399</v>
      </c>
      <c r="K88" s="138">
        <f t="shared" si="2"/>
        <v>21.35565876765731</v>
      </c>
      <c r="L88" s="395" t="s">
        <v>366</v>
      </c>
      <c r="M88" s="52" t="s">
        <v>74</v>
      </c>
      <c r="N88" s="171" t="s">
        <v>82</v>
      </c>
      <c r="O88" s="172" t="s">
        <v>35</v>
      </c>
      <c r="P88" s="173" t="s">
        <v>58</v>
      </c>
      <c r="Q88" s="174" t="s">
        <v>493</v>
      </c>
      <c r="R88" s="175" t="s">
        <v>81</v>
      </c>
      <c r="S88" s="223"/>
    </row>
    <row r="89" spans="1:19">
      <c r="A89" s="167" t="s">
        <v>365</v>
      </c>
      <c r="B89" s="55"/>
      <c r="C89" s="196"/>
      <c r="D89" s="196"/>
      <c r="E89" s="196"/>
      <c r="F89" s="53">
        <v>7.5</v>
      </c>
      <c r="G89" s="196" t="s">
        <v>20</v>
      </c>
      <c r="H89" s="726">
        <v>56.102397918701172</v>
      </c>
      <c r="I89" s="56">
        <v>-3.02</v>
      </c>
      <c r="J89" s="577">
        <v>-1.7411633443832399</v>
      </c>
      <c r="K89" s="138">
        <f t="shared" si="2"/>
        <v>22.180990169319184</v>
      </c>
      <c r="L89" s="395" t="s">
        <v>366</v>
      </c>
      <c r="M89" s="52" t="s">
        <v>74</v>
      </c>
      <c r="N89" s="171" t="s">
        <v>82</v>
      </c>
      <c r="O89" s="172" t="s">
        <v>35</v>
      </c>
      <c r="P89" s="173" t="s">
        <v>58</v>
      </c>
      <c r="Q89" s="174" t="s">
        <v>493</v>
      </c>
      <c r="R89" s="175" t="s">
        <v>81</v>
      </c>
      <c r="S89" s="223"/>
    </row>
    <row r="90" spans="1:19">
      <c r="A90" s="167" t="s">
        <v>365</v>
      </c>
      <c r="B90" s="55"/>
      <c r="C90" s="196"/>
      <c r="D90" s="196"/>
      <c r="E90" s="196"/>
      <c r="F90" s="53">
        <v>7.4</v>
      </c>
      <c r="G90" s="196" t="s">
        <v>20</v>
      </c>
      <c r="H90" s="726">
        <v>56.112495422363281</v>
      </c>
      <c r="I90" s="56">
        <v>-2.9</v>
      </c>
      <c r="J90" s="577">
        <v>-1.7411633443832399</v>
      </c>
      <c r="K90" s="138">
        <f t="shared" si="2"/>
        <v>21.597863297557858</v>
      </c>
      <c r="L90" s="395" t="s">
        <v>366</v>
      </c>
      <c r="M90" s="52" t="s">
        <v>74</v>
      </c>
      <c r="N90" s="171" t="s">
        <v>82</v>
      </c>
      <c r="O90" s="172" t="s">
        <v>35</v>
      </c>
      <c r="P90" s="173" t="s">
        <v>58</v>
      </c>
      <c r="Q90" s="174" t="s">
        <v>493</v>
      </c>
      <c r="R90" s="175" t="s">
        <v>81</v>
      </c>
      <c r="S90" s="223"/>
    </row>
    <row r="91" spans="1:19">
      <c r="A91" s="177" t="s">
        <v>365</v>
      </c>
      <c r="B91" s="221"/>
      <c r="C91" s="226"/>
      <c r="D91" s="226"/>
      <c r="E91" s="226"/>
      <c r="F91" s="179">
        <v>7.03</v>
      </c>
      <c r="G91" s="226" t="s">
        <v>20</v>
      </c>
      <c r="H91" s="222">
        <v>56.149833679199219</v>
      </c>
      <c r="I91" s="181">
        <v>-2.89</v>
      </c>
      <c r="J91" s="182">
        <v>-1.7411633443832399</v>
      </c>
      <c r="K91" s="139">
        <f t="shared" si="2"/>
        <v>21.549386391577752</v>
      </c>
      <c r="L91" s="229" t="s">
        <v>366</v>
      </c>
      <c r="M91" s="183" t="s">
        <v>74</v>
      </c>
      <c r="N91" s="184" t="s">
        <v>82</v>
      </c>
      <c r="O91" s="185" t="s">
        <v>35</v>
      </c>
      <c r="P91" s="186" t="s">
        <v>58</v>
      </c>
      <c r="Q91" s="187" t="s">
        <v>493</v>
      </c>
      <c r="R91" s="175" t="s">
        <v>81</v>
      </c>
      <c r="S91" s="223" t="s">
        <v>704</v>
      </c>
    </row>
    <row r="92" spans="1:19">
      <c r="A92" s="167" t="s">
        <v>365</v>
      </c>
      <c r="B92" s="55"/>
      <c r="C92" s="196"/>
      <c r="D92" s="196"/>
      <c r="E92" s="196"/>
      <c r="F92" s="53">
        <v>73.302000000000007</v>
      </c>
      <c r="G92" s="196" t="s">
        <v>21</v>
      </c>
      <c r="H92" s="726">
        <v>49.460075378417969</v>
      </c>
      <c r="I92" s="56">
        <v>-2.52</v>
      </c>
      <c r="J92" s="577">
        <v>-1.7411633443832399</v>
      </c>
      <c r="K92" s="233">
        <f>16.1-4.64*($I92-J92)+0.09*($I92-J92)^2</f>
        <v>19.768394870313674</v>
      </c>
      <c r="L92" s="395" t="s">
        <v>669</v>
      </c>
      <c r="M92" s="52" t="s">
        <v>74</v>
      </c>
      <c r="N92" s="171" t="s">
        <v>82</v>
      </c>
      <c r="O92" s="172" t="s">
        <v>35</v>
      </c>
      <c r="P92" s="173" t="s">
        <v>58</v>
      </c>
      <c r="Q92" s="174" t="s">
        <v>493</v>
      </c>
      <c r="R92" s="175" t="s">
        <v>81</v>
      </c>
      <c r="S92" s="176" t="s">
        <v>701</v>
      </c>
    </row>
    <row r="93" spans="1:19">
      <c r="A93" s="167" t="s">
        <v>365</v>
      </c>
      <c r="B93" s="55"/>
      <c r="C93" s="196"/>
      <c r="D93" s="196"/>
      <c r="E93" s="196"/>
      <c r="F93" s="53">
        <v>69.668000000000006</v>
      </c>
      <c r="G93" s="196" t="s">
        <v>21</v>
      </c>
      <c r="H93" s="726">
        <v>49.826904296875</v>
      </c>
      <c r="I93" s="56">
        <v>-2.46</v>
      </c>
      <c r="J93" s="577">
        <v>-1.7411633443832399</v>
      </c>
      <c r="K93" s="233">
        <f t="shared" si="2"/>
        <v>19.481907434433012</v>
      </c>
      <c r="L93" s="395" t="s">
        <v>669</v>
      </c>
      <c r="M93" s="52" t="s">
        <v>74</v>
      </c>
      <c r="N93" s="171" t="s">
        <v>82</v>
      </c>
      <c r="O93" s="172" t="s">
        <v>35</v>
      </c>
      <c r="P93" s="173" t="s">
        <v>58</v>
      </c>
      <c r="Q93" s="174" t="s">
        <v>493</v>
      </c>
      <c r="R93" s="175" t="s">
        <v>81</v>
      </c>
      <c r="S93" s="176" t="s">
        <v>701</v>
      </c>
    </row>
    <row r="94" spans="1:19">
      <c r="A94" s="167" t="s">
        <v>365</v>
      </c>
      <c r="B94" s="55"/>
      <c r="C94" s="196"/>
      <c r="D94" s="196"/>
      <c r="E94" s="196"/>
      <c r="F94" s="53">
        <v>30.7</v>
      </c>
      <c r="G94" s="196" t="s">
        <v>269</v>
      </c>
      <c r="H94" s="726">
        <v>53.760494232177734</v>
      </c>
      <c r="I94" s="56">
        <v>-2.0099999999999998</v>
      </c>
      <c r="J94" s="577">
        <v>-1.7411633443832399</v>
      </c>
      <c r="K94" s="661">
        <f t="shared" si="2"/>
        <v>17.353906665328054</v>
      </c>
      <c r="L94" s="395" t="s">
        <v>669</v>
      </c>
      <c r="M94" s="52" t="s">
        <v>74</v>
      </c>
      <c r="N94" s="171" t="s">
        <v>82</v>
      </c>
      <c r="O94" s="172" t="s">
        <v>35</v>
      </c>
      <c r="P94" s="173" t="s">
        <v>58</v>
      </c>
      <c r="Q94" s="174" t="s">
        <v>493</v>
      </c>
      <c r="R94" s="175" t="s">
        <v>81</v>
      </c>
      <c r="S94" s="223"/>
    </row>
    <row r="95" spans="1:19">
      <c r="A95" s="177" t="s">
        <v>365</v>
      </c>
      <c r="B95" s="221"/>
      <c r="C95" s="226"/>
      <c r="D95" s="226"/>
      <c r="E95" s="226"/>
      <c r="F95" s="179">
        <v>26.5</v>
      </c>
      <c r="G95" s="226" t="s">
        <v>269</v>
      </c>
      <c r="H95" s="222">
        <v>54.184459686279297</v>
      </c>
      <c r="I95" s="181">
        <v>-2.2200000000000002</v>
      </c>
      <c r="J95" s="182">
        <v>-1.7411633443832399</v>
      </c>
      <c r="K95" s="788">
        <f t="shared" si="2"/>
        <v>18.342437690910369</v>
      </c>
      <c r="L95" s="229" t="s">
        <v>669</v>
      </c>
      <c r="M95" s="183" t="s">
        <v>74</v>
      </c>
      <c r="N95" s="184" t="s">
        <v>82</v>
      </c>
      <c r="O95" s="185" t="s">
        <v>35</v>
      </c>
      <c r="P95" s="186" t="s">
        <v>58</v>
      </c>
      <c r="Q95" s="187" t="s">
        <v>493</v>
      </c>
      <c r="R95" s="175" t="s">
        <v>81</v>
      </c>
      <c r="S95" s="176" t="s">
        <v>702</v>
      </c>
    </row>
    <row r="96" spans="1:19">
      <c r="A96" s="167" t="s">
        <v>365</v>
      </c>
      <c r="B96" s="55"/>
      <c r="C96" s="196"/>
      <c r="D96" s="196"/>
      <c r="E96" s="196"/>
      <c r="F96" s="53">
        <v>18.100000000000001</v>
      </c>
      <c r="G96" s="196" t="s">
        <v>372</v>
      </c>
      <c r="H96" s="726">
        <v>55.032382965087891</v>
      </c>
      <c r="I96" s="57">
        <v>-2.72</v>
      </c>
      <c r="J96" s="577">
        <v>-1.7411633443832399</v>
      </c>
      <c r="K96" s="661">
        <f t="shared" si="2"/>
        <v>20.728032989915878</v>
      </c>
      <c r="L96" s="395" t="s">
        <v>79</v>
      </c>
      <c r="M96" s="52" t="s">
        <v>74</v>
      </c>
      <c r="N96" s="171" t="s">
        <v>82</v>
      </c>
      <c r="O96" s="172" t="s">
        <v>35</v>
      </c>
      <c r="P96" s="173" t="s">
        <v>58</v>
      </c>
      <c r="Q96" s="174" t="s">
        <v>493</v>
      </c>
      <c r="R96" s="175"/>
      <c r="S96" s="223"/>
    </row>
    <row r="97" spans="1:19">
      <c r="A97" s="167" t="s">
        <v>365</v>
      </c>
      <c r="B97" s="55"/>
      <c r="C97" s="196"/>
      <c r="D97" s="196"/>
      <c r="E97" s="196"/>
      <c r="F97" s="53">
        <v>17.5</v>
      </c>
      <c r="G97" s="196" t="s">
        <v>372</v>
      </c>
      <c r="H97" s="726">
        <v>55.09295654296875</v>
      </c>
      <c r="I97" s="57">
        <v>-3.06</v>
      </c>
      <c r="J97" s="577">
        <v>-1.7411633443832399</v>
      </c>
      <c r="K97" s="661">
        <f t="shared" si="2"/>
        <v>22.375941793239626</v>
      </c>
      <c r="L97" s="395" t="s">
        <v>79</v>
      </c>
      <c r="M97" s="52" t="s">
        <v>74</v>
      </c>
      <c r="N97" s="171" t="s">
        <v>82</v>
      </c>
      <c r="O97" s="172" t="s">
        <v>35</v>
      </c>
      <c r="P97" s="173" t="s">
        <v>58</v>
      </c>
      <c r="Q97" s="174" t="s">
        <v>493</v>
      </c>
      <c r="R97" s="175" t="s">
        <v>81</v>
      </c>
      <c r="S97" s="223"/>
    </row>
    <row r="98" spans="1:19">
      <c r="A98" s="167" t="s">
        <v>365</v>
      </c>
      <c r="B98" s="55"/>
      <c r="C98" s="196"/>
      <c r="D98" s="196"/>
      <c r="E98" s="196"/>
      <c r="F98" s="53">
        <v>16.600000000000001</v>
      </c>
      <c r="G98" s="196" t="s">
        <v>372</v>
      </c>
      <c r="H98" s="726">
        <v>55.183799743652344</v>
      </c>
      <c r="I98" s="57">
        <v>-2.92</v>
      </c>
      <c r="J98" s="577">
        <v>-1.7411633443832399</v>
      </c>
      <c r="K98" s="661">
        <f t="shared" si="2"/>
        <v>21.694871109518079</v>
      </c>
      <c r="L98" s="395" t="s">
        <v>79</v>
      </c>
      <c r="M98" s="52" t="s">
        <v>74</v>
      </c>
      <c r="N98" s="171" t="s">
        <v>82</v>
      </c>
      <c r="O98" s="172" t="s">
        <v>35</v>
      </c>
      <c r="P98" s="173" t="s">
        <v>58</v>
      </c>
      <c r="Q98" s="174" t="s">
        <v>493</v>
      </c>
      <c r="R98" s="175" t="s">
        <v>81</v>
      </c>
      <c r="S98" s="223"/>
    </row>
    <row r="99" spans="1:19">
      <c r="A99" s="167" t="s">
        <v>365</v>
      </c>
      <c r="B99" s="55"/>
      <c r="C99" s="196"/>
      <c r="D99" s="196"/>
      <c r="E99" s="196"/>
      <c r="F99" s="53">
        <v>16</v>
      </c>
      <c r="G99" s="196" t="s">
        <v>372</v>
      </c>
      <c r="H99" s="726">
        <v>55.244373321533203</v>
      </c>
      <c r="I99" s="57">
        <v>-2.95</v>
      </c>
      <c r="J99" s="577">
        <v>-1.7411633443832399</v>
      </c>
      <c r="K99" s="661">
        <f t="shared" si="2"/>
        <v>21.840517827458413</v>
      </c>
      <c r="L99" s="395" t="s">
        <v>79</v>
      </c>
      <c r="M99" s="52" t="s">
        <v>74</v>
      </c>
      <c r="N99" s="171" t="s">
        <v>82</v>
      </c>
      <c r="O99" s="172" t="s">
        <v>35</v>
      </c>
      <c r="P99" s="173" t="s">
        <v>58</v>
      </c>
      <c r="Q99" s="174" t="s">
        <v>493</v>
      </c>
      <c r="R99" s="175" t="s">
        <v>81</v>
      </c>
      <c r="S99" s="223"/>
    </row>
    <row r="100" spans="1:19">
      <c r="A100" s="167" t="s">
        <v>365</v>
      </c>
      <c r="B100" s="55"/>
      <c r="C100" s="196"/>
      <c r="D100" s="196"/>
      <c r="E100" s="196"/>
      <c r="F100" s="53">
        <v>15.2</v>
      </c>
      <c r="G100" s="196" t="s">
        <v>372</v>
      </c>
      <c r="H100" s="726">
        <v>55.325130462646484</v>
      </c>
      <c r="I100" s="57">
        <v>-3</v>
      </c>
      <c r="J100" s="577">
        <v>-1.7411633443832399</v>
      </c>
      <c r="K100" s="661">
        <f t="shared" si="2"/>
        <v>22.083622357358962</v>
      </c>
      <c r="L100" s="395" t="s">
        <v>79</v>
      </c>
      <c r="M100" s="52" t="s">
        <v>74</v>
      </c>
      <c r="N100" s="171" t="s">
        <v>82</v>
      </c>
      <c r="O100" s="172" t="s">
        <v>35</v>
      </c>
      <c r="P100" s="173" t="s">
        <v>58</v>
      </c>
      <c r="Q100" s="174" t="s">
        <v>493</v>
      </c>
      <c r="R100" s="175" t="s">
        <v>81</v>
      </c>
      <c r="S100" s="176" t="s">
        <v>699</v>
      </c>
    </row>
    <row r="101" spans="1:19">
      <c r="A101" s="167" t="s">
        <v>365</v>
      </c>
      <c r="B101" s="55"/>
      <c r="C101" s="196"/>
      <c r="D101" s="196"/>
      <c r="E101" s="196"/>
      <c r="F101" s="53">
        <v>13.8</v>
      </c>
      <c r="G101" s="196" t="s">
        <v>372</v>
      </c>
      <c r="H101" s="726">
        <v>55.466445922851563</v>
      </c>
      <c r="I101" s="57">
        <v>-3.24</v>
      </c>
      <c r="J101" s="577">
        <v>-1.7411633443832399</v>
      </c>
      <c r="K101" s="661">
        <f t="shared" si="2"/>
        <v>23.256788100881607</v>
      </c>
      <c r="L101" s="395" t="s">
        <v>79</v>
      </c>
      <c r="M101" s="52" t="s">
        <v>74</v>
      </c>
      <c r="N101" s="171" t="s">
        <v>82</v>
      </c>
      <c r="O101" s="172" t="s">
        <v>35</v>
      </c>
      <c r="P101" s="173" t="s">
        <v>58</v>
      </c>
      <c r="Q101" s="174" t="s">
        <v>493</v>
      </c>
      <c r="R101" s="175" t="s">
        <v>81</v>
      </c>
      <c r="S101" s="223"/>
    </row>
    <row r="102" spans="1:19">
      <c r="A102" s="167" t="s">
        <v>365</v>
      </c>
      <c r="B102" s="55"/>
      <c r="C102" s="196"/>
      <c r="D102" s="196"/>
      <c r="E102" s="196"/>
      <c r="F102" s="53">
        <v>13.7</v>
      </c>
      <c r="G102" s="196" t="s">
        <v>372</v>
      </c>
      <c r="H102" s="726">
        <v>55.476547241210938</v>
      </c>
      <c r="I102" s="57">
        <v>-3.45</v>
      </c>
      <c r="J102" s="577">
        <v>-1.7411633443832399</v>
      </c>
      <c r="K102" s="661">
        <f t="shared" si="2"/>
        <v>24.291813126463921</v>
      </c>
      <c r="L102" s="395" t="s">
        <v>79</v>
      </c>
      <c r="M102" s="52" t="s">
        <v>74</v>
      </c>
      <c r="N102" s="171" t="s">
        <v>82</v>
      </c>
      <c r="O102" s="172" t="s">
        <v>35</v>
      </c>
      <c r="P102" s="173" t="s">
        <v>58</v>
      </c>
      <c r="Q102" s="174" t="s">
        <v>493</v>
      </c>
      <c r="R102" s="175" t="s">
        <v>81</v>
      </c>
      <c r="S102" s="223"/>
    </row>
    <row r="103" spans="1:19">
      <c r="A103" s="167" t="s">
        <v>365</v>
      </c>
      <c r="B103" s="55"/>
      <c r="C103" s="196"/>
      <c r="D103" s="196"/>
      <c r="E103" s="196"/>
      <c r="F103" s="53">
        <v>12.7</v>
      </c>
      <c r="G103" s="196" t="s">
        <v>372</v>
      </c>
      <c r="H103" s="726">
        <v>55.577491760253906</v>
      </c>
      <c r="I103" s="57">
        <v>-3.33</v>
      </c>
      <c r="J103" s="577">
        <v>-1.7411633443832399</v>
      </c>
      <c r="K103" s="661">
        <f t="shared" si="2"/>
        <v>23.699398254702601</v>
      </c>
      <c r="L103" s="395" t="s">
        <v>79</v>
      </c>
      <c r="M103" s="52" t="s">
        <v>74</v>
      </c>
      <c r="N103" s="171" t="s">
        <v>82</v>
      </c>
      <c r="O103" s="172" t="s">
        <v>35</v>
      </c>
      <c r="P103" s="173" t="s">
        <v>58</v>
      </c>
      <c r="Q103" s="174" t="s">
        <v>493</v>
      </c>
      <c r="R103" s="175" t="s">
        <v>81</v>
      </c>
      <c r="S103" s="223"/>
    </row>
    <row r="104" spans="1:19">
      <c r="A104" s="167" t="s">
        <v>365</v>
      </c>
      <c r="B104" s="55"/>
      <c r="C104" s="196"/>
      <c r="D104" s="196"/>
      <c r="E104" s="196"/>
      <c r="F104" s="53">
        <v>12.1</v>
      </c>
      <c r="G104" s="196" t="s">
        <v>372</v>
      </c>
      <c r="H104" s="726">
        <v>55.638046264648438</v>
      </c>
      <c r="I104" s="57">
        <v>-3.35</v>
      </c>
      <c r="J104" s="577">
        <v>-1.7411633443832399</v>
      </c>
      <c r="K104" s="661">
        <f t="shared" si="2"/>
        <v>23.797954066662818</v>
      </c>
      <c r="L104" s="395" t="s">
        <v>79</v>
      </c>
      <c r="M104" s="52" t="s">
        <v>74</v>
      </c>
      <c r="N104" s="171" t="s">
        <v>82</v>
      </c>
      <c r="O104" s="172" t="s">
        <v>35</v>
      </c>
      <c r="P104" s="173" t="s">
        <v>58</v>
      </c>
      <c r="Q104" s="174" t="s">
        <v>493</v>
      </c>
      <c r="R104" s="175" t="s">
        <v>81</v>
      </c>
      <c r="S104" s="223"/>
    </row>
    <row r="105" spans="1:19">
      <c r="A105" s="167" t="s">
        <v>365</v>
      </c>
      <c r="B105" s="55"/>
      <c r="C105" s="196"/>
      <c r="D105" s="196"/>
      <c r="E105" s="196"/>
      <c r="F105" s="53">
        <v>11.3</v>
      </c>
      <c r="G105" s="196" t="s">
        <v>372</v>
      </c>
      <c r="H105" s="726">
        <v>55.718807220458984</v>
      </c>
      <c r="I105" s="57">
        <v>-2.9</v>
      </c>
      <c r="J105" s="577">
        <v>-1.7411633443832399</v>
      </c>
      <c r="K105" s="661">
        <f t="shared" si="2"/>
        <v>21.597863297557858</v>
      </c>
      <c r="L105" s="395" t="s">
        <v>79</v>
      </c>
      <c r="M105" s="52" t="s">
        <v>74</v>
      </c>
      <c r="N105" s="171" t="s">
        <v>82</v>
      </c>
      <c r="O105" s="172" t="s">
        <v>35</v>
      </c>
      <c r="P105" s="173" t="s">
        <v>58</v>
      </c>
      <c r="Q105" s="174" t="s">
        <v>493</v>
      </c>
      <c r="R105" s="175" t="s">
        <v>81</v>
      </c>
      <c r="S105" s="223"/>
    </row>
    <row r="106" spans="1:19">
      <c r="A106" s="167" t="s">
        <v>365</v>
      </c>
      <c r="B106" s="55"/>
      <c r="C106" s="196"/>
      <c r="D106" s="196"/>
      <c r="E106" s="196"/>
      <c r="F106" s="53">
        <v>9.6</v>
      </c>
      <c r="G106" s="196" t="s">
        <v>372</v>
      </c>
      <c r="H106" s="726">
        <v>55.890407562255859</v>
      </c>
      <c r="I106" s="57">
        <v>-3.08</v>
      </c>
      <c r="J106" s="577">
        <v>-1.7411633443832399</v>
      </c>
      <c r="K106" s="661">
        <f t="shared" si="2"/>
        <v>22.473525605199843</v>
      </c>
      <c r="L106" s="395" t="s">
        <v>79</v>
      </c>
      <c r="M106" s="52" t="s">
        <v>74</v>
      </c>
      <c r="N106" s="171" t="s">
        <v>82</v>
      </c>
      <c r="O106" s="172" t="s">
        <v>35</v>
      </c>
      <c r="P106" s="173" t="s">
        <v>58</v>
      </c>
      <c r="Q106" s="174" t="s">
        <v>493</v>
      </c>
      <c r="R106" s="175" t="s">
        <v>81</v>
      </c>
      <c r="S106" s="223"/>
    </row>
    <row r="107" spans="1:19">
      <c r="A107" s="167" t="s">
        <v>365</v>
      </c>
      <c r="B107" s="55"/>
      <c r="C107" s="196"/>
      <c r="D107" s="196"/>
      <c r="E107" s="196"/>
      <c r="F107" s="53">
        <v>9.1</v>
      </c>
      <c r="G107" s="196" t="s">
        <v>20</v>
      </c>
      <c r="H107" s="726">
        <v>55.940879821777344</v>
      </c>
      <c r="I107" s="57">
        <v>-2.97</v>
      </c>
      <c r="J107" s="577">
        <v>-1.7411633443832399</v>
      </c>
      <c r="K107" s="138">
        <f t="shared" si="2"/>
        <v>21.937705639418635</v>
      </c>
      <c r="L107" s="395" t="s">
        <v>79</v>
      </c>
      <c r="M107" s="52" t="s">
        <v>74</v>
      </c>
      <c r="N107" s="171" t="s">
        <v>82</v>
      </c>
      <c r="O107" s="172" t="s">
        <v>35</v>
      </c>
      <c r="P107" s="173" t="s">
        <v>58</v>
      </c>
      <c r="Q107" s="174" t="s">
        <v>493</v>
      </c>
      <c r="R107" s="175" t="s">
        <v>81</v>
      </c>
      <c r="S107" s="223"/>
    </row>
    <row r="108" spans="1:19">
      <c r="A108" s="167" t="s">
        <v>365</v>
      </c>
      <c r="B108" s="55"/>
      <c r="C108" s="196"/>
      <c r="D108" s="196"/>
      <c r="E108" s="196"/>
      <c r="F108" s="53">
        <v>9</v>
      </c>
      <c r="G108" s="196" t="s">
        <v>20</v>
      </c>
      <c r="H108" s="726">
        <v>55.950981140136719</v>
      </c>
      <c r="I108" s="57">
        <v>-3.04</v>
      </c>
      <c r="J108" s="577">
        <v>-1.7411633443832399</v>
      </c>
      <c r="K108" s="138">
        <f t="shared" si="2"/>
        <v>22.278429981279405</v>
      </c>
      <c r="L108" s="395" t="s">
        <v>79</v>
      </c>
      <c r="M108" s="52" t="s">
        <v>74</v>
      </c>
      <c r="N108" s="171" t="s">
        <v>82</v>
      </c>
      <c r="O108" s="172" t="s">
        <v>35</v>
      </c>
      <c r="P108" s="173" t="s">
        <v>58</v>
      </c>
      <c r="Q108" s="174" t="s">
        <v>493</v>
      </c>
      <c r="R108" s="175" t="s">
        <v>81</v>
      </c>
      <c r="S108" s="223"/>
    </row>
    <row r="109" spans="1:19">
      <c r="A109" s="167" t="s">
        <v>365</v>
      </c>
      <c r="B109" s="55"/>
      <c r="C109" s="196"/>
      <c r="D109" s="196"/>
      <c r="E109" s="196"/>
      <c r="F109" s="53">
        <v>8.9</v>
      </c>
      <c r="G109" s="196" t="s">
        <v>20</v>
      </c>
      <c r="H109" s="726">
        <v>55.961082458496094</v>
      </c>
      <c r="I109" s="57">
        <v>-3.09</v>
      </c>
      <c r="J109" s="577">
        <v>-1.7411633443832399</v>
      </c>
      <c r="K109" s="138">
        <f t="shared" si="2"/>
        <v>22.522344511179952</v>
      </c>
      <c r="L109" s="395" t="s">
        <v>79</v>
      </c>
      <c r="M109" s="52" t="s">
        <v>74</v>
      </c>
      <c r="N109" s="171" t="s">
        <v>82</v>
      </c>
      <c r="O109" s="172" t="s">
        <v>35</v>
      </c>
      <c r="P109" s="173" t="s">
        <v>58</v>
      </c>
      <c r="Q109" s="174" t="s">
        <v>493</v>
      </c>
      <c r="R109" s="175" t="s">
        <v>81</v>
      </c>
      <c r="S109" s="223"/>
    </row>
    <row r="110" spans="1:19">
      <c r="A110" s="167" t="s">
        <v>365</v>
      </c>
      <c r="B110" s="55"/>
      <c r="C110" s="196"/>
      <c r="D110" s="196"/>
      <c r="E110" s="196"/>
      <c r="F110" s="53">
        <v>8.8000000000000007</v>
      </c>
      <c r="G110" s="196" t="s">
        <v>20</v>
      </c>
      <c r="H110" s="726">
        <v>55.971164703369141</v>
      </c>
      <c r="I110" s="57">
        <v>-3.12</v>
      </c>
      <c r="J110" s="577">
        <v>-1.7411633443832399</v>
      </c>
      <c r="K110" s="138">
        <f t="shared" si="2"/>
        <v>22.668909229120285</v>
      </c>
      <c r="L110" s="395" t="s">
        <v>79</v>
      </c>
      <c r="M110" s="52" t="s">
        <v>74</v>
      </c>
      <c r="N110" s="171" t="s">
        <v>82</v>
      </c>
      <c r="O110" s="172" t="s">
        <v>35</v>
      </c>
      <c r="P110" s="173" t="s">
        <v>58</v>
      </c>
      <c r="Q110" s="174" t="s">
        <v>493</v>
      </c>
      <c r="R110" s="175" t="s">
        <v>81</v>
      </c>
      <c r="S110" s="223"/>
    </row>
    <row r="111" spans="1:19">
      <c r="A111" s="167" t="s">
        <v>365</v>
      </c>
      <c r="B111" s="55"/>
      <c r="C111" s="196"/>
      <c r="D111" s="196"/>
      <c r="E111" s="196"/>
      <c r="F111" s="53">
        <v>8.6999999999999993</v>
      </c>
      <c r="G111" s="196" t="s">
        <v>20</v>
      </c>
      <c r="H111" s="726">
        <v>55.981266021728516</v>
      </c>
      <c r="I111" s="57">
        <v>-3.31</v>
      </c>
      <c r="J111" s="577">
        <v>-1.7411633443832399</v>
      </c>
      <c r="K111" s="138">
        <f t="shared" si="2"/>
        <v>23.600914442742376</v>
      </c>
      <c r="L111" s="395" t="s">
        <v>79</v>
      </c>
      <c r="M111" s="52" t="s">
        <v>74</v>
      </c>
      <c r="N111" s="171" t="s">
        <v>82</v>
      </c>
      <c r="O111" s="172" t="s">
        <v>35</v>
      </c>
      <c r="P111" s="173" t="s">
        <v>58</v>
      </c>
      <c r="Q111" s="174" t="s">
        <v>493</v>
      </c>
      <c r="R111" s="175" t="s">
        <v>81</v>
      </c>
      <c r="S111" s="223"/>
    </row>
    <row r="112" spans="1:19">
      <c r="A112" s="167" t="s">
        <v>365</v>
      </c>
      <c r="B112" s="55"/>
      <c r="C112" s="196"/>
      <c r="D112" s="196"/>
      <c r="E112" s="196"/>
      <c r="F112" s="53">
        <v>7.7</v>
      </c>
      <c r="G112" s="196" t="s">
        <v>20</v>
      </c>
      <c r="H112" s="726">
        <v>56.082210540771484</v>
      </c>
      <c r="I112" s="57">
        <v>-2.95</v>
      </c>
      <c r="J112" s="577">
        <v>-1.7411633443832399</v>
      </c>
      <c r="K112" s="138">
        <f t="shared" si="2"/>
        <v>21.840517827458413</v>
      </c>
      <c r="L112" s="395" t="s">
        <v>79</v>
      </c>
      <c r="M112" s="52" t="s">
        <v>74</v>
      </c>
      <c r="N112" s="171" t="s">
        <v>82</v>
      </c>
      <c r="O112" s="172" t="s">
        <v>35</v>
      </c>
      <c r="P112" s="173" t="s">
        <v>58</v>
      </c>
      <c r="Q112" s="174" t="s">
        <v>493</v>
      </c>
      <c r="R112" s="175" t="s">
        <v>81</v>
      </c>
      <c r="S112" s="223"/>
    </row>
    <row r="113" spans="1:19">
      <c r="A113" s="167" t="s">
        <v>365</v>
      </c>
      <c r="B113" s="55"/>
      <c r="C113" s="196"/>
      <c r="D113" s="196"/>
      <c r="E113" s="196"/>
      <c r="F113" s="53">
        <v>7.6</v>
      </c>
      <c r="G113" s="196" t="s">
        <v>20</v>
      </c>
      <c r="H113" s="726">
        <v>56.092296600341797</v>
      </c>
      <c r="I113" s="57">
        <v>-3.03</v>
      </c>
      <c r="J113" s="577">
        <v>-1.7411633443832399</v>
      </c>
      <c r="K113" s="138">
        <f t="shared" si="2"/>
        <v>22.229701075299293</v>
      </c>
      <c r="L113" s="395" t="s">
        <v>79</v>
      </c>
      <c r="M113" s="52" t="s">
        <v>74</v>
      </c>
      <c r="N113" s="171" t="s">
        <v>82</v>
      </c>
      <c r="O113" s="172" t="s">
        <v>35</v>
      </c>
      <c r="P113" s="173" t="s">
        <v>58</v>
      </c>
      <c r="Q113" s="174" t="s">
        <v>493</v>
      </c>
      <c r="R113" s="175" t="s">
        <v>81</v>
      </c>
      <c r="S113" s="223"/>
    </row>
    <row r="114" spans="1:19">
      <c r="A114" s="167" t="s">
        <v>365</v>
      </c>
      <c r="B114" s="55"/>
      <c r="C114" s="196"/>
      <c r="D114" s="196"/>
      <c r="E114" s="196"/>
      <c r="F114" s="53">
        <v>7.5</v>
      </c>
      <c r="G114" s="196" t="s">
        <v>20</v>
      </c>
      <c r="H114" s="726">
        <v>56.102397918701172</v>
      </c>
      <c r="I114" s="57">
        <v>-3.16</v>
      </c>
      <c r="J114" s="577">
        <v>-1.7411633443832399</v>
      </c>
      <c r="K114" s="138">
        <f t="shared" si="2"/>
        <v>22.864580853040724</v>
      </c>
      <c r="L114" s="395" t="s">
        <v>79</v>
      </c>
      <c r="M114" s="52" t="s">
        <v>74</v>
      </c>
      <c r="N114" s="171" t="s">
        <v>82</v>
      </c>
      <c r="O114" s="172" t="s">
        <v>35</v>
      </c>
      <c r="P114" s="173" t="s">
        <v>58</v>
      </c>
      <c r="Q114" s="174" t="s">
        <v>493</v>
      </c>
      <c r="R114" s="175" t="s">
        <v>81</v>
      </c>
      <c r="S114" s="223"/>
    </row>
    <row r="115" spans="1:19">
      <c r="A115" s="167" t="s">
        <v>365</v>
      </c>
      <c r="B115" s="55"/>
      <c r="C115" s="196"/>
      <c r="D115" s="196"/>
      <c r="E115" s="196"/>
      <c r="F115" s="53">
        <v>7.4</v>
      </c>
      <c r="G115" s="196" t="s">
        <v>20</v>
      </c>
      <c r="H115" s="726">
        <v>56.112495422363281</v>
      </c>
      <c r="I115" s="57">
        <v>-3.21</v>
      </c>
      <c r="J115" s="577">
        <v>-1.7411633443832399</v>
      </c>
      <c r="K115" s="138">
        <f t="shared" si="2"/>
        <v>23.109575382941276</v>
      </c>
      <c r="L115" s="395" t="s">
        <v>79</v>
      </c>
      <c r="M115" s="52" t="s">
        <v>74</v>
      </c>
      <c r="N115" s="171" t="s">
        <v>82</v>
      </c>
      <c r="O115" s="172" t="s">
        <v>35</v>
      </c>
      <c r="P115" s="173" t="s">
        <v>58</v>
      </c>
      <c r="Q115" s="174" t="s">
        <v>493</v>
      </c>
      <c r="R115" s="175" t="s">
        <v>81</v>
      </c>
      <c r="S115" s="223"/>
    </row>
    <row r="116" spans="1:19" ht="13.5" thickBot="1">
      <c r="A116" s="254" t="s">
        <v>365</v>
      </c>
      <c r="B116" s="255"/>
      <c r="C116" s="202"/>
      <c r="D116" s="202"/>
      <c r="E116" s="202"/>
      <c r="F116" s="203">
        <v>7.03</v>
      </c>
      <c r="G116" s="196" t="s">
        <v>20</v>
      </c>
      <c r="H116" s="727">
        <v>56.149833679199219</v>
      </c>
      <c r="I116" s="326">
        <v>-2.96</v>
      </c>
      <c r="J116" s="717">
        <v>-1.7411633443832399</v>
      </c>
      <c r="K116" s="718">
        <f t="shared" si="2"/>
        <v>21.88910273343852</v>
      </c>
      <c r="L116" s="728" t="s">
        <v>79</v>
      </c>
      <c r="M116" s="201" t="s">
        <v>74</v>
      </c>
      <c r="N116" s="720" t="s">
        <v>82</v>
      </c>
      <c r="O116" s="721" t="s">
        <v>35</v>
      </c>
      <c r="P116" s="722" t="s">
        <v>58</v>
      </c>
      <c r="Q116" s="723" t="s">
        <v>493</v>
      </c>
      <c r="R116" s="704" t="s">
        <v>81</v>
      </c>
      <c r="S116" s="794" t="s">
        <v>704</v>
      </c>
    </row>
    <row r="117" spans="1:19">
      <c r="G117" s="816"/>
    </row>
    <row r="118" spans="1:19" ht="13.5" thickBot="1"/>
    <row r="119" spans="1:19" ht="13.5" thickBot="1">
      <c r="G119" s="729"/>
      <c r="H119" s="730" t="s">
        <v>607</v>
      </c>
      <c r="I119" s="730" t="s">
        <v>605</v>
      </c>
      <c r="J119" s="731">
        <v>0.05</v>
      </c>
      <c r="K119" s="730" t="s">
        <v>602</v>
      </c>
      <c r="L119" s="731">
        <v>0.95</v>
      </c>
      <c r="M119" s="732" t="s">
        <v>606</v>
      </c>
    </row>
    <row r="120" spans="1:19">
      <c r="G120" s="673" t="s">
        <v>21</v>
      </c>
      <c r="H120" s="674">
        <f>COUNT(K42:K45,K92:K93)</f>
        <v>6</v>
      </c>
      <c r="I120" s="675">
        <f>MIN(K42:K45,K92:K93)</f>
        <v>17.026160323467284</v>
      </c>
      <c r="J120" s="675">
        <f>_xlfn.PERCENTILE.INC((K42:K45,K92:K93),0.05)</f>
        <v>17.461751203783304</v>
      </c>
      <c r="K120" s="675">
        <f>AVERAGE(K42:K45,K92:K93)</f>
        <v>19.057867280612022</v>
      </c>
      <c r="L120" s="675">
        <f>_xlfn.PERCENTILE.INC((K42:K45,K92:K93),0.95)</f>
        <v>20.235604203619751</v>
      </c>
      <c r="M120" s="676">
        <f>MAX(K42:K45,K92:K93)</f>
        <v>20.39134064805511</v>
      </c>
    </row>
    <row r="121" spans="1:19">
      <c r="G121" s="673" t="s">
        <v>20</v>
      </c>
      <c r="H121" s="674">
        <f>COUNT(K59:K70,K81:K91,K107:K116)</f>
        <v>33</v>
      </c>
      <c r="I121" s="675">
        <f>MIN(K59:K70,K81:K91,K107:K116)</f>
        <v>20.247313930114775</v>
      </c>
      <c r="J121" s="675">
        <f>_xlfn.PERCENTILE.INC((K59:K70,K81:K91,K107:K116),0.05)</f>
        <v>20.709322627523832</v>
      </c>
      <c r="K121" s="675">
        <f>AVERAGE(K59:K70,K81:K91,K107:K116)</f>
        <v>21.991551085155109</v>
      </c>
      <c r="L121" s="675">
        <f>_xlfn.PERCENTILE.INC((K59:K70,K81:K91,K107:K116),0.95)</f>
        <v>23.247074719685585</v>
      </c>
      <c r="M121" s="676">
        <f>MAX(K59:K70,K81:K91,K107:K116)</f>
        <v>23.600914442742376</v>
      </c>
    </row>
    <row r="122" spans="1:19" ht="13.5" thickBot="1">
      <c r="G122" s="677" t="s">
        <v>601</v>
      </c>
      <c r="H122" s="678"/>
      <c r="I122" s="678"/>
      <c r="J122" s="678"/>
      <c r="K122" s="678"/>
      <c r="L122" s="678"/>
      <c r="M122" s="682"/>
    </row>
  </sheetData>
  <sortState xmlns:xlrd2="http://schemas.microsoft.com/office/spreadsheetml/2017/richdata2" ref="F96:I116">
    <sortCondition descending="1" ref="F96"/>
  </sortState>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71"/>
  <sheetViews>
    <sheetView zoomScaleNormal="100" workbookViewId="0">
      <selection activeCell="A3" sqref="A3"/>
    </sheetView>
  </sheetViews>
  <sheetFormatPr defaultColWidth="10.625" defaultRowHeight="12.75"/>
  <cols>
    <col min="1" max="1" width="15.625" style="69" customWidth="1"/>
    <col min="2" max="2" width="30.625" style="69" customWidth="1"/>
    <col min="3" max="5" width="10.625" style="69"/>
    <col min="6" max="6" width="10.625" style="156"/>
    <col min="7" max="7" width="13.5" style="156" bestFit="1" customWidth="1"/>
    <col min="8" max="9" width="10.625" style="156"/>
    <col min="10" max="10" width="10.625" style="69"/>
    <col min="11" max="11" width="15.625" style="69" customWidth="1"/>
    <col min="12" max="12" width="19.125" style="69" bestFit="1" customWidth="1"/>
    <col min="13" max="13" width="13" style="69" bestFit="1" customWidth="1"/>
    <col min="14" max="15" width="10.625" style="69"/>
    <col min="16" max="16" width="17" style="156" bestFit="1" customWidth="1"/>
    <col min="17" max="17" width="50.625" style="156" bestFit="1" customWidth="1"/>
    <col min="18" max="18" width="15.5" style="69" bestFit="1" customWidth="1"/>
    <col min="19" max="19" width="32.875" style="69" customWidth="1"/>
    <col min="20" max="16384" width="10.625" style="69"/>
  </cols>
  <sheetData>
    <row r="1" spans="1:19" s="11" customFormat="1" ht="15.75">
      <c r="A1" s="205" t="s">
        <v>62</v>
      </c>
      <c r="B1" s="634" t="s">
        <v>488</v>
      </c>
      <c r="D1" s="43"/>
      <c r="E1" s="43"/>
      <c r="F1" s="20"/>
      <c r="G1" s="20"/>
      <c r="H1" s="20"/>
      <c r="I1" s="20"/>
      <c r="J1" s="20"/>
      <c r="K1" s="20"/>
      <c r="L1" s="20"/>
      <c r="M1" s="20"/>
      <c r="N1" s="20"/>
      <c r="O1" s="20"/>
      <c r="P1" s="20"/>
      <c r="Q1" s="20"/>
      <c r="R1" s="19"/>
      <c r="S1" s="19"/>
    </row>
    <row r="2" spans="1:19">
      <c r="A2" s="141" t="s">
        <v>636</v>
      </c>
      <c r="B2" s="146" t="s">
        <v>651</v>
      </c>
      <c r="C2" s="143"/>
      <c r="D2" s="144"/>
      <c r="E2" s="144"/>
      <c r="F2" s="144"/>
      <c r="G2" s="144"/>
      <c r="H2" s="144"/>
      <c r="I2" s="144"/>
      <c r="J2" s="144"/>
      <c r="K2" s="144"/>
      <c r="L2" s="144"/>
      <c r="M2" s="144"/>
      <c r="N2" s="144"/>
      <c r="O2" s="144"/>
      <c r="P2" s="144"/>
      <c r="Q2" s="144"/>
      <c r="R2" s="145"/>
      <c r="S2" s="145"/>
    </row>
    <row r="3" spans="1:19">
      <c r="A3" s="141" t="s">
        <v>61</v>
      </c>
      <c r="B3" s="70" t="s">
        <v>487</v>
      </c>
      <c r="D3" s="154"/>
      <c r="E3" s="154"/>
      <c r="F3" s="144"/>
      <c r="G3" s="144"/>
      <c r="H3" s="144"/>
      <c r="I3" s="144"/>
      <c r="J3" s="144"/>
      <c r="K3" s="144"/>
      <c r="L3" s="144"/>
      <c r="M3" s="144"/>
      <c r="N3" s="144"/>
      <c r="O3" s="144"/>
      <c r="P3" s="144"/>
      <c r="Q3" s="144"/>
      <c r="R3" s="145"/>
      <c r="S3" s="145"/>
    </row>
    <row r="4" spans="1:19">
      <c r="A4" s="230" t="s">
        <v>621</v>
      </c>
      <c r="B4" s="51">
        <v>49.08</v>
      </c>
      <c r="D4" s="154"/>
      <c r="E4" s="154"/>
      <c r="F4" s="144"/>
      <c r="G4" s="144"/>
      <c r="H4" s="144"/>
      <c r="I4" s="144"/>
      <c r="J4" s="144"/>
      <c r="K4" s="144"/>
      <c r="L4" s="144"/>
      <c r="M4" s="144"/>
      <c r="N4" s="144"/>
      <c r="O4" s="144"/>
      <c r="P4" s="144"/>
      <c r="Q4" s="144"/>
      <c r="R4" s="145"/>
      <c r="S4" s="145"/>
    </row>
    <row r="5" spans="1:19">
      <c r="A5" s="230" t="s">
        <v>622</v>
      </c>
      <c r="B5" s="51">
        <v>-13.98</v>
      </c>
      <c r="D5" s="154"/>
      <c r="E5" s="154"/>
      <c r="F5" s="144"/>
      <c r="G5" s="144"/>
      <c r="H5" s="144"/>
      <c r="I5" s="144"/>
      <c r="J5" s="144"/>
      <c r="K5" s="144"/>
      <c r="L5" s="144"/>
      <c r="M5" s="144"/>
      <c r="N5" s="144"/>
      <c r="O5" s="144"/>
      <c r="P5" s="144"/>
      <c r="Q5" s="144"/>
      <c r="R5" s="145"/>
      <c r="S5" s="145"/>
    </row>
    <row r="6" spans="1:19">
      <c r="A6" s="232" t="s">
        <v>50</v>
      </c>
      <c r="B6" s="51">
        <v>37.894451680099998</v>
      </c>
      <c r="D6" s="154"/>
      <c r="E6" s="154"/>
      <c r="F6" s="144"/>
      <c r="G6" s="144"/>
      <c r="H6" s="144"/>
      <c r="I6" s="144"/>
      <c r="J6" s="144"/>
      <c r="K6" s="144"/>
      <c r="L6" s="144"/>
      <c r="M6" s="144"/>
      <c r="N6" s="144"/>
      <c r="O6" s="144"/>
      <c r="P6" s="144"/>
      <c r="Q6" s="144"/>
      <c r="R6" s="145"/>
      <c r="S6" s="145"/>
    </row>
    <row r="7" spans="1:19">
      <c r="A7" s="141" t="s">
        <v>696</v>
      </c>
      <c r="B7" s="68" t="s">
        <v>705</v>
      </c>
      <c r="C7" s="69" t="s">
        <v>491</v>
      </c>
      <c r="D7" s="154"/>
      <c r="E7" s="154"/>
      <c r="F7" s="144"/>
      <c r="G7" s="144"/>
      <c r="H7" s="144"/>
      <c r="I7" s="144"/>
      <c r="J7" s="144"/>
      <c r="K7" s="144"/>
      <c r="L7" s="144"/>
      <c r="M7" s="144"/>
      <c r="N7" s="144"/>
      <c r="O7" s="144"/>
      <c r="P7" s="144"/>
      <c r="Q7" s="144"/>
      <c r="R7" s="145"/>
      <c r="S7" s="145"/>
    </row>
    <row r="8" spans="1:19" ht="25.5">
      <c r="A8" s="141" t="s">
        <v>63</v>
      </c>
      <c r="B8" s="597" t="s">
        <v>706</v>
      </c>
      <c r="C8" s="71" t="s">
        <v>549</v>
      </c>
      <c r="D8" s="154"/>
      <c r="E8" s="154"/>
      <c r="F8" s="144"/>
      <c r="G8" s="144"/>
      <c r="H8" s="144"/>
      <c r="I8" s="144"/>
      <c r="J8" s="144"/>
      <c r="K8" s="144"/>
      <c r="L8" s="144"/>
      <c r="M8" s="144"/>
      <c r="N8" s="144"/>
      <c r="O8" s="144"/>
      <c r="P8" s="144"/>
      <c r="Q8" s="144"/>
      <c r="R8" s="145"/>
      <c r="S8" s="145"/>
    </row>
    <row r="9" spans="1:19">
      <c r="A9" s="141" t="s">
        <v>64</v>
      </c>
      <c r="B9" s="50" t="s">
        <v>197</v>
      </c>
      <c r="C9" s="72"/>
      <c r="D9" s="72"/>
      <c r="E9" s="154"/>
      <c r="F9" s="144"/>
      <c r="G9" s="144"/>
      <c r="H9" s="144"/>
      <c r="I9" s="144"/>
      <c r="J9" s="144"/>
      <c r="K9" s="144"/>
      <c r="L9" s="144"/>
      <c r="M9" s="144"/>
      <c r="N9" s="144"/>
      <c r="O9" s="144"/>
      <c r="P9" s="144"/>
      <c r="Q9" s="144"/>
      <c r="R9" s="145"/>
      <c r="S9" s="145"/>
    </row>
    <row r="10" spans="1:19">
      <c r="A10" s="141" t="s">
        <v>65</v>
      </c>
      <c r="B10" s="50" t="s">
        <v>42</v>
      </c>
      <c r="C10" s="70" t="s">
        <v>487</v>
      </c>
      <c r="D10" s="70"/>
      <c r="E10" s="154"/>
      <c r="F10" s="154"/>
      <c r="G10" s="144"/>
      <c r="H10" s="144"/>
      <c r="I10" s="144"/>
      <c r="J10" s="144"/>
      <c r="K10" s="144"/>
      <c r="L10" s="144"/>
      <c r="M10" s="144"/>
      <c r="N10" s="144"/>
      <c r="O10" s="144"/>
      <c r="P10" s="144"/>
      <c r="Q10" s="144"/>
      <c r="R10" s="145"/>
      <c r="S10" s="145"/>
    </row>
    <row r="11" spans="1:19" ht="13.5" thickBot="1">
      <c r="A11" s="141" t="s">
        <v>802</v>
      </c>
      <c r="B11" s="50"/>
      <c r="C11" s="70"/>
      <c r="D11" s="70"/>
      <c r="E11" s="154"/>
      <c r="F11" s="154"/>
      <c r="G11" s="144"/>
      <c r="H11" s="144"/>
      <c r="I11" s="144"/>
      <c r="J11" s="144"/>
      <c r="K11" s="144"/>
      <c r="L11" s="144"/>
      <c r="M11" s="144"/>
      <c r="N11" s="144"/>
      <c r="O11" s="144"/>
      <c r="P11" s="144"/>
      <c r="Q11" s="144"/>
      <c r="R11" s="145"/>
      <c r="S11" s="145"/>
    </row>
    <row r="12" spans="1:19" ht="64.5" thickBot="1">
      <c r="A12" s="211" t="s">
        <v>18</v>
      </c>
      <c r="B12" s="212" t="s">
        <v>66</v>
      </c>
      <c r="C12" s="212" t="s">
        <v>67</v>
      </c>
      <c r="D12" s="212" t="s">
        <v>68</v>
      </c>
      <c r="E12" s="212" t="s">
        <v>69</v>
      </c>
      <c r="F12" s="212" t="s">
        <v>43</v>
      </c>
      <c r="G12" s="212" t="s">
        <v>31</v>
      </c>
      <c r="H12" s="235" t="s">
        <v>10</v>
      </c>
      <c r="I12" s="160" t="s">
        <v>725</v>
      </c>
      <c r="J12" s="161" t="s">
        <v>664</v>
      </c>
      <c r="K12" s="216" t="s">
        <v>659</v>
      </c>
      <c r="L12" s="217" t="s">
        <v>70</v>
      </c>
      <c r="M12" s="217" t="s">
        <v>71</v>
      </c>
      <c r="N12" s="217" t="s">
        <v>36</v>
      </c>
      <c r="O12" s="218" t="s">
        <v>34</v>
      </c>
      <c r="P12" s="217" t="s">
        <v>72</v>
      </c>
      <c r="Q12" s="218" t="s">
        <v>73</v>
      </c>
      <c r="R12" s="160" t="s">
        <v>15</v>
      </c>
      <c r="S12" s="166" t="s">
        <v>38</v>
      </c>
    </row>
    <row r="13" spans="1:19">
      <c r="A13" s="236"/>
      <c r="B13" s="237"/>
      <c r="C13" s="237"/>
      <c r="D13" s="237"/>
      <c r="E13" s="237"/>
      <c r="F13" s="237"/>
      <c r="G13" s="237"/>
      <c r="H13" s="238"/>
      <c r="I13" s="239"/>
      <c r="J13" s="170"/>
      <c r="K13" s="539"/>
      <c r="L13" s="240"/>
      <c r="M13" s="241"/>
      <c r="N13" s="241"/>
      <c r="O13" s="242"/>
      <c r="P13" s="241"/>
      <c r="Q13" s="242"/>
      <c r="R13" s="239"/>
      <c r="S13" s="176"/>
    </row>
    <row r="14" spans="1:19">
      <c r="A14" s="243">
        <v>549</v>
      </c>
      <c r="B14" s="196"/>
      <c r="C14" s="196">
        <v>16</v>
      </c>
      <c r="D14" s="196">
        <v>1</v>
      </c>
      <c r="E14" s="196" t="s">
        <v>469</v>
      </c>
      <c r="F14" s="196">
        <v>331.73</v>
      </c>
      <c r="G14" s="244" t="s">
        <v>403</v>
      </c>
      <c r="H14" s="245">
        <v>55.573944091796875</v>
      </c>
      <c r="I14" s="57">
        <v>-2.59</v>
      </c>
      <c r="J14" s="170">
        <v>-1.08</v>
      </c>
      <c r="K14" s="491">
        <f t="shared" ref="K14:K64" si="0">16.1-4.64*($I14-J14)+0.09*($I14-J14)^2</f>
        <v>23.311609000000001</v>
      </c>
      <c r="L14" s="246" t="s">
        <v>195</v>
      </c>
      <c r="M14" s="171" t="s">
        <v>74</v>
      </c>
      <c r="N14" s="247"/>
      <c r="O14" s="172" t="s">
        <v>35</v>
      </c>
      <c r="P14" s="171" t="s">
        <v>489</v>
      </c>
      <c r="Q14" s="172" t="s">
        <v>490</v>
      </c>
      <c r="R14" s="175" t="s">
        <v>487</v>
      </c>
      <c r="S14" s="176"/>
    </row>
    <row r="15" spans="1:19">
      <c r="A15" s="243">
        <v>549</v>
      </c>
      <c r="B15" s="196"/>
      <c r="C15" s="196">
        <v>16</v>
      </c>
      <c r="D15" s="196">
        <v>1</v>
      </c>
      <c r="E15" s="196" t="s">
        <v>470</v>
      </c>
      <c r="F15" s="196">
        <v>332.21</v>
      </c>
      <c r="G15" s="244" t="s">
        <v>403</v>
      </c>
      <c r="H15" s="245">
        <v>55.582874298095703</v>
      </c>
      <c r="I15" s="57">
        <v>-2.5099999999999998</v>
      </c>
      <c r="J15" s="170">
        <v>-1.08</v>
      </c>
      <c r="K15" s="491">
        <f t="shared" si="0"/>
        <v>22.919241</v>
      </c>
      <c r="L15" s="246" t="s">
        <v>195</v>
      </c>
      <c r="M15" s="171" t="s">
        <v>74</v>
      </c>
      <c r="N15" s="247"/>
      <c r="O15" s="172" t="s">
        <v>35</v>
      </c>
      <c r="P15" s="171" t="s">
        <v>489</v>
      </c>
      <c r="Q15" s="172" t="s">
        <v>490</v>
      </c>
      <c r="R15" s="175" t="s">
        <v>487</v>
      </c>
      <c r="S15" s="176"/>
    </row>
    <row r="16" spans="1:19">
      <c r="A16" s="243">
        <v>549</v>
      </c>
      <c r="B16" s="196"/>
      <c r="C16" s="196">
        <v>16</v>
      </c>
      <c r="D16" s="196">
        <v>1</v>
      </c>
      <c r="E16" s="196" t="s">
        <v>471</v>
      </c>
      <c r="F16" s="196">
        <v>332.52</v>
      </c>
      <c r="G16" s="244" t="s">
        <v>403</v>
      </c>
      <c r="H16" s="245">
        <v>55.588645935058594</v>
      </c>
      <c r="I16" s="57">
        <v>-2.5</v>
      </c>
      <c r="J16" s="170">
        <v>-1.08</v>
      </c>
      <c r="K16" s="491">
        <f t="shared" si="0"/>
        <v>22.870276</v>
      </c>
      <c r="L16" s="246" t="s">
        <v>195</v>
      </c>
      <c r="M16" s="171" t="s">
        <v>74</v>
      </c>
      <c r="N16" s="247"/>
      <c r="O16" s="172" t="s">
        <v>35</v>
      </c>
      <c r="P16" s="171" t="s">
        <v>489</v>
      </c>
      <c r="Q16" s="172" t="s">
        <v>490</v>
      </c>
      <c r="R16" s="175" t="s">
        <v>487</v>
      </c>
      <c r="S16" s="176"/>
    </row>
    <row r="17" spans="1:19">
      <c r="A17" s="243">
        <v>549</v>
      </c>
      <c r="B17" s="196"/>
      <c r="C17" s="196">
        <v>16</v>
      </c>
      <c r="D17" s="196">
        <v>2</v>
      </c>
      <c r="E17" s="196" t="s">
        <v>472</v>
      </c>
      <c r="F17" s="196">
        <v>333.43</v>
      </c>
      <c r="G17" s="244" t="s">
        <v>403</v>
      </c>
      <c r="H17" s="245">
        <v>55.605575561523438</v>
      </c>
      <c r="I17" s="57">
        <v>-2.34</v>
      </c>
      <c r="J17" s="170">
        <v>-1.08</v>
      </c>
      <c r="K17" s="491">
        <f t="shared" si="0"/>
        <v>22.089283999999999</v>
      </c>
      <c r="L17" s="246" t="s">
        <v>195</v>
      </c>
      <c r="M17" s="171" t="s">
        <v>74</v>
      </c>
      <c r="N17" s="247"/>
      <c r="O17" s="172" t="s">
        <v>35</v>
      </c>
      <c r="P17" s="171" t="s">
        <v>489</v>
      </c>
      <c r="Q17" s="172" t="s">
        <v>490</v>
      </c>
      <c r="R17" s="175" t="s">
        <v>487</v>
      </c>
      <c r="S17" s="176"/>
    </row>
    <row r="18" spans="1:19">
      <c r="A18" s="243">
        <v>549</v>
      </c>
      <c r="B18" s="196"/>
      <c r="C18" s="196">
        <v>16</v>
      </c>
      <c r="D18" s="196">
        <v>2</v>
      </c>
      <c r="E18" s="196" t="s">
        <v>212</v>
      </c>
      <c r="F18" s="196">
        <v>333.73</v>
      </c>
      <c r="G18" s="244" t="s">
        <v>403</v>
      </c>
      <c r="H18" s="245">
        <v>55.611160278320313</v>
      </c>
      <c r="I18" s="57">
        <v>-2.21</v>
      </c>
      <c r="J18" s="170">
        <v>-1.08</v>
      </c>
      <c r="K18" s="491">
        <f t="shared" si="0"/>
        <v>21.458120999999998</v>
      </c>
      <c r="L18" s="246" t="s">
        <v>195</v>
      </c>
      <c r="M18" s="171" t="s">
        <v>74</v>
      </c>
      <c r="N18" s="247"/>
      <c r="O18" s="172" t="s">
        <v>35</v>
      </c>
      <c r="P18" s="171" t="s">
        <v>489</v>
      </c>
      <c r="Q18" s="172" t="s">
        <v>490</v>
      </c>
      <c r="R18" s="175" t="s">
        <v>487</v>
      </c>
      <c r="S18" s="176"/>
    </row>
    <row r="19" spans="1:19">
      <c r="A19" s="243">
        <v>549</v>
      </c>
      <c r="B19" s="196"/>
      <c r="C19" s="196">
        <v>16</v>
      </c>
      <c r="D19" s="196">
        <v>2</v>
      </c>
      <c r="E19" s="196" t="s">
        <v>471</v>
      </c>
      <c r="F19" s="196">
        <v>334.02</v>
      </c>
      <c r="G19" s="244" t="s">
        <v>403</v>
      </c>
      <c r="H19" s="245">
        <v>55.616554260253906</v>
      </c>
      <c r="I19" s="57">
        <v>-2.31</v>
      </c>
      <c r="J19" s="170">
        <v>-1.08</v>
      </c>
      <c r="K19" s="491">
        <f t="shared" si="0"/>
        <v>21.943361000000003</v>
      </c>
      <c r="L19" s="246" t="s">
        <v>195</v>
      </c>
      <c r="M19" s="171" t="s">
        <v>74</v>
      </c>
      <c r="N19" s="247"/>
      <c r="O19" s="172" t="s">
        <v>35</v>
      </c>
      <c r="P19" s="171" t="s">
        <v>489</v>
      </c>
      <c r="Q19" s="172" t="s">
        <v>490</v>
      </c>
      <c r="R19" s="175" t="s">
        <v>487</v>
      </c>
      <c r="S19" s="176"/>
    </row>
    <row r="20" spans="1:19">
      <c r="A20" s="243">
        <v>549</v>
      </c>
      <c r="B20" s="196"/>
      <c r="C20" s="196">
        <v>16</v>
      </c>
      <c r="D20" s="196">
        <v>2</v>
      </c>
      <c r="E20" s="196" t="s">
        <v>473</v>
      </c>
      <c r="F20" s="196">
        <v>334.38</v>
      </c>
      <c r="G20" s="244" t="s">
        <v>403</v>
      </c>
      <c r="H20" s="245">
        <v>55.623252868652344</v>
      </c>
      <c r="I20" s="57">
        <v>-2.4</v>
      </c>
      <c r="J20" s="170">
        <v>-1.08</v>
      </c>
      <c r="K20" s="491">
        <f t="shared" si="0"/>
        <v>22.381616000000001</v>
      </c>
      <c r="L20" s="246" t="s">
        <v>195</v>
      </c>
      <c r="M20" s="171" t="s">
        <v>74</v>
      </c>
      <c r="N20" s="247"/>
      <c r="O20" s="172" t="s">
        <v>35</v>
      </c>
      <c r="P20" s="171" t="s">
        <v>489</v>
      </c>
      <c r="Q20" s="172" t="s">
        <v>490</v>
      </c>
      <c r="R20" s="175" t="s">
        <v>487</v>
      </c>
      <c r="S20" s="176"/>
    </row>
    <row r="21" spans="1:19">
      <c r="A21" s="243">
        <v>549</v>
      </c>
      <c r="B21" s="196"/>
      <c r="C21" s="196">
        <v>16</v>
      </c>
      <c r="D21" s="196">
        <v>3</v>
      </c>
      <c r="E21" s="196" t="s">
        <v>474</v>
      </c>
      <c r="F21" s="196">
        <v>334.64</v>
      </c>
      <c r="G21" s="244" t="s">
        <v>403</v>
      </c>
      <c r="H21" s="245">
        <v>55.628089904785156</v>
      </c>
      <c r="I21" s="57">
        <v>-2.2999999999999998</v>
      </c>
      <c r="J21" s="170">
        <v>-1.08</v>
      </c>
      <c r="K21" s="491">
        <f t="shared" si="0"/>
        <v>21.894756000000001</v>
      </c>
      <c r="L21" s="246" t="s">
        <v>195</v>
      </c>
      <c r="M21" s="171" t="s">
        <v>74</v>
      </c>
      <c r="N21" s="247"/>
      <c r="O21" s="172" t="s">
        <v>35</v>
      </c>
      <c r="P21" s="171" t="s">
        <v>489</v>
      </c>
      <c r="Q21" s="172" t="s">
        <v>490</v>
      </c>
      <c r="R21" s="175" t="s">
        <v>487</v>
      </c>
      <c r="S21" s="176"/>
    </row>
    <row r="22" spans="1:19">
      <c r="A22" s="243">
        <v>549</v>
      </c>
      <c r="B22" s="196"/>
      <c r="C22" s="196">
        <v>16</v>
      </c>
      <c r="D22" s="196">
        <v>3</v>
      </c>
      <c r="E22" s="196" t="s">
        <v>475</v>
      </c>
      <c r="F22" s="196">
        <v>334.74</v>
      </c>
      <c r="G22" s="244" t="s">
        <v>403</v>
      </c>
      <c r="H22" s="245">
        <v>55.629951477050781</v>
      </c>
      <c r="I22" s="57">
        <v>-2.6</v>
      </c>
      <c r="J22" s="170">
        <v>-1.08</v>
      </c>
      <c r="K22" s="491">
        <f t="shared" si="0"/>
        <v>23.360735999999999</v>
      </c>
      <c r="L22" s="246" t="s">
        <v>195</v>
      </c>
      <c r="M22" s="171" t="s">
        <v>74</v>
      </c>
      <c r="N22" s="247"/>
      <c r="O22" s="172" t="s">
        <v>35</v>
      </c>
      <c r="P22" s="171" t="s">
        <v>489</v>
      </c>
      <c r="Q22" s="172" t="s">
        <v>490</v>
      </c>
      <c r="R22" s="175" t="s">
        <v>487</v>
      </c>
      <c r="S22" s="176"/>
    </row>
    <row r="23" spans="1:19">
      <c r="A23" s="243">
        <v>549</v>
      </c>
      <c r="B23" s="196"/>
      <c r="C23" s="196">
        <v>16</v>
      </c>
      <c r="D23" s="196">
        <v>3</v>
      </c>
      <c r="E23" s="196" t="s">
        <v>476</v>
      </c>
      <c r="F23" s="196">
        <v>334.99</v>
      </c>
      <c r="G23" s="244" t="s">
        <v>403</v>
      </c>
      <c r="H23" s="245">
        <v>55.634605407714844</v>
      </c>
      <c r="I23" s="57">
        <v>-2.35</v>
      </c>
      <c r="J23" s="170">
        <v>-1.08</v>
      </c>
      <c r="K23" s="491">
        <f t="shared" si="0"/>
        <v>22.137961000000004</v>
      </c>
      <c r="L23" s="246" t="s">
        <v>195</v>
      </c>
      <c r="M23" s="171" t="s">
        <v>74</v>
      </c>
      <c r="N23" s="247"/>
      <c r="O23" s="172" t="s">
        <v>35</v>
      </c>
      <c r="P23" s="171" t="s">
        <v>489</v>
      </c>
      <c r="Q23" s="172" t="s">
        <v>490</v>
      </c>
      <c r="R23" s="175" t="s">
        <v>487</v>
      </c>
      <c r="S23" s="176"/>
    </row>
    <row r="24" spans="1:19">
      <c r="A24" s="243">
        <v>549</v>
      </c>
      <c r="B24" s="196"/>
      <c r="C24" s="196">
        <v>16</v>
      </c>
      <c r="D24" s="196">
        <v>3</v>
      </c>
      <c r="E24" s="196" t="s">
        <v>133</v>
      </c>
      <c r="F24" s="196">
        <v>335.08</v>
      </c>
      <c r="G24" s="244" t="s">
        <v>403</v>
      </c>
      <c r="H24" s="245">
        <v>55.636280059814453</v>
      </c>
      <c r="I24" s="57">
        <v>-2.2799999999999998</v>
      </c>
      <c r="J24" s="170">
        <v>-1.08</v>
      </c>
      <c r="K24" s="491">
        <f t="shared" si="0"/>
        <v>21.797599999999999</v>
      </c>
      <c r="L24" s="246" t="s">
        <v>195</v>
      </c>
      <c r="M24" s="171" t="s">
        <v>74</v>
      </c>
      <c r="N24" s="247"/>
      <c r="O24" s="172" t="s">
        <v>35</v>
      </c>
      <c r="P24" s="171" t="s">
        <v>489</v>
      </c>
      <c r="Q24" s="172" t="s">
        <v>490</v>
      </c>
      <c r="R24" s="175" t="s">
        <v>487</v>
      </c>
      <c r="S24" s="176"/>
    </row>
    <row r="25" spans="1:19">
      <c r="A25" s="243">
        <v>549</v>
      </c>
      <c r="B25" s="196"/>
      <c r="C25" s="196">
        <v>16</v>
      </c>
      <c r="D25" s="196">
        <v>3</v>
      </c>
      <c r="E25" s="196" t="s">
        <v>135</v>
      </c>
      <c r="F25" s="196">
        <v>335.17</v>
      </c>
      <c r="G25" s="244" t="s">
        <v>403</v>
      </c>
      <c r="H25" s="245">
        <v>55.637954711914063</v>
      </c>
      <c r="I25" s="57">
        <v>-2.64</v>
      </c>
      <c r="J25" s="170">
        <v>-1.08</v>
      </c>
      <c r="K25" s="491">
        <f t="shared" si="0"/>
        <v>23.557424000000001</v>
      </c>
      <c r="L25" s="246" t="s">
        <v>195</v>
      </c>
      <c r="M25" s="171" t="s">
        <v>74</v>
      </c>
      <c r="N25" s="247"/>
      <c r="O25" s="172" t="s">
        <v>35</v>
      </c>
      <c r="P25" s="171" t="s">
        <v>489</v>
      </c>
      <c r="Q25" s="172" t="s">
        <v>490</v>
      </c>
      <c r="R25" s="175" t="s">
        <v>487</v>
      </c>
      <c r="S25" s="176"/>
    </row>
    <row r="26" spans="1:19">
      <c r="A26" s="243">
        <v>549</v>
      </c>
      <c r="B26" s="196"/>
      <c r="C26" s="196">
        <v>16</v>
      </c>
      <c r="D26" s="196">
        <v>3</v>
      </c>
      <c r="E26" s="196" t="s">
        <v>477</v>
      </c>
      <c r="F26" s="196">
        <v>335.29</v>
      </c>
      <c r="G26" s="244" t="s">
        <v>403</v>
      </c>
      <c r="H26" s="245">
        <v>55.640727996826172</v>
      </c>
      <c r="I26" s="57">
        <v>-2.0499999999999998</v>
      </c>
      <c r="J26" s="170">
        <v>-1.08</v>
      </c>
      <c r="K26" s="491">
        <f t="shared" si="0"/>
        <v>20.685480999999999</v>
      </c>
      <c r="L26" s="246" t="s">
        <v>195</v>
      </c>
      <c r="M26" s="171" t="s">
        <v>74</v>
      </c>
      <c r="N26" s="247"/>
      <c r="O26" s="172" t="s">
        <v>35</v>
      </c>
      <c r="P26" s="171" t="s">
        <v>489</v>
      </c>
      <c r="Q26" s="172" t="s">
        <v>490</v>
      </c>
      <c r="R26" s="175" t="s">
        <v>487</v>
      </c>
      <c r="S26" s="176"/>
    </row>
    <row r="27" spans="1:19">
      <c r="A27" s="243">
        <v>549</v>
      </c>
      <c r="B27" s="196"/>
      <c r="C27" s="196">
        <v>16</v>
      </c>
      <c r="D27" s="196">
        <v>3</v>
      </c>
      <c r="E27" s="196" t="s">
        <v>430</v>
      </c>
      <c r="F27" s="196">
        <v>335.5</v>
      </c>
      <c r="G27" s="244" t="s">
        <v>403</v>
      </c>
      <c r="H27" s="245">
        <v>55.656036376953125</v>
      </c>
      <c r="I27" s="57">
        <v>-2.21</v>
      </c>
      <c r="J27" s="170">
        <v>-1.08</v>
      </c>
      <c r="K27" s="491">
        <f t="shared" si="0"/>
        <v>21.458120999999998</v>
      </c>
      <c r="L27" s="246" t="s">
        <v>195</v>
      </c>
      <c r="M27" s="171" t="s">
        <v>74</v>
      </c>
      <c r="N27" s="247"/>
      <c r="O27" s="172" t="s">
        <v>35</v>
      </c>
      <c r="P27" s="171" t="s">
        <v>489</v>
      </c>
      <c r="Q27" s="172" t="s">
        <v>490</v>
      </c>
      <c r="R27" s="175" t="s">
        <v>487</v>
      </c>
      <c r="S27" s="176"/>
    </row>
    <row r="28" spans="1:19">
      <c r="A28" s="243">
        <v>549</v>
      </c>
      <c r="B28" s="196"/>
      <c r="C28" s="196">
        <v>16</v>
      </c>
      <c r="D28" s="196">
        <v>3</v>
      </c>
      <c r="E28" s="196" t="s">
        <v>478</v>
      </c>
      <c r="F28" s="196">
        <v>335.68</v>
      </c>
      <c r="G28" s="244" t="s">
        <v>403</v>
      </c>
      <c r="H28" s="245">
        <v>55.669155120849609</v>
      </c>
      <c r="I28" s="57">
        <v>-2.0099999999999998</v>
      </c>
      <c r="J28" s="170">
        <v>-1.08</v>
      </c>
      <c r="K28" s="491">
        <f t="shared" si="0"/>
        <v>20.493040999999998</v>
      </c>
      <c r="L28" s="246" t="s">
        <v>195</v>
      </c>
      <c r="M28" s="171" t="s">
        <v>74</v>
      </c>
      <c r="N28" s="247"/>
      <c r="O28" s="172" t="s">
        <v>35</v>
      </c>
      <c r="P28" s="171" t="s">
        <v>489</v>
      </c>
      <c r="Q28" s="172" t="s">
        <v>490</v>
      </c>
      <c r="R28" s="175" t="s">
        <v>487</v>
      </c>
      <c r="S28" s="176"/>
    </row>
    <row r="29" spans="1:19">
      <c r="A29" s="243">
        <v>549</v>
      </c>
      <c r="B29" s="196"/>
      <c r="C29" s="196">
        <v>16</v>
      </c>
      <c r="D29" s="196">
        <v>3</v>
      </c>
      <c r="E29" s="196" t="s">
        <v>484</v>
      </c>
      <c r="F29" s="196">
        <v>335.95</v>
      </c>
      <c r="G29" s="244" t="s">
        <v>403</v>
      </c>
      <c r="H29" s="59">
        <v>55.688838958740234</v>
      </c>
      <c r="I29" s="57">
        <v>-1.66</v>
      </c>
      <c r="J29" s="170">
        <v>-1.08</v>
      </c>
      <c r="K29" s="491">
        <f t="shared" si="0"/>
        <v>18.821476000000001</v>
      </c>
      <c r="L29" s="246" t="s">
        <v>195</v>
      </c>
      <c r="M29" s="171" t="s">
        <v>74</v>
      </c>
      <c r="N29" s="247"/>
      <c r="O29" s="172" t="s">
        <v>35</v>
      </c>
      <c r="P29" s="171" t="s">
        <v>489</v>
      </c>
      <c r="Q29" s="172" t="s">
        <v>490</v>
      </c>
      <c r="R29" s="175" t="s">
        <v>487</v>
      </c>
      <c r="S29" s="176"/>
    </row>
    <row r="30" spans="1:19">
      <c r="A30" s="243">
        <v>549</v>
      </c>
      <c r="B30" s="196"/>
      <c r="C30" s="196">
        <v>16</v>
      </c>
      <c r="D30" s="196">
        <v>4</v>
      </c>
      <c r="E30" s="196" t="s">
        <v>210</v>
      </c>
      <c r="F30" s="196">
        <v>336.09</v>
      </c>
      <c r="G30" s="244" t="s">
        <v>403</v>
      </c>
      <c r="H30" s="245">
        <v>55.699043273925781</v>
      </c>
      <c r="I30" s="57">
        <v>-2.12</v>
      </c>
      <c r="J30" s="170">
        <v>-1.08</v>
      </c>
      <c r="K30" s="491">
        <f t="shared" si="0"/>
        <v>21.022944000000003</v>
      </c>
      <c r="L30" s="246" t="s">
        <v>195</v>
      </c>
      <c r="M30" s="171" t="s">
        <v>74</v>
      </c>
      <c r="N30" s="247"/>
      <c r="O30" s="172" t="s">
        <v>35</v>
      </c>
      <c r="P30" s="171" t="s">
        <v>489</v>
      </c>
      <c r="Q30" s="172" t="s">
        <v>490</v>
      </c>
      <c r="R30" s="175" t="s">
        <v>487</v>
      </c>
      <c r="S30" s="176"/>
    </row>
    <row r="31" spans="1:19">
      <c r="A31" s="243">
        <v>549</v>
      </c>
      <c r="B31" s="196"/>
      <c r="C31" s="196">
        <v>16</v>
      </c>
      <c r="D31" s="196">
        <v>4</v>
      </c>
      <c r="E31" s="196" t="s">
        <v>479</v>
      </c>
      <c r="F31" s="196">
        <v>336.24</v>
      </c>
      <c r="G31" s="244" t="s">
        <v>403</v>
      </c>
      <c r="H31" s="245">
        <v>55.709976196289063</v>
      </c>
      <c r="I31" s="57">
        <v>-2.29</v>
      </c>
      <c r="J31" s="170">
        <v>-1.08</v>
      </c>
      <c r="K31" s="491">
        <f t="shared" si="0"/>
        <v>21.846169</v>
      </c>
      <c r="L31" s="246" t="s">
        <v>195</v>
      </c>
      <c r="M31" s="171" t="s">
        <v>74</v>
      </c>
      <c r="N31" s="247"/>
      <c r="O31" s="172" t="s">
        <v>35</v>
      </c>
      <c r="P31" s="171" t="s">
        <v>489</v>
      </c>
      <c r="Q31" s="172" t="s">
        <v>490</v>
      </c>
      <c r="R31" s="175" t="s">
        <v>487</v>
      </c>
      <c r="S31" s="176"/>
    </row>
    <row r="32" spans="1:19">
      <c r="A32" s="243">
        <v>549</v>
      </c>
      <c r="B32" s="196"/>
      <c r="C32" s="196">
        <v>16</v>
      </c>
      <c r="D32" s="196">
        <v>4</v>
      </c>
      <c r="E32" s="196" t="s">
        <v>111</v>
      </c>
      <c r="F32" s="196">
        <v>336.41</v>
      </c>
      <c r="G32" s="244" t="s">
        <v>403</v>
      </c>
      <c r="H32" s="245">
        <v>55.722370147705078</v>
      </c>
      <c r="I32" s="57">
        <v>-2.31</v>
      </c>
      <c r="J32" s="170">
        <v>-1.08</v>
      </c>
      <c r="K32" s="491">
        <f t="shared" si="0"/>
        <v>21.943361000000003</v>
      </c>
      <c r="L32" s="246" t="s">
        <v>195</v>
      </c>
      <c r="M32" s="171" t="s">
        <v>74</v>
      </c>
      <c r="N32" s="247"/>
      <c r="O32" s="172" t="s">
        <v>35</v>
      </c>
      <c r="P32" s="171" t="s">
        <v>489</v>
      </c>
      <c r="Q32" s="172" t="s">
        <v>490</v>
      </c>
      <c r="R32" s="175" t="s">
        <v>487</v>
      </c>
      <c r="S32" s="176"/>
    </row>
    <row r="33" spans="1:24">
      <c r="A33" s="243">
        <v>549</v>
      </c>
      <c r="B33" s="196"/>
      <c r="C33" s="196">
        <v>16</v>
      </c>
      <c r="D33" s="196">
        <v>4</v>
      </c>
      <c r="E33" s="196" t="s">
        <v>212</v>
      </c>
      <c r="F33" s="196">
        <v>336.73</v>
      </c>
      <c r="G33" s="244" t="s">
        <v>403</v>
      </c>
      <c r="H33" s="245">
        <v>55.745697021484375</v>
      </c>
      <c r="I33" s="57">
        <v>-2</v>
      </c>
      <c r="J33" s="170">
        <v>-1.08</v>
      </c>
      <c r="K33" s="491">
        <f t="shared" si="0"/>
        <v>20.444976</v>
      </c>
      <c r="L33" s="246" t="s">
        <v>195</v>
      </c>
      <c r="M33" s="171" t="s">
        <v>74</v>
      </c>
      <c r="N33" s="247"/>
      <c r="O33" s="172" t="s">
        <v>35</v>
      </c>
      <c r="P33" s="171" t="s">
        <v>489</v>
      </c>
      <c r="Q33" s="172" t="s">
        <v>490</v>
      </c>
      <c r="R33" s="175" t="s">
        <v>487</v>
      </c>
      <c r="S33" s="176"/>
    </row>
    <row r="34" spans="1:24">
      <c r="A34" s="243">
        <v>549</v>
      </c>
      <c r="B34" s="196"/>
      <c r="C34" s="196">
        <v>16</v>
      </c>
      <c r="D34" s="196">
        <v>4</v>
      </c>
      <c r="E34" s="196" t="s">
        <v>220</v>
      </c>
      <c r="F34" s="196">
        <v>336.85</v>
      </c>
      <c r="G34" s="244" t="s">
        <v>403</v>
      </c>
      <c r="H34" s="245">
        <v>55.754440307617188</v>
      </c>
      <c r="I34" s="57">
        <v>-1.92</v>
      </c>
      <c r="J34" s="170">
        <v>-1.08</v>
      </c>
      <c r="K34" s="491">
        <f t="shared" si="0"/>
        <v>20.061104</v>
      </c>
      <c r="L34" s="246" t="s">
        <v>195</v>
      </c>
      <c r="M34" s="171" t="s">
        <v>74</v>
      </c>
      <c r="N34" s="247"/>
      <c r="O34" s="172" t="s">
        <v>35</v>
      </c>
      <c r="P34" s="171" t="s">
        <v>489</v>
      </c>
      <c r="Q34" s="172" t="s">
        <v>490</v>
      </c>
      <c r="R34" s="175" t="s">
        <v>487</v>
      </c>
      <c r="S34" s="176"/>
    </row>
    <row r="35" spans="1:24">
      <c r="A35" s="243">
        <v>549</v>
      </c>
      <c r="B35" s="196"/>
      <c r="C35" s="196">
        <v>16</v>
      </c>
      <c r="D35" s="196">
        <v>4</v>
      </c>
      <c r="E35" s="196" t="s">
        <v>480</v>
      </c>
      <c r="F35" s="196">
        <v>336.98</v>
      </c>
      <c r="G35" s="244" t="s">
        <v>403</v>
      </c>
      <c r="H35" s="245">
        <v>55.763919830322266</v>
      </c>
      <c r="I35" s="57">
        <v>-2.09</v>
      </c>
      <c r="J35" s="170">
        <v>-1.08</v>
      </c>
      <c r="K35" s="491">
        <f t="shared" si="0"/>
        <v>20.878209000000002</v>
      </c>
      <c r="L35" s="246" t="s">
        <v>195</v>
      </c>
      <c r="M35" s="171" t="s">
        <v>74</v>
      </c>
      <c r="N35" s="247"/>
      <c r="O35" s="172" t="s">
        <v>35</v>
      </c>
      <c r="P35" s="171" t="s">
        <v>489</v>
      </c>
      <c r="Q35" s="172" t="s">
        <v>490</v>
      </c>
      <c r="R35" s="175" t="s">
        <v>487</v>
      </c>
      <c r="S35" s="176"/>
    </row>
    <row r="36" spans="1:24">
      <c r="A36" s="243">
        <v>549</v>
      </c>
      <c r="B36" s="196"/>
      <c r="C36" s="196">
        <v>16</v>
      </c>
      <c r="D36" s="196">
        <v>4</v>
      </c>
      <c r="E36" s="196" t="s">
        <v>108</v>
      </c>
      <c r="F36" s="196">
        <v>337.11</v>
      </c>
      <c r="G36" s="196" t="s">
        <v>20</v>
      </c>
      <c r="H36" s="245">
        <v>55.773391723632813</v>
      </c>
      <c r="I36" s="57">
        <v>-2.02</v>
      </c>
      <c r="J36" s="170">
        <v>-1.08</v>
      </c>
      <c r="K36" s="780">
        <f t="shared" si="0"/>
        <v>20.541124</v>
      </c>
      <c r="L36" s="246" t="s">
        <v>195</v>
      </c>
      <c r="M36" s="171" t="s">
        <v>74</v>
      </c>
      <c r="N36" s="247"/>
      <c r="O36" s="172" t="s">
        <v>35</v>
      </c>
      <c r="P36" s="171" t="s">
        <v>489</v>
      </c>
      <c r="Q36" s="172" t="s">
        <v>490</v>
      </c>
      <c r="R36" s="175" t="s">
        <v>487</v>
      </c>
      <c r="S36" s="176"/>
    </row>
    <row r="37" spans="1:24">
      <c r="A37" s="243">
        <v>549</v>
      </c>
      <c r="B37" s="196"/>
      <c r="C37" s="196">
        <v>16</v>
      </c>
      <c r="D37" s="196">
        <v>5</v>
      </c>
      <c r="E37" s="196" t="s">
        <v>102</v>
      </c>
      <c r="F37" s="196">
        <v>337.34</v>
      </c>
      <c r="G37" s="196" t="s">
        <v>20</v>
      </c>
      <c r="H37" s="245">
        <v>55.790157318115234</v>
      </c>
      <c r="I37" s="57">
        <v>-2.2799999999999998</v>
      </c>
      <c r="J37" s="170">
        <v>-1.08</v>
      </c>
      <c r="K37" s="780">
        <f t="shared" si="0"/>
        <v>21.797599999999999</v>
      </c>
      <c r="L37" s="246" t="s">
        <v>195</v>
      </c>
      <c r="M37" s="171" t="s">
        <v>74</v>
      </c>
      <c r="N37" s="247"/>
      <c r="O37" s="172" t="s">
        <v>35</v>
      </c>
      <c r="P37" s="171" t="s">
        <v>489</v>
      </c>
      <c r="Q37" s="172" t="s">
        <v>490</v>
      </c>
      <c r="R37" s="175" t="s">
        <v>487</v>
      </c>
      <c r="S37" s="176" t="s">
        <v>800</v>
      </c>
      <c r="X37" s="144"/>
    </row>
    <row r="38" spans="1:24">
      <c r="A38" s="243">
        <v>549</v>
      </c>
      <c r="B38" s="196"/>
      <c r="C38" s="196">
        <v>16</v>
      </c>
      <c r="D38" s="196">
        <v>5</v>
      </c>
      <c r="E38" s="196" t="s">
        <v>469</v>
      </c>
      <c r="F38" s="248">
        <f>337.18+0.23</f>
        <v>337.41</v>
      </c>
      <c r="G38" s="196" t="s">
        <v>20</v>
      </c>
      <c r="H38" s="245">
        <v>55.795261383056641</v>
      </c>
      <c r="I38" s="57">
        <v>-2.35</v>
      </c>
      <c r="J38" s="170">
        <v>-1.08</v>
      </c>
      <c r="K38" s="780">
        <f t="shared" si="0"/>
        <v>22.137961000000004</v>
      </c>
      <c r="L38" s="246" t="s">
        <v>195</v>
      </c>
      <c r="M38" s="171" t="s">
        <v>74</v>
      </c>
      <c r="N38" s="247"/>
      <c r="O38" s="172" t="s">
        <v>35</v>
      </c>
      <c r="P38" s="171" t="s">
        <v>489</v>
      </c>
      <c r="Q38" s="172" t="s">
        <v>490</v>
      </c>
      <c r="R38" s="175" t="s">
        <v>487</v>
      </c>
      <c r="S38" s="176" t="s">
        <v>787</v>
      </c>
      <c r="X38" s="144"/>
    </row>
    <row r="39" spans="1:24">
      <c r="A39" s="243">
        <v>549</v>
      </c>
      <c r="B39" s="196"/>
      <c r="C39" s="196">
        <v>16</v>
      </c>
      <c r="D39" s="196">
        <v>5</v>
      </c>
      <c r="E39" s="196" t="s">
        <v>348</v>
      </c>
      <c r="F39" s="248">
        <f>337.18+0.33</f>
        <v>337.51</v>
      </c>
      <c r="G39" s="196" t="s">
        <v>20</v>
      </c>
      <c r="H39" s="245">
        <v>55.80255126953125</v>
      </c>
      <c r="I39" s="57">
        <v>-2.12</v>
      </c>
      <c r="J39" s="170">
        <v>-1.08</v>
      </c>
      <c r="K39" s="780">
        <f t="shared" si="0"/>
        <v>21.022944000000003</v>
      </c>
      <c r="L39" s="246" t="s">
        <v>195</v>
      </c>
      <c r="M39" s="171" t="s">
        <v>74</v>
      </c>
      <c r="N39" s="247"/>
      <c r="O39" s="172" t="s">
        <v>35</v>
      </c>
      <c r="P39" s="171" t="s">
        <v>489</v>
      </c>
      <c r="Q39" s="172" t="s">
        <v>490</v>
      </c>
      <c r="R39" s="175" t="s">
        <v>487</v>
      </c>
      <c r="S39" s="176" t="s">
        <v>788</v>
      </c>
      <c r="X39" s="144"/>
    </row>
    <row r="40" spans="1:24">
      <c r="A40" s="243">
        <v>549</v>
      </c>
      <c r="B40" s="196"/>
      <c r="C40" s="196">
        <v>16</v>
      </c>
      <c r="D40" s="196">
        <v>5</v>
      </c>
      <c r="E40" s="196" t="s">
        <v>481</v>
      </c>
      <c r="F40" s="248">
        <f>337.18+0.55</f>
        <v>337.73</v>
      </c>
      <c r="G40" s="196" t="s">
        <v>20</v>
      </c>
      <c r="H40" s="245">
        <v>55.818588256835938</v>
      </c>
      <c r="I40" s="57">
        <v>-2.4300000000000002</v>
      </c>
      <c r="J40" s="170">
        <v>-1.08</v>
      </c>
      <c r="K40" s="780">
        <f t="shared" si="0"/>
        <v>22.528025</v>
      </c>
      <c r="L40" s="246" t="s">
        <v>195</v>
      </c>
      <c r="M40" s="171" t="s">
        <v>74</v>
      </c>
      <c r="N40" s="247"/>
      <c r="O40" s="172" t="s">
        <v>35</v>
      </c>
      <c r="P40" s="171" t="s">
        <v>489</v>
      </c>
      <c r="Q40" s="172" t="s">
        <v>490</v>
      </c>
      <c r="R40" s="175" t="s">
        <v>487</v>
      </c>
      <c r="S40" s="176" t="s">
        <v>789</v>
      </c>
      <c r="X40" s="144"/>
    </row>
    <row r="41" spans="1:24">
      <c r="A41" s="243">
        <v>549</v>
      </c>
      <c r="B41" s="196"/>
      <c r="C41" s="196">
        <v>16</v>
      </c>
      <c r="D41" s="196">
        <v>5</v>
      </c>
      <c r="E41" s="196" t="s">
        <v>481</v>
      </c>
      <c r="F41" s="248">
        <f>337.18+0.55</f>
        <v>337.73</v>
      </c>
      <c r="G41" s="196" t="s">
        <v>20</v>
      </c>
      <c r="H41" s="245">
        <v>55.818588256835938</v>
      </c>
      <c r="I41" s="57">
        <v>-2.2999999999999998</v>
      </c>
      <c r="J41" s="170">
        <v>-1.08</v>
      </c>
      <c r="K41" s="780">
        <f t="shared" si="0"/>
        <v>21.894756000000001</v>
      </c>
      <c r="L41" s="246" t="s">
        <v>195</v>
      </c>
      <c r="M41" s="171" t="s">
        <v>74</v>
      </c>
      <c r="N41" s="247"/>
      <c r="O41" s="172" t="s">
        <v>35</v>
      </c>
      <c r="P41" s="171" t="s">
        <v>489</v>
      </c>
      <c r="Q41" s="172" t="s">
        <v>490</v>
      </c>
      <c r="R41" s="175" t="s">
        <v>487</v>
      </c>
      <c r="S41" s="176" t="s">
        <v>789</v>
      </c>
      <c r="X41" s="144"/>
    </row>
    <row r="42" spans="1:24">
      <c r="A42" s="243">
        <v>549</v>
      </c>
      <c r="B42" s="196"/>
      <c r="C42" s="196">
        <v>16</v>
      </c>
      <c r="D42" s="196">
        <v>5</v>
      </c>
      <c r="E42" s="196" t="s">
        <v>101</v>
      </c>
      <c r="F42" s="248">
        <f>337.18+0.71</f>
        <v>337.89</v>
      </c>
      <c r="G42" s="196" t="s">
        <v>20</v>
      </c>
      <c r="H42" s="245">
        <v>55.830249786376953</v>
      </c>
      <c r="I42" s="57">
        <v>-2.93</v>
      </c>
      <c r="J42" s="170">
        <v>-1.08</v>
      </c>
      <c r="K42" s="780">
        <f t="shared" si="0"/>
        <v>24.992025000000002</v>
      </c>
      <c r="L42" s="246" t="s">
        <v>195</v>
      </c>
      <c r="M42" s="171" t="s">
        <v>74</v>
      </c>
      <c r="N42" s="247"/>
      <c r="O42" s="172" t="s">
        <v>35</v>
      </c>
      <c r="P42" s="171" t="s">
        <v>489</v>
      </c>
      <c r="Q42" s="172" t="s">
        <v>490</v>
      </c>
      <c r="R42" s="175" t="s">
        <v>487</v>
      </c>
      <c r="S42" s="176" t="s">
        <v>790</v>
      </c>
      <c r="X42" s="144"/>
    </row>
    <row r="43" spans="1:24">
      <c r="A43" s="243">
        <v>549</v>
      </c>
      <c r="B43" s="196"/>
      <c r="C43" s="196">
        <v>16</v>
      </c>
      <c r="D43" s="196">
        <v>5</v>
      </c>
      <c r="E43" s="196" t="s">
        <v>352</v>
      </c>
      <c r="F43" s="248">
        <f>337.18+0.84</f>
        <v>338.02</v>
      </c>
      <c r="G43" s="196" t="s">
        <v>20</v>
      </c>
      <c r="H43" s="245">
        <v>55.839725494384766</v>
      </c>
      <c r="I43" s="57">
        <v>-2.4500000000000002</v>
      </c>
      <c r="J43" s="170">
        <v>-1.08</v>
      </c>
      <c r="K43" s="780">
        <f t="shared" si="0"/>
        <v>22.625721000000002</v>
      </c>
      <c r="L43" s="246" t="s">
        <v>195</v>
      </c>
      <c r="M43" s="171" t="s">
        <v>74</v>
      </c>
      <c r="N43" s="247"/>
      <c r="O43" s="172" t="s">
        <v>35</v>
      </c>
      <c r="P43" s="171" t="s">
        <v>489</v>
      </c>
      <c r="Q43" s="172" t="s">
        <v>490</v>
      </c>
      <c r="R43" s="175" t="s">
        <v>487</v>
      </c>
      <c r="S43" s="176" t="s">
        <v>791</v>
      </c>
      <c r="X43" s="144"/>
    </row>
    <row r="44" spans="1:24">
      <c r="A44" s="243">
        <v>549</v>
      </c>
      <c r="B44" s="196"/>
      <c r="C44" s="196">
        <v>16</v>
      </c>
      <c r="D44" s="196">
        <v>5</v>
      </c>
      <c r="E44" s="196" t="s">
        <v>207</v>
      </c>
      <c r="F44" s="248">
        <f>337.18+0.92</f>
        <v>338.1</v>
      </c>
      <c r="G44" s="196" t="s">
        <v>20</v>
      </c>
      <c r="H44" s="245">
        <v>55.845558166503906</v>
      </c>
      <c r="I44" s="57">
        <v>-2.2999999999999998</v>
      </c>
      <c r="J44" s="170">
        <v>-1.08</v>
      </c>
      <c r="K44" s="780">
        <f t="shared" si="0"/>
        <v>21.894756000000001</v>
      </c>
      <c r="L44" s="246" t="s">
        <v>195</v>
      </c>
      <c r="M44" s="171" t="s">
        <v>74</v>
      </c>
      <c r="N44" s="247"/>
      <c r="O44" s="172" t="s">
        <v>35</v>
      </c>
      <c r="P44" s="171" t="s">
        <v>489</v>
      </c>
      <c r="Q44" s="172" t="s">
        <v>490</v>
      </c>
      <c r="R44" s="175" t="s">
        <v>487</v>
      </c>
      <c r="S44" s="176" t="s">
        <v>792</v>
      </c>
      <c r="X44" s="144"/>
    </row>
    <row r="45" spans="1:24">
      <c r="A45" s="243">
        <v>549</v>
      </c>
      <c r="B45" s="196"/>
      <c r="C45" s="196">
        <v>16</v>
      </c>
      <c r="D45" s="196">
        <v>5</v>
      </c>
      <c r="E45" s="196" t="s">
        <v>224</v>
      </c>
      <c r="F45" s="248">
        <f>337.18+1.04</f>
        <v>338.22</v>
      </c>
      <c r="G45" s="196" t="s">
        <v>20</v>
      </c>
      <c r="H45" s="245">
        <v>55.854305267333984</v>
      </c>
      <c r="I45" s="57">
        <v>-3.29</v>
      </c>
      <c r="J45" s="170">
        <v>-1.08</v>
      </c>
      <c r="K45" s="780">
        <f t="shared" si="0"/>
        <v>26.793968999999997</v>
      </c>
      <c r="L45" s="246" t="s">
        <v>195</v>
      </c>
      <c r="M45" s="171" t="s">
        <v>74</v>
      </c>
      <c r="N45" s="247"/>
      <c r="O45" s="172" t="s">
        <v>35</v>
      </c>
      <c r="P45" s="171" t="s">
        <v>489</v>
      </c>
      <c r="Q45" s="172" t="s">
        <v>490</v>
      </c>
      <c r="R45" s="175" t="s">
        <v>487</v>
      </c>
      <c r="S45" s="176" t="s">
        <v>793</v>
      </c>
      <c r="X45" s="144"/>
    </row>
    <row r="46" spans="1:24">
      <c r="A46" s="243">
        <v>549</v>
      </c>
      <c r="B46" s="196"/>
      <c r="C46" s="196">
        <v>16</v>
      </c>
      <c r="D46" s="196">
        <v>5</v>
      </c>
      <c r="E46" s="196" t="s">
        <v>381</v>
      </c>
      <c r="F46" s="248">
        <f>337.18+1.2</f>
        <v>338.38</v>
      </c>
      <c r="G46" s="196" t="s">
        <v>20</v>
      </c>
      <c r="H46" s="245">
        <v>55.865966796875</v>
      </c>
      <c r="I46" s="57">
        <v>-1.86</v>
      </c>
      <c r="J46" s="170">
        <v>-1.08</v>
      </c>
      <c r="K46" s="780">
        <f t="shared" si="0"/>
        <v>19.773956000000002</v>
      </c>
      <c r="L46" s="246" t="s">
        <v>195</v>
      </c>
      <c r="M46" s="171" t="s">
        <v>74</v>
      </c>
      <c r="N46" s="247"/>
      <c r="O46" s="172" t="s">
        <v>35</v>
      </c>
      <c r="P46" s="171" t="s">
        <v>489</v>
      </c>
      <c r="Q46" s="172" t="s">
        <v>490</v>
      </c>
      <c r="R46" s="175" t="s">
        <v>487</v>
      </c>
      <c r="S46" s="176" t="s">
        <v>794</v>
      </c>
      <c r="X46" s="144"/>
    </row>
    <row r="47" spans="1:24">
      <c r="A47" s="243">
        <v>549</v>
      </c>
      <c r="B47" s="196"/>
      <c r="C47" s="196">
        <v>16</v>
      </c>
      <c r="D47" s="196">
        <v>6</v>
      </c>
      <c r="E47" s="196" t="s">
        <v>482</v>
      </c>
      <c r="F47" s="248">
        <f>338.68+0.68</f>
        <v>339.36</v>
      </c>
      <c r="G47" s="196" t="s">
        <v>19</v>
      </c>
      <c r="H47" s="245">
        <v>55.937400817871094</v>
      </c>
      <c r="I47" s="57">
        <v>-2.95</v>
      </c>
      <c r="J47" s="170">
        <v>-1.08</v>
      </c>
      <c r="K47" s="491">
        <f t="shared" si="0"/>
        <v>25.091521</v>
      </c>
      <c r="L47" s="246" t="s">
        <v>195</v>
      </c>
      <c r="M47" s="171" t="s">
        <v>74</v>
      </c>
      <c r="N47" s="247"/>
      <c r="O47" s="172" t="s">
        <v>35</v>
      </c>
      <c r="P47" s="171" t="s">
        <v>489</v>
      </c>
      <c r="Q47" s="172" t="s">
        <v>490</v>
      </c>
      <c r="R47" s="175" t="s">
        <v>487</v>
      </c>
      <c r="S47" s="176" t="s">
        <v>795</v>
      </c>
      <c r="X47" s="144"/>
    </row>
    <row r="48" spans="1:24">
      <c r="A48" s="243">
        <v>549</v>
      </c>
      <c r="B48" s="196"/>
      <c r="C48" s="196">
        <v>16</v>
      </c>
      <c r="D48" s="196">
        <v>6</v>
      </c>
      <c r="E48" s="196" t="s">
        <v>221</v>
      </c>
      <c r="F48" s="248">
        <f>338.68+0.97</f>
        <v>339.65000000000003</v>
      </c>
      <c r="G48" s="196" t="s">
        <v>19</v>
      </c>
      <c r="H48" s="245">
        <v>55.958541870117188</v>
      </c>
      <c r="I48" s="57">
        <v>-2.34</v>
      </c>
      <c r="J48" s="170">
        <v>-1.08</v>
      </c>
      <c r="K48" s="491">
        <f t="shared" si="0"/>
        <v>22.089283999999999</v>
      </c>
      <c r="L48" s="246" t="s">
        <v>195</v>
      </c>
      <c r="M48" s="171" t="s">
        <v>74</v>
      </c>
      <c r="N48" s="247"/>
      <c r="O48" s="172" t="s">
        <v>35</v>
      </c>
      <c r="P48" s="171" t="s">
        <v>489</v>
      </c>
      <c r="Q48" s="172" t="s">
        <v>490</v>
      </c>
      <c r="R48" s="175" t="s">
        <v>487</v>
      </c>
      <c r="S48" s="176" t="s">
        <v>796</v>
      </c>
      <c r="X48" s="144"/>
    </row>
    <row r="49" spans="1:24">
      <c r="A49" s="243">
        <v>549</v>
      </c>
      <c r="B49" s="196"/>
      <c r="C49" s="196">
        <v>16</v>
      </c>
      <c r="D49" s="196">
        <v>7</v>
      </c>
      <c r="E49" s="196" t="s">
        <v>483</v>
      </c>
      <c r="F49" s="248">
        <f>340.18+0.1</f>
        <v>340.28000000000003</v>
      </c>
      <c r="G49" s="196" t="s">
        <v>196</v>
      </c>
      <c r="H49" s="245">
        <v>56.023128509521484</v>
      </c>
      <c r="I49" s="57">
        <v>-2.66</v>
      </c>
      <c r="J49" s="170">
        <v>-1.08</v>
      </c>
      <c r="K49" s="494">
        <f t="shared" si="0"/>
        <v>23.655875999999999</v>
      </c>
      <c r="L49" s="246" t="s">
        <v>195</v>
      </c>
      <c r="M49" s="171" t="s">
        <v>74</v>
      </c>
      <c r="N49" s="247"/>
      <c r="O49" s="172" t="s">
        <v>35</v>
      </c>
      <c r="P49" s="171" t="s">
        <v>489</v>
      </c>
      <c r="Q49" s="172" t="s">
        <v>490</v>
      </c>
      <c r="R49" s="175" t="s">
        <v>487</v>
      </c>
      <c r="S49" s="176" t="s">
        <v>797</v>
      </c>
      <c r="X49" s="144"/>
    </row>
    <row r="50" spans="1:24">
      <c r="A50" s="243">
        <v>549</v>
      </c>
      <c r="B50" s="196"/>
      <c r="C50" s="196">
        <v>16</v>
      </c>
      <c r="D50" s="196">
        <v>7</v>
      </c>
      <c r="E50" s="196" t="s">
        <v>128</v>
      </c>
      <c r="F50" s="248">
        <f>340.18+0.22</f>
        <v>340.40000000000003</v>
      </c>
      <c r="G50" s="196" t="s">
        <v>196</v>
      </c>
      <c r="H50" s="245">
        <v>56.035549163818359</v>
      </c>
      <c r="I50" s="57">
        <v>-2</v>
      </c>
      <c r="J50" s="170">
        <v>-1.08</v>
      </c>
      <c r="K50" s="494">
        <f t="shared" si="0"/>
        <v>20.444976</v>
      </c>
      <c r="L50" s="246" t="s">
        <v>195</v>
      </c>
      <c r="M50" s="171" t="s">
        <v>74</v>
      </c>
      <c r="N50" s="247"/>
      <c r="O50" s="172" t="s">
        <v>35</v>
      </c>
      <c r="P50" s="171" t="s">
        <v>489</v>
      </c>
      <c r="Q50" s="172" t="s">
        <v>490</v>
      </c>
      <c r="R50" s="175" t="s">
        <v>487</v>
      </c>
      <c r="S50" s="176" t="s">
        <v>798</v>
      </c>
      <c r="X50" s="144"/>
    </row>
    <row r="51" spans="1:24">
      <c r="A51" s="557">
        <v>549</v>
      </c>
      <c r="B51" s="226"/>
      <c r="C51" s="226">
        <v>16</v>
      </c>
      <c r="D51" s="226">
        <v>7</v>
      </c>
      <c r="E51" s="226" t="s">
        <v>351</v>
      </c>
      <c r="F51" s="226">
        <v>340.63</v>
      </c>
      <c r="G51" s="226" t="s">
        <v>196</v>
      </c>
      <c r="H51" s="917">
        <v>56.059352874755859</v>
      </c>
      <c r="I51" s="541">
        <v>-2.17</v>
      </c>
      <c r="J51" s="182">
        <v>-1.08</v>
      </c>
      <c r="K51" s="493">
        <f t="shared" si="0"/>
        <v>21.264529000000003</v>
      </c>
      <c r="L51" s="918" t="s">
        <v>195</v>
      </c>
      <c r="M51" s="184" t="s">
        <v>74</v>
      </c>
      <c r="N51" s="543"/>
      <c r="O51" s="185" t="s">
        <v>35</v>
      </c>
      <c r="P51" s="184" t="s">
        <v>489</v>
      </c>
      <c r="Q51" s="185" t="s">
        <v>490</v>
      </c>
      <c r="R51" s="919" t="s">
        <v>487</v>
      </c>
      <c r="S51" s="905" t="s">
        <v>799</v>
      </c>
      <c r="X51" s="144"/>
    </row>
    <row r="52" spans="1:24">
      <c r="A52" s="167">
        <v>549</v>
      </c>
      <c r="B52" s="55"/>
      <c r="C52" s="55">
        <v>16</v>
      </c>
      <c r="D52" s="55">
        <v>1</v>
      </c>
      <c r="E52" s="55" t="s">
        <v>469</v>
      </c>
      <c r="F52" s="55">
        <v>331.73</v>
      </c>
      <c r="G52" s="244" t="s">
        <v>403</v>
      </c>
      <c r="H52" s="59">
        <v>55.573944091796875</v>
      </c>
      <c r="I52" s="260">
        <v>0.82</v>
      </c>
      <c r="J52" s="809">
        <v>-1.08</v>
      </c>
      <c r="K52" s="491">
        <f t="shared" si="0"/>
        <v>7.608900000000002</v>
      </c>
      <c r="L52" s="810" t="s">
        <v>180</v>
      </c>
      <c r="M52" s="171" t="s">
        <v>74</v>
      </c>
      <c r="N52" s="247"/>
      <c r="O52" s="172" t="s">
        <v>44</v>
      </c>
      <c r="P52" s="171" t="s">
        <v>489</v>
      </c>
      <c r="Q52" s="172" t="s">
        <v>490</v>
      </c>
      <c r="R52" s="175" t="s">
        <v>487</v>
      </c>
      <c r="S52" s="176"/>
    </row>
    <row r="53" spans="1:24">
      <c r="A53" s="167">
        <v>549</v>
      </c>
      <c r="B53" s="55"/>
      <c r="C53" s="55">
        <v>16</v>
      </c>
      <c r="D53" s="55">
        <v>1</v>
      </c>
      <c r="E53" s="55" t="s">
        <v>470</v>
      </c>
      <c r="F53" s="55">
        <v>332.21</v>
      </c>
      <c r="G53" s="244" t="s">
        <v>403</v>
      </c>
      <c r="H53" s="59">
        <v>55.582874298095703</v>
      </c>
      <c r="I53" s="260">
        <v>0.94</v>
      </c>
      <c r="J53" s="809">
        <v>-1.08</v>
      </c>
      <c r="K53" s="491">
        <f t="shared" si="0"/>
        <v>7.0944360000000017</v>
      </c>
      <c r="L53" s="810" t="s">
        <v>180</v>
      </c>
      <c r="M53" s="171" t="s">
        <v>74</v>
      </c>
      <c r="N53" s="247"/>
      <c r="O53" s="172" t="s">
        <v>44</v>
      </c>
      <c r="P53" s="171" t="s">
        <v>489</v>
      </c>
      <c r="Q53" s="172" t="s">
        <v>490</v>
      </c>
      <c r="R53" s="175" t="s">
        <v>487</v>
      </c>
      <c r="S53" s="176"/>
    </row>
    <row r="54" spans="1:24">
      <c r="A54" s="167">
        <v>549</v>
      </c>
      <c r="B54" s="55"/>
      <c r="C54" s="55">
        <v>16</v>
      </c>
      <c r="D54" s="55">
        <v>1</v>
      </c>
      <c r="E54" s="55" t="s">
        <v>471</v>
      </c>
      <c r="F54" s="55">
        <v>332.52</v>
      </c>
      <c r="G54" s="244" t="s">
        <v>403</v>
      </c>
      <c r="H54" s="59">
        <v>55.588645935058594</v>
      </c>
      <c r="I54" s="260">
        <v>0.64</v>
      </c>
      <c r="J54" s="809">
        <v>-1.08</v>
      </c>
      <c r="K54" s="491">
        <f t="shared" si="0"/>
        <v>8.3854560000000014</v>
      </c>
      <c r="L54" s="810" t="s">
        <v>180</v>
      </c>
      <c r="M54" s="171" t="s">
        <v>74</v>
      </c>
      <c r="N54" s="247"/>
      <c r="O54" s="172" t="s">
        <v>44</v>
      </c>
      <c r="P54" s="171" t="s">
        <v>489</v>
      </c>
      <c r="Q54" s="172" t="s">
        <v>490</v>
      </c>
      <c r="R54" s="175" t="s">
        <v>487</v>
      </c>
      <c r="S54" s="176"/>
    </row>
    <row r="55" spans="1:24">
      <c r="A55" s="167">
        <v>549</v>
      </c>
      <c r="B55" s="55"/>
      <c r="C55" s="55">
        <v>16</v>
      </c>
      <c r="D55" s="55">
        <v>1</v>
      </c>
      <c r="E55" s="55" t="s">
        <v>485</v>
      </c>
      <c r="F55" s="55">
        <v>332.86</v>
      </c>
      <c r="G55" s="244" t="s">
        <v>403</v>
      </c>
      <c r="H55" s="59">
        <v>55.594970703125</v>
      </c>
      <c r="I55" s="260">
        <v>0.77</v>
      </c>
      <c r="J55" s="809">
        <v>-1.08</v>
      </c>
      <c r="K55" s="491">
        <f t="shared" si="0"/>
        <v>7.8240250000000016</v>
      </c>
      <c r="L55" s="810" t="s">
        <v>180</v>
      </c>
      <c r="M55" s="171" t="s">
        <v>74</v>
      </c>
      <c r="N55" s="247"/>
      <c r="O55" s="172" t="s">
        <v>44</v>
      </c>
      <c r="P55" s="171" t="s">
        <v>489</v>
      </c>
      <c r="Q55" s="172" t="s">
        <v>490</v>
      </c>
      <c r="R55" s="175" t="s">
        <v>487</v>
      </c>
      <c r="S55" s="176"/>
    </row>
    <row r="56" spans="1:24">
      <c r="A56" s="167">
        <v>549</v>
      </c>
      <c r="B56" s="55"/>
      <c r="C56" s="55">
        <v>16</v>
      </c>
      <c r="D56" s="55">
        <v>2</v>
      </c>
      <c r="E56" s="55" t="s">
        <v>472</v>
      </c>
      <c r="F56" s="55">
        <v>333.43</v>
      </c>
      <c r="G56" s="244" t="s">
        <v>403</v>
      </c>
      <c r="H56" s="59">
        <v>55.605575561523438</v>
      </c>
      <c r="I56" s="260">
        <v>0.71</v>
      </c>
      <c r="J56" s="809">
        <v>-1.08</v>
      </c>
      <c r="K56" s="491">
        <f t="shared" si="0"/>
        <v>8.0827690000000008</v>
      </c>
      <c r="L56" s="810" t="s">
        <v>180</v>
      </c>
      <c r="M56" s="171" t="s">
        <v>74</v>
      </c>
      <c r="N56" s="247"/>
      <c r="O56" s="172" t="s">
        <v>44</v>
      </c>
      <c r="P56" s="171" t="s">
        <v>489</v>
      </c>
      <c r="Q56" s="172" t="s">
        <v>490</v>
      </c>
      <c r="R56" s="175" t="s">
        <v>487</v>
      </c>
      <c r="S56" s="176"/>
    </row>
    <row r="57" spans="1:24">
      <c r="A57" s="167">
        <v>549</v>
      </c>
      <c r="B57" s="55"/>
      <c r="C57" s="55">
        <v>16</v>
      </c>
      <c r="D57" s="55">
        <v>2</v>
      </c>
      <c r="E57" s="55" t="s">
        <v>212</v>
      </c>
      <c r="F57" s="55">
        <v>333.73</v>
      </c>
      <c r="G57" s="244" t="s">
        <v>403</v>
      </c>
      <c r="H57" s="59">
        <v>55.611160278320313</v>
      </c>
      <c r="I57" s="260">
        <v>0.78</v>
      </c>
      <c r="J57" s="809">
        <v>-1.08</v>
      </c>
      <c r="K57" s="491">
        <f t="shared" si="0"/>
        <v>7.7809640000000018</v>
      </c>
      <c r="L57" s="810" t="s">
        <v>180</v>
      </c>
      <c r="M57" s="171" t="s">
        <v>74</v>
      </c>
      <c r="N57" s="247"/>
      <c r="O57" s="172" t="s">
        <v>44</v>
      </c>
      <c r="P57" s="171" t="s">
        <v>489</v>
      </c>
      <c r="Q57" s="172" t="s">
        <v>490</v>
      </c>
      <c r="R57" s="175" t="s">
        <v>487</v>
      </c>
      <c r="S57" s="176"/>
    </row>
    <row r="58" spans="1:24">
      <c r="A58" s="167">
        <v>549</v>
      </c>
      <c r="B58" s="55"/>
      <c r="C58" s="55">
        <v>16</v>
      </c>
      <c r="D58" s="55">
        <v>2</v>
      </c>
      <c r="E58" s="55" t="s">
        <v>471</v>
      </c>
      <c r="F58" s="55">
        <v>334.02</v>
      </c>
      <c r="G58" s="244" t="s">
        <v>403</v>
      </c>
      <c r="H58" s="59">
        <v>55.616554260253906</v>
      </c>
      <c r="I58" s="260">
        <v>0.84</v>
      </c>
      <c r="J58" s="809">
        <v>-1.08</v>
      </c>
      <c r="K58" s="491">
        <f t="shared" si="0"/>
        <v>7.5229760000000017</v>
      </c>
      <c r="L58" s="810" t="s">
        <v>180</v>
      </c>
      <c r="M58" s="171" t="s">
        <v>74</v>
      </c>
      <c r="N58" s="247"/>
      <c r="O58" s="172" t="s">
        <v>44</v>
      </c>
      <c r="P58" s="171" t="s">
        <v>489</v>
      </c>
      <c r="Q58" s="172" t="s">
        <v>490</v>
      </c>
      <c r="R58" s="175" t="s">
        <v>487</v>
      </c>
      <c r="S58" s="176"/>
    </row>
    <row r="59" spans="1:24">
      <c r="A59" s="167">
        <v>549</v>
      </c>
      <c r="B59" s="55"/>
      <c r="C59" s="55">
        <v>16</v>
      </c>
      <c r="D59" s="55">
        <v>2</v>
      </c>
      <c r="E59" s="55" t="s">
        <v>473</v>
      </c>
      <c r="F59" s="55">
        <v>334.38</v>
      </c>
      <c r="G59" s="244" t="s">
        <v>403</v>
      </c>
      <c r="H59" s="59">
        <v>55.623252868652344</v>
      </c>
      <c r="I59" s="260">
        <v>0.69</v>
      </c>
      <c r="J59" s="809">
        <v>-1.08</v>
      </c>
      <c r="K59" s="491">
        <f t="shared" si="0"/>
        <v>8.1691610000000026</v>
      </c>
      <c r="L59" s="810" t="s">
        <v>180</v>
      </c>
      <c r="M59" s="171" t="s">
        <v>74</v>
      </c>
      <c r="N59" s="247"/>
      <c r="O59" s="172" t="s">
        <v>44</v>
      </c>
      <c r="P59" s="171" t="s">
        <v>489</v>
      </c>
      <c r="Q59" s="172" t="s">
        <v>490</v>
      </c>
      <c r="R59" s="175" t="s">
        <v>487</v>
      </c>
      <c r="S59" s="176"/>
    </row>
    <row r="60" spans="1:24">
      <c r="A60" s="167">
        <v>549</v>
      </c>
      <c r="B60" s="55"/>
      <c r="C60" s="55">
        <v>16</v>
      </c>
      <c r="D60" s="55">
        <v>5</v>
      </c>
      <c r="E60" s="55" t="s">
        <v>207</v>
      </c>
      <c r="F60" s="248">
        <f>337.18+0.92</f>
        <v>338.1</v>
      </c>
      <c r="G60" s="261" t="s">
        <v>587</v>
      </c>
      <c r="H60" s="59">
        <v>55.845558166503906</v>
      </c>
      <c r="I60" s="260">
        <v>0.04</v>
      </c>
      <c r="J60" s="809">
        <v>-1.08</v>
      </c>
      <c r="K60" s="491">
        <f t="shared" si="0"/>
        <v>11.016096000000001</v>
      </c>
      <c r="L60" s="810" t="s">
        <v>180</v>
      </c>
      <c r="M60" s="171" t="s">
        <v>74</v>
      </c>
      <c r="N60" s="247"/>
      <c r="O60" s="172" t="s">
        <v>44</v>
      </c>
      <c r="P60" s="171" t="s">
        <v>489</v>
      </c>
      <c r="Q60" s="172" t="s">
        <v>490</v>
      </c>
      <c r="R60" s="175" t="s">
        <v>487</v>
      </c>
      <c r="S60" s="176"/>
    </row>
    <row r="61" spans="1:24">
      <c r="A61" s="167">
        <v>549</v>
      </c>
      <c r="B61" s="55"/>
      <c r="C61" s="55">
        <v>16</v>
      </c>
      <c r="D61" s="55">
        <v>5</v>
      </c>
      <c r="E61" s="55" t="s">
        <v>224</v>
      </c>
      <c r="F61" s="55">
        <v>338.22</v>
      </c>
      <c r="G61" s="261" t="s">
        <v>587</v>
      </c>
      <c r="H61" s="59">
        <v>55.854305267333984</v>
      </c>
      <c r="I61" s="260">
        <v>-0.4</v>
      </c>
      <c r="J61" s="809">
        <v>-1.08</v>
      </c>
      <c r="K61" s="491">
        <f t="shared" si="0"/>
        <v>12.986416</v>
      </c>
      <c r="L61" s="810" t="s">
        <v>180</v>
      </c>
      <c r="M61" s="171" t="s">
        <v>74</v>
      </c>
      <c r="N61" s="247"/>
      <c r="O61" s="172" t="s">
        <v>44</v>
      </c>
      <c r="P61" s="171" t="s">
        <v>489</v>
      </c>
      <c r="Q61" s="172" t="s">
        <v>490</v>
      </c>
      <c r="R61" s="175" t="s">
        <v>487</v>
      </c>
      <c r="S61" s="176"/>
    </row>
    <row r="62" spans="1:24">
      <c r="A62" s="167">
        <v>549</v>
      </c>
      <c r="B62" s="55"/>
      <c r="C62" s="55">
        <v>16</v>
      </c>
      <c r="D62" s="55">
        <v>6</v>
      </c>
      <c r="E62" s="55" t="s">
        <v>486</v>
      </c>
      <c r="F62" s="55">
        <v>340.08</v>
      </c>
      <c r="G62" s="262" t="s">
        <v>196</v>
      </c>
      <c r="H62" s="59">
        <v>56.002429962158203</v>
      </c>
      <c r="I62" s="260">
        <v>1.76</v>
      </c>
      <c r="J62" s="809">
        <v>-1.08</v>
      </c>
      <c r="K62" s="491">
        <f t="shared" si="0"/>
        <v>3.6483040000000031</v>
      </c>
      <c r="L62" s="810" t="s">
        <v>180</v>
      </c>
      <c r="M62" s="171" t="s">
        <v>74</v>
      </c>
      <c r="N62" s="247"/>
      <c r="O62" s="172" t="s">
        <v>44</v>
      </c>
      <c r="P62" s="171" t="s">
        <v>489</v>
      </c>
      <c r="Q62" s="172" t="s">
        <v>490</v>
      </c>
      <c r="R62" s="175" t="s">
        <v>487</v>
      </c>
      <c r="S62" s="176" t="s">
        <v>786</v>
      </c>
    </row>
    <row r="63" spans="1:24">
      <c r="A63" s="167">
        <v>549</v>
      </c>
      <c r="B63" s="55"/>
      <c r="C63" s="55">
        <v>16</v>
      </c>
      <c r="D63" s="55">
        <v>7</v>
      </c>
      <c r="E63" s="196" t="s">
        <v>483</v>
      </c>
      <c r="F63" s="248">
        <f>340.18+0.1</f>
        <v>340.28000000000003</v>
      </c>
      <c r="G63" s="262" t="s">
        <v>196</v>
      </c>
      <c r="H63" s="59">
        <v>56.023128509521484</v>
      </c>
      <c r="I63" s="260">
        <v>2.23</v>
      </c>
      <c r="J63" s="809">
        <v>-1.08</v>
      </c>
      <c r="K63" s="491">
        <f t="shared" si="0"/>
        <v>1.7276490000000018</v>
      </c>
      <c r="L63" s="810" t="s">
        <v>180</v>
      </c>
      <c r="M63" s="171" t="s">
        <v>74</v>
      </c>
      <c r="N63" s="247"/>
      <c r="O63" s="172" t="s">
        <v>44</v>
      </c>
      <c r="P63" s="171" t="s">
        <v>489</v>
      </c>
      <c r="Q63" s="172" t="s">
        <v>490</v>
      </c>
      <c r="R63" s="175" t="s">
        <v>487</v>
      </c>
      <c r="S63" s="176" t="s">
        <v>786</v>
      </c>
    </row>
    <row r="64" spans="1:24">
      <c r="A64" s="167">
        <v>549</v>
      </c>
      <c r="B64" s="55"/>
      <c r="C64" s="55">
        <v>16</v>
      </c>
      <c r="D64" s="55">
        <v>7</v>
      </c>
      <c r="E64" s="55" t="s">
        <v>128</v>
      </c>
      <c r="F64" s="248">
        <f>340.18+0.22</f>
        <v>340.40000000000003</v>
      </c>
      <c r="G64" s="262" t="s">
        <v>196</v>
      </c>
      <c r="H64" s="59">
        <v>56.035549163818359</v>
      </c>
      <c r="I64" s="260">
        <v>1.64</v>
      </c>
      <c r="J64" s="809">
        <v>-1.08</v>
      </c>
      <c r="K64" s="491">
        <f t="shared" si="0"/>
        <v>4.1450560000000038</v>
      </c>
      <c r="L64" s="810" t="s">
        <v>180</v>
      </c>
      <c r="M64" s="171" t="s">
        <v>74</v>
      </c>
      <c r="N64" s="247"/>
      <c r="O64" s="172" t="s">
        <v>44</v>
      </c>
      <c r="P64" s="171" t="s">
        <v>489</v>
      </c>
      <c r="Q64" s="172" t="s">
        <v>490</v>
      </c>
      <c r="R64" s="175" t="s">
        <v>487</v>
      </c>
      <c r="S64" s="176" t="s">
        <v>786</v>
      </c>
    </row>
    <row r="65" spans="1:19" ht="13.5" thickBot="1">
      <c r="A65" s="254"/>
      <c r="B65" s="255"/>
      <c r="C65" s="255"/>
      <c r="D65" s="255"/>
      <c r="E65" s="255"/>
      <c r="F65" s="255"/>
      <c r="G65" s="255"/>
      <c r="H65" s="256"/>
      <c r="I65" s="257"/>
      <c r="J65" s="765"/>
      <c r="K65" s="609"/>
      <c r="L65" s="811"/>
      <c r="M65" s="255"/>
      <c r="N65" s="255"/>
      <c r="O65" s="256"/>
      <c r="P65" s="255"/>
      <c r="Q65" s="256"/>
      <c r="R65" s="258"/>
      <c r="S65" s="258"/>
    </row>
    <row r="66" spans="1:19">
      <c r="A66" s="145"/>
      <c r="B66" s="145"/>
      <c r="C66" s="145"/>
      <c r="D66" s="145"/>
      <c r="E66" s="145"/>
      <c r="F66" s="144"/>
      <c r="G66" s="144"/>
      <c r="H66" s="144"/>
      <c r="I66" s="144"/>
      <c r="J66" s="145"/>
      <c r="K66" s="145"/>
      <c r="L66" s="144"/>
      <c r="M66" s="734"/>
      <c r="N66" s="145"/>
      <c r="O66" s="145"/>
      <c r="P66" s="144"/>
      <c r="Q66" s="144"/>
      <c r="R66" s="145"/>
      <c r="S66" s="145"/>
    </row>
    <row r="67" spans="1:19" ht="13.5" thickBot="1"/>
    <row r="68" spans="1:19" ht="13.5" thickBot="1">
      <c r="G68" s="733"/>
      <c r="H68" s="730" t="s">
        <v>607</v>
      </c>
      <c r="I68" s="730" t="s">
        <v>605</v>
      </c>
      <c r="J68" s="731">
        <v>0.05</v>
      </c>
      <c r="K68" s="730" t="s">
        <v>602</v>
      </c>
      <c r="L68" s="731">
        <v>0.95</v>
      </c>
      <c r="M68" s="732" t="s">
        <v>606</v>
      </c>
    </row>
    <row r="69" spans="1:19">
      <c r="G69" s="243" t="s">
        <v>21</v>
      </c>
      <c r="H69" s="196"/>
      <c r="I69" s="53"/>
      <c r="J69" s="53"/>
      <c r="K69" s="53"/>
      <c r="L69" s="53"/>
      <c r="M69" s="59"/>
    </row>
    <row r="70" spans="1:19">
      <c r="G70" s="322" t="s">
        <v>20</v>
      </c>
      <c r="H70" s="196">
        <f>COUNT($K36:$K46)</f>
        <v>11</v>
      </c>
      <c r="I70" s="53">
        <f>MIN($K36:$K46)</f>
        <v>19.773956000000002</v>
      </c>
      <c r="J70" s="53">
        <f>_xlfn.PERCENTILE.INC(($K36:$K46),0.05)</f>
        <v>20.157540000000001</v>
      </c>
      <c r="K70" s="53">
        <f>AVERAGE($K36:$K46)</f>
        <v>22.363894272727276</v>
      </c>
      <c r="L70" s="53">
        <f>_xlfn.PERCENTILE.INC(($K36:$K46),0.95)</f>
        <v>25.892997000000001</v>
      </c>
      <c r="M70" s="59">
        <f>MAX($K36:$K46)</f>
        <v>26.793968999999997</v>
      </c>
    </row>
    <row r="71" spans="1:19" ht="13.5" thickBot="1">
      <c r="G71" s="325" t="s">
        <v>601</v>
      </c>
      <c r="H71" s="202">
        <f>COUNT($K49:$K51)</f>
        <v>3</v>
      </c>
      <c r="I71" s="203">
        <f>MIN($K49:$K51)</f>
        <v>20.444976</v>
      </c>
      <c r="J71" s="203">
        <f>_xlfn.PERCENTILE.INC(($K49:$K51),0.05)</f>
        <v>20.526931300000001</v>
      </c>
      <c r="K71" s="203">
        <f>AVERAGE($K49:$K51)</f>
        <v>21.788460333333337</v>
      </c>
      <c r="L71" s="203">
        <f>_xlfn.PERCENTILE.INC(($K49:$K51),0.95)</f>
        <v>23.416741299999998</v>
      </c>
      <c r="M71" s="669">
        <f>MAX($K49:$K51)</f>
        <v>23.655875999999999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415"/>
  <sheetViews>
    <sheetView zoomScale="85" zoomScaleNormal="85" workbookViewId="0">
      <selection activeCell="B3" sqref="B3"/>
    </sheetView>
  </sheetViews>
  <sheetFormatPr defaultColWidth="10.875" defaultRowHeight="12.75"/>
  <cols>
    <col min="1" max="1" width="15.625" style="323" customWidth="1"/>
    <col min="2" max="2" width="30.625" style="109" customWidth="1"/>
    <col min="3" max="4" width="10.625" style="109" customWidth="1"/>
    <col min="5" max="5" width="10.875" style="109"/>
    <col min="6" max="6" width="10.875" style="323"/>
    <col min="7" max="7" width="12.625" style="323" customWidth="1"/>
    <col min="8" max="8" width="12.125" style="331" bestFit="1" customWidth="1"/>
    <col min="9" max="9" width="10.875" style="323"/>
    <col min="10" max="10" width="10.875" style="109"/>
    <col min="11" max="11" width="15.625" style="109" customWidth="1"/>
    <col min="12" max="12" width="28.5" style="109" bestFit="1" customWidth="1"/>
    <col min="13" max="13" width="13" style="109" bestFit="1" customWidth="1"/>
    <col min="14" max="15" width="10.625" style="109" bestFit="1" customWidth="1"/>
    <col min="16" max="16" width="10.875" style="109"/>
    <col min="17" max="17" width="20" style="109" customWidth="1"/>
    <col min="18" max="18" width="18.875" style="109" bestFit="1" customWidth="1"/>
    <col min="19" max="19" width="41" style="109" bestFit="1" customWidth="1"/>
    <col min="20" max="16384" width="10.875" style="109"/>
  </cols>
  <sheetData>
    <row r="1" spans="1:19" s="108" customFormat="1" ht="15.75">
      <c r="A1" s="369" t="s">
        <v>1</v>
      </c>
      <c r="B1" s="369" t="s">
        <v>193</v>
      </c>
      <c r="C1" s="370"/>
      <c r="F1" s="371"/>
      <c r="G1" s="371"/>
      <c r="H1" s="372"/>
      <c r="I1" s="371"/>
      <c r="L1" s="371"/>
      <c r="M1" s="371"/>
      <c r="N1" s="371"/>
      <c r="O1" s="371"/>
    </row>
    <row r="2" spans="1:19">
      <c r="A2" s="263" t="s">
        <v>636</v>
      </c>
      <c r="B2" s="265" t="s">
        <v>652</v>
      </c>
      <c r="C2" s="264"/>
      <c r="L2" s="323"/>
      <c r="M2" s="323"/>
      <c r="N2" s="323"/>
      <c r="O2" s="323"/>
    </row>
    <row r="3" spans="1:19">
      <c r="A3" s="263" t="s">
        <v>0</v>
      </c>
      <c r="B3" s="265" t="s">
        <v>388</v>
      </c>
      <c r="C3" s="264"/>
      <c r="L3" s="323"/>
      <c r="M3" s="323"/>
      <c r="N3" s="323"/>
      <c r="O3" s="323"/>
    </row>
    <row r="4" spans="1:19">
      <c r="A4" s="209" t="s">
        <v>621</v>
      </c>
      <c r="B4" s="266">
        <v>47.427500000000002</v>
      </c>
      <c r="C4" s="267"/>
      <c r="L4" s="323"/>
      <c r="M4" s="323"/>
      <c r="N4" s="323"/>
      <c r="O4" s="323"/>
    </row>
    <row r="5" spans="1:19">
      <c r="A5" s="209" t="s">
        <v>622</v>
      </c>
      <c r="B5" s="266">
        <v>-8.8102999999999998</v>
      </c>
      <c r="L5" s="323"/>
      <c r="M5" s="323"/>
      <c r="N5" s="323"/>
      <c r="O5" s="323"/>
    </row>
    <row r="6" spans="1:19">
      <c r="A6" s="210" t="s">
        <v>50</v>
      </c>
      <c r="B6" s="268">
        <v>36.275680190700001</v>
      </c>
      <c r="C6" s="269"/>
      <c r="D6" s="332"/>
      <c r="E6" s="332"/>
      <c r="F6" s="252"/>
      <c r="G6" s="252"/>
      <c r="H6" s="333"/>
      <c r="I6" s="252"/>
      <c r="J6" s="332"/>
      <c r="K6" s="332"/>
      <c r="L6" s="252"/>
      <c r="M6" s="252"/>
      <c r="N6" s="252"/>
      <c r="O6" s="252"/>
      <c r="P6" s="332"/>
      <c r="Q6" s="332"/>
      <c r="R6" s="332"/>
      <c r="S6" s="332"/>
    </row>
    <row r="7" spans="1:19">
      <c r="A7" s="141" t="s">
        <v>696</v>
      </c>
      <c r="B7" s="272" t="s">
        <v>759</v>
      </c>
      <c r="C7" s="265" t="s">
        <v>760</v>
      </c>
      <c r="L7" s="323"/>
      <c r="M7" s="323"/>
      <c r="N7" s="323"/>
      <c r="O7" s="323"/>
    </row>
    <row r="8" spans="1:19" ht="31.5" customHeight="1">
      <c r="A8" s="263" t="s">
        <v>2</v>
      </c>
      <c r="B8" s="793" t="s">
        <v>761</v>
      </c>
      <c r="C8" s="1014" t="s">
        <v>378</v>
      </c>
      <c r="D8" s="1014"/>
      <c r="E8" s="1014"/>
      <c r="F8" s="1014"/>
      <c r="G8" s="1014"/>
      <c r="H8" s="1014"/>
      <c r="I8" s="1014"/>
      <c r="J8" s="1014"/>
      <c r="L8" s="323"/>
      <c r="M8" s="323"/>
      <c r="N8" s="323"/>
      <c r="O8" s="323"/>
    </row>
    <row r="9" spans="1:19">
      <c r="A9" s="263" t="s">
        <v>3</v>
      </c>
      <c r="B9" s="265" t="s">
        <v>197</v>
      </c>
      <c r="C9" s="273"/>
      <c r="L9" s="323"/>
      <c r="M9" s="323"/>
      <c r="N9" s="323"/>
      <c r="O9" s="323"/>
    </row>
    <row r="10" spans="1:19" s="334" customFormat="1">
      <c r="A10" s="263" t="s">
        <v>4</v>
      </c>
      <c r="B10" s="265" t="s">
        <v>42</v>
      </c>
      <c r="C10" s="274" t="s">
        <v>388</v>
      </c>
      <c r="F10" s="335"/>
      <c r="G10" s="335"/>
      <c r="H10" s="336"/>
      <c r="I10" s="335"/>
      <c r="L10" s="335"/>
      <c r="M10" s="335"/>
      <c r="N10" s="335"/>
      <c r="O10" s="335"/>
    </row>
    <row r="11" spans="1:19" ht="13.5" thickBot="1">
      <c r="K11" s="535"/>
      <c r="L11" s="323"/>
      <c r="M11" s="323"/>
      <c r="N11" s="323"/>
      <c r="O11" s="323"/>
    </row>
    <row r="12" spans="1:19" ht="64.5" thickBot="1">
      <c r="A12" s="275" t="s">
        <v>5</v>
      </c>
      <c r="B12" s="276" t="s">
        <v>6</v>
      </c>
      <c r="C12" s="276" t="s">
        <v>7</v>
      </c>
      <c r="D12" s="276" t="s">
        <v>8</v>
      </c>
      <c r="E12" s="276" t="s">
        <v>9</v>
      </c>
      <c r="F12" s="276" t="s">
        <v>43</v>
      </c>
      <c r="G12" s="276" t="s">
        <v>31</v>
      </c>
      <c r="H12" s="277" t="s">
        <v>10</v>
      </c>
      <c r="I12" s="160" t="s">
        <v>725</v>
      </c>
      <c r="J12" s="534" t="s">
        <v>664</v>
      </c>
      <c r="K12" s="337" t="s">
        <v>659</v>
      </c>
      <c r="L12" s="279" t="s">
        <v>11</v>
      </c>
      <c r="M12" s="279" t="s">
        <v>12</v>
      </c>
      <c r="N12" s="279" t="s">
        <v>36</v>
      </c>
      <c r="O12" s="280" t="s">
        <v>34</v>
      </c>
      <c r="P12" s="278" t="s">
        <v>13</v>
      </c>
      <c r="Q12" s="280" t="s">
        <v>14</v>
      </c>
      <c r="R12" s="281" t="s">
        <v>15</v>
      </c>
      <c r="S12" s="282" t="s">
        <v>38</v>
      </c>
    </row>
    <row r="13" spans="1:19">
      <c r="A13" s="283"/>
      <c r="B13" s="284"/>
      <c r="C13" s="284"/>
      <c r="D13" s="284"/>
      <c r="E13" s="284"/>
      <c r="F13" s="284"/>
      <c r="G13" s="284"/>
      <c r="H13" s="285"/>
      <c r="I13" s="286"/>
      <c r="J13" s="287"/>
      <c r="K13" s="736"/>
      <c r="L13" s="339"/>
      <c r="M13" s="339"/>
      <c r="N13" s="339"/>
      <c r="O13" s="340"/>
      <c r="P13" s="338"/>
      <c r="Q13" s="340"/>
      <c r="R13" s="286"/>
      <c r="S13" s="341"/>
    </row>
    <row r="14" spans="1:19">
      <c r="A14" s="292">
        <v>401</v>
      </c>
      <c r="B14" s="293"/>
      <c r="C14" s="293"/>
      <c r="D14" s="293"/>
      <c r="E14" s="293"/>
      <c r="F14" s="107">
        <v>173.89</v>
      </c>
      <c r="G14" s="253" t="s">
        <v>21</v>
      </c>
      <c r="H14" s="294">
        <v>49.422050480000003</v>
      </c>
      <c r="I14" s="251">
        <v>-0.46600000000000003</v>
      </c>
      <c r="J14" s="287">
        <v>-1.0783713352680211</v>
      </c>
      <c r="K14" s="737">
        <f t="shared" ref="K14:K77" si="0">16.1-4.64*($I14-J14)+0.09*($I14-J14)^2</f>
        <v>13.292346883059599</v>
      </c>
      <c r="L14" s="795" t="s">
        <v>180</v>
      </c>
      <c r="M14" s="342" t="s">
        <v>16</v>
      </c>
      <c r="N14" s="343" t="s">
        <v>194</v>
      </c>
      <c r="O14" s="100" t="s">
        <v>44</v>
      </c>
      <c r="P14" s="344" t="s">
        <v>91</v>
      </c>
      <c r="Q14" s="345" t="s">
        <v>377</v>
      </c>
      <c r="R14" s="346" t="s">
        <v>377</v>
      </c>
      <c r="S14" s="347" t="s">
        <v>780</v>
      </c>
    </row>
    <row r="15" spans="1:19">
      <c r="A15" s="292">
        <v>401</v>
      </c>
      <c r="B15" s="293"/>
      <c r="C15" s="293"/>
      <c r="D15" s="293"/>
      <c r="E15" s="293"/>
      <c r="F15" s="107">
        <v>176.2</v>
      </c>
      <c r="G15" s="253" t="s">
        <v>21</v>
      </c>
      <c r="H15" s="294">
        <v>50.077358250000003</v>
      </c>
      <c r="I15" s="251">
        <v>-1.272</v>
      </c>
      <c r="J15" s="287">
        <v>-1.0783713352680211</v>
      </c>
      <c r="K15" s="737">
        <f t="shared" si="0"/>
        <v>17.001811289738914</v>
      </c>
      <c r="L15" s="795" t="s">
        <v>180</v>
      </c>
      <c r="M15" s="342" t="s">
        <v>16</v>
      </c>
      <c r="N15" s="343" t="s">
        <v>194</v>
      </c>
      <c r="O15" s="100" t="s">
        <v>44</v>
      </c>
      <c r="P15" s="344" t="s">
        <v>91</v>
      </c>
      <c r="Q15" s="345" t="s">
        <v>377</v>
      </c>
      <c r="R15" s="346" t="s">
        <v>377</v>
      </c>
      <c r="S15" s="347" t="s">
        <v>781</v>
      </c>
    </row>
    <row r="16" spans="1:19">
      <c r="A16" s="292">
        <v>401</v>
      </c>
      <c r="B16" s="293"/>
      <c r="C16" s="293"/>
      <c r="D16" s="293"/>
      <c r="E16" s="293"/>
      <c r="F16" s="107">
        <v>179.55</v>
      </c>
      <c r="G16" s="253" t="s">
        <v>21</v>
      </c>
      <c r="H16" s="294">
        <v>51.027702329999997</v>
      </c>
      <c r="I16" s="251">
        <v>-1.127</v>
      </c>
      <c r="J16" s="287">
        <v>-1.0783713352680211</v>
      </c>
      <c r="K16" s="737">
        <f t="shared" si="0"/>
        <v>16.325849831589409</v>
      </c>
      <c r="L16" s="795" t="s">
        <v>180</v>
      </c>
      <c r="M16" s="342" t="s">
        <v>16</v>
      </c>
      <c r="N16" s="343" t="s">
        <v>194</v>
      </c>
      <c r="O16" s="100" t="s">
        <v>44</v>
      </c>
      <c r="P16" s="344" t="s">
        <v>91</v>
      </c>
      <c r="Q16" s="345" t="s">
        <v>377</v>
      </c>
      <c r="R16" s="346" t="s">
        <v>377</v>
      </c>
      <c r="S16" s="347" t="s">
        <v>781</v>
      </c>
    </row>
    <row r="17" spans="1:19">
      <c r="A17" s="292">
        <v>401</v>
      </c>
      <c r="B17" s="293"/>
      <c r="C17" s="293"/>
      <c r="D17" s="293"/>
      <c r="E17" s="293"/>
      <c r="F17" s="107">
        <v>183.4</v>
      </c>
      <c r="G17" s="253" t="s">
        <v>21</v>
      </c>
      <c r="H17" s="294">
        <v>52.119880680000001</v>
      </c>
      <c r="I17" s="251">
        <v>-0.85399999999999998</v>
      </c>
      <c r="J17" s="287">
        <v>-1.0783713352680211</v>
      </c>
      <c r="K17" s="737">
        <f t="shared" si="0"/>
        <v>15.063447829004479</v>
      </c>
      <c r="L17" s="795" t="s">
        <v>180</v>
      </c>
      <c r="M17" s="342" t="s">
        <v>16</v>
      </c>
      <c r="N17" s="343" t="s">
        <v>194</v>
      </c>
      <c r="O17" s="100" t="s">
        <v>44</v>
      </c>
      <c r="P17" s="344" t="s">
        <v>91</v>
      </c>
      <c r="Q17" s="345" t="s">
        <v>377</v>
      </c>
      <c r="R17" s="346" t="s">
        <v>377</v>
      </c>
      <c r="S17" s="347" t="s">
        <v>781</v>
      </c>
    </row>
    <row r="18" spans="1:19">
      <c r="A18" s="292">
        <v>401</v>
      </c>
      <c r="B18" s="293"/>
      <c r="C18" s="293"/>
      <c r="D18" s="293"/>
      <c r="E18" s="293"/>
      <c r="F18" s="107">
        <v>184.9</v>
      </c>
      <c r="G18" s="253" t="s">
        <v>21</v>
      </c>
      <c r="H18" s="294">
        <v>52.54540634</v>
      </c>
      <c r="I18" s="251">
        <v>-0.85</v>
      </c>
      <c r="J18" s="287">
        <v>-1.0783713352680211</v>
      </c>
      <c r="K18" s="737">
        <f t="shared" si="0"/>
        <v>15.045050816365872</v>
      </c>
      <c r="L18" s="795" t="s">
        <v>180</v>
      </c>
      <c r="M18" s="342" t="s">
        <v>16</v>
      </c>
      <c r="N18" s="343" t="s">
        <v>194</v>
      </c>
      <c r="O18" s="100" t="s">
        <v>44</v>
      </c>
      <c r="P18" s="344" t="s">
        <v>91</v>
      </c>
      <c r="Q18" s="345" t="s">
        <v>377</v>
      </c>
      <c r="R18" s="346" t="s">
        <v>377</v>
      </c>
      <c r="S18" s="347" t="s">
        <v>781</v>
      </c>
    </row>
    <row r="19" spans="1:19">
      <c r="A19" s="292">
        <v>401</v>
      </c>
      <c r="B19" s="293"/>
      <c r="C19" s="293"/>
      <c r="D19" s="293"/>
      <c r="E19" s="293"/>
      <c r="F19" s="107">
        <v>189.7</v>
      </c>
      <c r="G19" s="253"/>
      <c r="H19" s="294">
        <v>53.997669219999999</v>
      </c>
      <c r="I19" s="251">
        <v>-0.59099999999999997</v>
      </c>
      <c r="J19" s="287">
        <v>-1.0783713352680211</v>
      </c>
      <c r="K19" s="737">
        <f t="shared" si="0"/>
        <v>13.859974778016067</v>
      </c>
      <c r="L19" s="795" t="s">
        <v>180</v>
      </c>
      <c r="M19" s="342" t="s">
        <v>16</v>
      </c>
      <c r="N19" s="343" t="s">
        <v>194</v>
      </c>
      <c r="O19" s="100" t="s">
        <v>44</v>
      </c>
      <c r="P19" s="344" t="s">
        <v>91</v>
      </c>
      <c r="Q19" s="345" t="s">
        <v>377</v>
      </c>
      <c r="R19" s="346" t="s">
        <v>377</v>
      </c>
      <c r="S19" s="347" t="s">
        <v>782</v>
      </c>
    </row>
    <row r="20" spans="1:19">
      <c r="A20" s="292">
        <v>401</v>
      </c>
      <c r="B20" s="293"/>
      <c r="C20" s="293"/>
      <c r="D20" s="293"/>
      <c r="E20" s="293"/>
      <c r="F20" s="107">
        <v>189.75</v>
      </c>
      <c r="G20" s="253"/>
      <c r="H20" s="294">
        <v>54.018058779999997</v>
      </c>
      <c r="I20" s="251">
        <v>-0.755</v>
      </c>
      <c r="J20" s="287">
        <v>-1.0783713352680211</v>
      </c>
      <c r="K20" s="737">
        <f t="shared" si="0"/>
        <v>14.608968216198956</v>
      </c>
      <c r="L20" s="795" t="s">
        <v>180</v>
      </c>
      <c r="M20" s="342" t="s">
        <v>16</v>
      </c>
      <c r="N20" s="343" t="s">
        <v>194</v>
      </c>
      <c r="O20" s="100" t="s">
        <v>44</v>
      </c>
      <c r="P20" s="344" t="s">
        <v>91</v>
      </c>
      <c r="Q20" s="345" t="s">
        <v>377</v>
      </c>
      <c r="R20" s="346" t="s">
        <v>377</v>
      </c>
      <c r="S20" s="347" t="s">
        <v>782</v>
      </c>
    </row>
    <row r="21" spans="1:19">
      <c r="A21" s="292">
        <v>401</v>
      </c>
      <c r="B21" s="293"/>
      <c r="C21" s="293"/>
      <c r="D21" s="293"/>
      <c r="E21" s="293"/>
      <c r="F21" s="107">
        <v>189.845</v>
      </c>
      <c r="G21" s="253"/>
      <c r="H21" s="294">
        <v>54.056797029999998</v>
      </c>
      <c r="I21" s="251">
        <v>-0.71</v>
      </c>
      <c r="J21" s="287">
        <v>-1.0783713352680211</v>
      </c>
      <c r="K21" s="737">
        <f t="shared" si="0"/>
        <v>14.402969774014627</v>
      </c>
      <c r="L21" s="795" t="s">
        <v>180</v>
      </c>
      <c r="M21" s="342" t="s">
        <v>16</v>
      </c>
      <c r="N21" s="343" t="s">
        <v>194</v>
      </c>
      <c r="O21" s="100" t="s">
        <v>44</v>
      </c>
      <c r="P21" s="344" t="s">
        <v>91</v>
      </c>
      <c r="Q21" s="345" t="s">
        <v>377</v>
      </c>
      <c r="R21" s="346" t="s">
        <v>377</v>
      </c>
      <c r="S21" s="347" t="s">
        <v>782</v>
      </c>
    </row>
    <row r="22" spans="1:19">
      <c r="A22" s="292">
        <v>401</v>
      </c>
      <c r="B22" s="293"/>
      <c r="C22" s="293"/>
      <c r="D22" s="293"/>
      <c r="E22" s="293"/>
      <c r="F22" s="107">
        <v>189.88499999999999</v>
      </c>
      <c r="G22" s="253"/>
      <c r="H22" s="294">
        <v>54.073104860000001</v>
      </c>
      <c r="I22" s="251">
        <v>-0.86199999999999999</v>
      </c>
      <c r="J22" s="287">
        <v>-1.0783713352680211</v>
      </c>
      <c r="K22" s="737">
        <f t="shared" si="0"/>
        <v>15.100250494281692</v>
      </c>
      <c r="L22" s="795" t="s">
        <v>180</v>
      </c>
      <c r="M22" s="342" t="s">
        <v>16</v>
      </c>
      <c r="N22" s="343" t="s">
        <v>194</v>
      </c>
      <c r="O22" s="100" t="s">
        <v>44</v>
      </c>
      <c r="P22" s="344" t="s">
        <v>91</v>
      </c>
      <c r="Q22" s="345" t="s">
        <v>377</v>
      </c>
      <c r="R22" s="346" t="s">
        <v>377</v>
      </c>
      <c r="S22" s="347"/>
    </row>
    <row r="23" spans="1:19">
      <c r="A23" s="292">
        <v>401</v>
      </c>
      <c r="B23" s="293"/>
      <c r="C23" s="293"/>
      <c r="D23" s="293"/>
      <c r="E23" s="293"/>
      <c r="F23" s="107">
        <v>189.91499999999999</v>
      </c>
      <c r="G23" s="253"/>
      <c r="H23" s="294">
        <v>54.085338589999999</v>
      </c>
      <c r="I23" s="251">
        <v>-1.022</v>
      </c>
      <c r="J23" s="287">
        <v>-1.0783713352680211</v>
      </c>
      <c r="K23" s="737">
        <f t="shared" si="0"/>
        <v>15.838722999825976</v>
      </c>
      <c r="L23" s="795" t="s">
        <v>180</v>
      </c>
      <c r="M23" s="342" t="s">
        <v>16</v>
      </c>
      <c r="N23" s="343" t="s">
        <v>194</v>
      </c>
      <c r="O23" s="100" t="s">
        <v>44</v>
      </c>
      <c r="P23" s="344" t="s">
        <v>91</v>
      </c>
      <c r="Q23" s="345" t="s">
        <v>377</v>
      </c>
      <c r="R23" s="346" t="s">
        <v>377</v>
      </c>
      <c r="S23" s="347"/>
    </row>
    <row r="24" spans="1:19">
      <c r="A24" s="292">
        <v>401</v>
      </c>
      <c r="B24" s="293"/>
      <c r="C24" s="293"/>
      <c r="D24" s="293"/>
      <c r="E24" s="293"/>
      <c r="F24" s="107">
        <v>189.98</v>
      </c>
      <c r="G24" s="253"/>
      <c r="H24" s="294">
        <v>54.111843110000002</v>
      </c>
      <c r="I24" s="251">
        <v>-1.0269999999999999</v>
      </c>
      <c r="J24" s="287">
        <v>-1.0783713352680211</v>
      </c>
      <c r="K24" s="737">
        <f t="shared" si="0"/>
        <v>15.861874515624233</v>
      </c>
      <c r="L24" s="795" t="s">
        <v>180</v>
      </c>
      <c r="M24" s="342" t="s">
        <v>16</v>
      </c>
      <c r="N24" s="343" t="s">
        <v>194</v>
      </c>
      <c r="O24" s="100" t="s">
        <v>44</v>
      </c>
      <c r="P24" s="344" t="s">
        <v>91</v>
      </c>
      <c r="Q24" s="345" t="s">
        <v>377</v>
      </c>
      <c r="R24" s="346" t="s">
        <v>377</v>
      </c>
      <c r="S24" s="347"/>
    </row>
    <row r="25" spans="1:19">
      <c r="A25" s="292">
        <v>401</v>
      </c>
      <c r="B25" s="293"/>
      <c r="C25" s="293"/>
      <c r="D25" s="293"/>
      <c r="E25" s="293"/>
      <c r="F25" s="107">
        <v>190.08</v>
      </c>
      <c r="G25" s="253"/>
      <c r="H25" s="294">
        <v>54.12164688</v>
      </c>
      <c r="I25" s="251">
        <v>-0.96499999999999997</v>
      </c>
      <c r="J25" s="287">
        <v>-1.0783713352680211</v>
      </c>
      <c r="K25" s="737">
        <f t="shared" si="0"/>
        <v>15.575113779725825</v>
      </c>
      <c r="L25" s="795" t="s">
        <v>180</v>
      </c>
      <c r="M25" s="342" t="s">
        <v>16</v>
      </c>
      <c r="N25" s="343" t="s">
        <v>194</v>
      </c>
      <c r="O25" s="100" t="s">
        <v>44</v>
      </c>
      <c r="P25" s="344" t="s">
        <v>91</v>
      </c>
      <c r="Q25" s="345" t="s">
        <v>377</v>
      </c>
      <c r="R25" s="346" t="s">
        <v>377</v>
      </c>
      <c r="S25" s="347"/>
    </row>
    <row r="26" spans="1:19">
      <c r="A26" s="292">
        <v>401</v>
      </c>
      <c r="B26" s="293"/>
      <c r="C26" s="293"/>
      <c r="D26" s="293"/>
      <c r="E26" s="293"/>
      <c r="F26" s="107">
        <v>190.08</v>
      </c>
      <c r="G26" s="253"/>
      <c r="H26" s="294">
        <v>54.12164688</v>
      </c>
      <c r="I26" s="251">
        <v>-0.86499999999999999</v>
      </c>
      <c r="J26" s="287">
        <v>-1.0783713352680211</v>
      </c>
      <c r="K26" s="737">
        <f t="shared" si="0"/>
        <v>15.114054463760649</v>
      </c>
      <c r="L26" s="795" t="s">
        <v>180</v>
      </c>
      <c r="M26" s="342" t="s">
        <v>16</v>
      </c>
      <c r="N26" s="343" t="s">
        <v>194</v>
      </c>
      <c r="O26" s="100" t="s">
        <v>44</v>
      </c>
      <c r="P26" s="344" t="s">
        <v>91</v>
      </c>
      <c r="Q26" s="345" t="s">
        <v>377</v>
      </c>
      <c r="R26" s="346" t="s">
        <v>377</v>
      </c>
      <c r="S26" s="347"/>
    </row>
    <row r="27" spans="1:19">
      <c r="A27" s="292">
        <v>401</v>
      </c>
      <c r="B27" s="293"/>
      <c r="C27" s="293"/>
      <c r="D27" s="293"/>
      <c r="E27" s="293"/>
      <c r="F27" s="107">
        <v>190.25</v>
      </c>
      <c r="G27" s="253"/>
      <c r="H27" s="294">
        <v>54.12514496</v>
      </c>
      <c r="I27" s="251">
        <v>-0.77300000000000002</v>
      </c>
      <c r="J27" s="287">
        <v>-1.0783713352680211</v>
      </c>
      <c r="K27" s="737">
        <f t="shared" si="0"/>
        <v>14.691469653072689</v>
      </c>
      <c r="L27" s="795" t="s">
        <v>180</v>
      </c>
      <c r="M27" s="342" t="s">
        <v>16</v>
      </c>
      <c r="N27" s="343" t="s">
        <v>194</v>
      </c>
      <c r="O27" s="100" t="s">
        <v>44</v>
      </c>
      <c r="P27" s="344" t="s">
        <v>91</v>
      </c>
      <c r="Q27" s="345" t="s">
        <v>377</v>
      </c>
      <c r="R27" s="346" t="s">
        <v>377</v>
      </c>
      <c r="S27" s="347"/>
    </row>
    <row r="28" spans="1:19">
      <c r="A28" s="292">
        <v>401</v>
      </c>
      <c r="B28" s="293"/>
      <c r="C28" s="293"/>
      <c r="D28" s="293"/>
      <c r="E28" s="293"/>
      <c r="F28" s="107">
        <v>190.29</v>
      </c>
      <c r="G28" s="253"/>
      <c r="H28" s="294">
        <v>54.125965119999996</v>
      </c>
      <c r="I28" s="251">
        <v>-0.45</v>
      </c>
      <c r="J28" s="287">
        <v>-1.0783713352680211</v>
      </c>
      <c r="K28" s="737">
        <f t="shared" si="0"/>
        <v>13.219893552505171</v>
      </c>
      <c r="L28" s="795" t="s">
        <v>180</v>
      </c>
      <c r="M28" s="342" t="s">
        <v>16</v>
      </c>
      <c r="N28" s="343" t="s">
        <v>194</v>
      </c>
      <c r="O28" s="100" t="s">
        <v>44</v>
      </c>
      <c r="P28" s="344" t="s">
        <v>91</v>
      </c>
      <c r="Q28" s="345" t="s">
        <v>377</v>
      </c>
      <c r="R28" s="346" t="s">
        <v>377</v>
      </c>
      <c r="S28" s="347"/>
    </row>
    <row r="29" spans="1:19">
      <c r="A29" s="292">
        <v>401</v>
      </c>
      <c r="B29" s="293"/>
      <c r="C29" s="293"/>
      <c r="D29" s="293"/>
      <c r="E29" s="293"/>
      <c r="F29" s="107">
        <v>190.34</v>
      </c>
      <c r="G29" s="253"/>
      <c r="H29" s="294">
        <v>54.126995090000001</v>
      </c>
      <c r="I29" s="251">
        <v>-0.76900000000000002</v>
      </c>
      <c r="J29" s="287">
        <v>-1.0783713352680211</v>
      </c>
      <c r="K29" s="737">
        <f t="shared" si="0"/>
        <v>14.673130960434081</v>
      </c>
      <c r="L29" s="795" t="s">
        <v>180</v>
      </c>
      <c r="M29" s="342" t="s">
        <v>16</v>
      </c>
      <c r="N29" s="343" t="s">
        <v>194</v>
      </c>
      <c r="O29" s="100" t="s">
        <v>44</v>
      </c>
      <c r="P29" s="344" t="s">
        <v>91</v>
      </c>
      <c r="Q29" s="345" t="s">
        <v>377</v>
      </c>
      <c r="R29" s="346" t="s">
        <v>377</v>
      </c>
      <c r="S29" s="347"/>
    </row>
    <row r="30" spans="1:19">
      <c r="A30" s="292">
        <v>401</v>
      </c>
      <c r="B30" s="293"/>
      <c r="C30" s="293"/>
      <c r="D30" s="293"/>
      <c r="E30" s="293"/>
      <c r="F30" s="107">
        <v>190.6</v>
      </c>
      <c r="G30" s="253"/>
      <c r="H30" s="294">
        <v>54.132347109999998</v>
      </c>
      <c r="I30" s="251">
        <v>-0.56899999999999995</v>
      </c>
      <c r="J30" s="287">
        <v>-1.0783713352680211</v>
      </c>
      <c r="K30" s="737">
        <f t="shared" si="0"/>
        <v>13.759868328503728</v>
      </c>
      <c r="L30" s="795" t="s">
        <v>180</v>
      </c>
      <c r="M30" s="342" t="s">
        <v>16</v>
      </c>
      <c r="N30" s="343" t="s">
        <v>194</v>
      </c>
      <c r="O30" s="100" t="s">
        <v>44</v>
      </c>
      <c r="P30" s="344" t="s">
        <v>91</v>
      </c>
      <c r="Q30" s="345" t="s">
        <v>377</v>
      </c>
      <c r="R30" s="346" t="s">
        <v>377</v>
      </c>
      <c r="S30" s="347"/>
    </row>
    <row r="31" spans="1:19">
      <c r="A31" s="292">
        <v>401</v>
      </c>
      <c r="B31" s="293"/>
      <c r="C31" s="293"/>
      <c r="D31" s="293"/>
      <c r="E31" s="293"/>
      <c r="F31" s="107">
        <v>191.38499999999999</v>
      </c>
      <c r="G31" s="253"/>
      <c r="H31" s="294">
        <v>54.148498539999999</v>
      </c>
      <c r="I31" s="251">
        <v>-0.50600000000000001</v>
      </c>
      <c r="J31" s="287">
        <v>-1.0783713352680211</v>
      </c>
      <c r="K31" s="737">
        <f t="shared" si="0"/>
        <v>13.473681809445667</v>
      </c>
      <c r="L31" s="795" t="s">
        <v>180</v>
      </c>
      <c r="M31" s="342" t="s">
        <v>16</v>
      </c>
      <c r="N31" s="343" t="s">
        <v>194</v>
      </c>
      <c r="O31" s="100" t="s">
        <v>44</v>
      </c>
      <c r="P31" s="344" t="s">
        <v>91</v>
      </c>
      <c r="Q31" s="345" t="s">
        <v>377</v>
      </c>
      <c r="R31" s="346" t="s">
        <v>377</v>
      </c>
      <c r="S31" s="347"/>
    </row>
    <row r="32" spans="1:19">
      <c r="A32" s="292">
        <v>401</v>
      </c>
      <c r="B32" s="293"/>
      <c r="C32" s="293"/>
      <c r="D32" s="293"/>
      <c r="E32" s="293"/>
      <c r="F32" s="107">
        <v>192.14500000000001</v>
      </c>
      <c r="G32" s="253"/>
      <c r="H32" s="294">
        <v>54.16413498</v>
      </c>
      <c r="I32" s="251">
        <v>-0.77500000000000002</v>
      </c>
      <c r="J32" s="287">
        <v>-1.0783713352680211</v>
      </c>
      <c r="K32" s="737">
        <f t="shared" si="0"/>
        <v>14.70064007939199</v>
      </c>
      <c r="L32" s="795" t="s">
        <v>180</v>
      </c>
      <c r="M32" s="342" t="s">
        <v>16</v>
      </c>
      <c r="N32" s="343" t="s">
        <v>194</v>
      </c>
      <c r="O32" s="100" t="s">
        <v>44</v>
      </c>
      <c r="P32" s="344" t="s">
        <v>91</v>
      </c>
      <c r="Q32" s="345" t="s">
        <v>377</v>
      </c>
      <c r="R32" s="346" t="s">
        <v>377</v>
      </c>
      <c r="S32" s="347"/>
    </row>
    <row r="33" spans="1:19">
      <c r="A33" s="292">
        <v>401</v>
      </c>
      <c r="B33" s="301"/>
      <c r="C33" s="301"/>
      <c r="D33" s="301"/>
      <c r="E33" s="302"/>
      <c r="F33" s="303">
        <v>192.43</v>
      </c>
      <c r="G33" s="303"/>
      <c r="H33" s="304">
        <v>54.169998168945313</v>
      </c>
      <c r="I33" s="305">
        <v>-0.874</v>
      </c>
      <c r="J33" s="287">
        <v>-1.0783713352680211</v>
      </c>
      <c r="K33" s="737">
        <f t="shared" si="0"/>
        <v>15.155476092197514</v>
      </c>
      <c r="L33" s="795" t="s">
        <v>180</v>
      </c>
      <c r="M33" s="342" t="s">
        <v>16</v>
      </c>
      <c r="N33" s="343" t="s">
        <v>199</v>
      </c>
      <c r="O33" s="100" t="s">
        <v>44</v>
      </c>
      <c r="P33" s="99" t="s">
        <v>58</v>
      </c>
      <c r="Q33" s="348" t="s">
        <v>379</v>
      </c>
      <c r="R33" s="346" t="s">
        <v>379</v>
      </c>
      <c r="S33" s="349"/>
    </row>
    <row r="34" spans="1:19">
      <c r="A34" s="292">
        <v>401</v>
      </c>
      <c r="B34" s="301"/>
      <c r="C34" s="301"/>
      <c r="D34" s="301"/>
      <c r="E34" s="302"/>
      <c r="F34" s="303">
        <v>192.9</v>
      </c>
      <c r="G34" s="303"/>
      <c r="H34" s="304">
        <v>54.503269195556641</v>
      </c>
      <c r="I34" s="305">
        <v>-0.47799999999999998</v>
      </c>
      <c r="J34" s="287">
        <v>-1.0783713352680211</v>
      </c>
      <c r="K34" s="737">
        <f t="shared" si="0"/>
        <v>13.34671712097542</v>
      </c>
      <c r="L34" s="795" t="s">
        <v>180</v>
      </c>
      <c r="M34" s="342" t="s">
        <v>16</v>
      </c>
      <c r="N34" s="343" t="s">
        <v>199</v>
      </c>
      <c r="O34" s="100" t="s">
        <v>44</v>
      </c>
      <c r="P34" s="99" t="s">
        <v>58</v>
      </c>
      <c r="Q34" s="348" t="s">
        <v>379</v>
      </c>
      <c r="R34" s="346" t="s">
        <v>379</v>
      </c>
      <c r="S34" s="349"/>
    </row>
    <row r="35" spans="1:19">
      <c r="A35" s="292">
        <v>401</v>
      </c>
      <c r="B35" s="301"/>
      <c r="C35" s="301"/>
      <c r="D35" s="301"/>
      <c r="E35" s="302"/>
      <c r="F35" s="303">
        <v>193.53</v>
      </c>
      <c r="G35" s="303"/>
      <c r="H35" s="304">
        <v>54.950000762939453</v>
      </c>
      <c r="I35" s="305">
        <v>-0.30499999999999999</v>
      </c>
      <c r="J35" s="287">
        <v>-1.0783713352680211</v>
      </c>
      <c r="K35" s="737">
        <f t="shared" si="0"/>
        <v>12.565386294355665</v>
      </c>
      <c r="L35" s="795" t="s">
        <v>180</v>
      </c>
      <c r="M35" s="342" t="s">
        <v>16</v>
      </c>
      <c r="N35" s="343" t="s">
        <v>199</v>
      </c>
      <c r="O35" s="100" t="s">
        <v>44</v>
      </c>
      <c r="P35" s="99" t="s">
        <v>58</v>
      </c>
      <c r="Q35" s="348" t="s">
        <v>379</v>
      </c>
      <c r="R35" s="346" t="s">
        <v>379</v>
      </c>
      <c r="S35" s="349"/>
    </row>
    <row r="36" spans="1:19">
      <c r="A36" s="292">
        <v>401</v>
      </c>
      <c r="B36" s="301"/>
      <c r="C36" s="301"/>
      <c r="D36" s="301"/>
      <c r="E36" s="302"/>
      <c r="F36" s="303">
        <v>193.53</v>
      </c>
      <c r="G36" s="303"/>
      <c r="H36" s="304">
        <v>54.950000762939453</v>
      </c>
      <c r="I36" s="305">
        <v>-0.22500000000000001</v>
      </c>
      <c r="J36" s="287">
        <v>-1.0783713352680211</v>
      </c>
      <c r="K36" s="737">
        <f t="shared" si="0"/>
        <v>12.205898841583524</v>
      </c>
      <c r="L36" s="795" t="s">
        <v>180</v>
      </c>
      <c r="M36" s="342" t="s">
        <v>16</v>
      </c>
      <c r="N36" s="343" t="s">
        <v>199</v>
      </c>
      <c r="O36" s="100" t="s">
        <v>44</v>
      </c>
      <c r="P36" s="99" t="s">
        <v>58</v>
      </c>
      <c r="Q36" s="348" t="s">
        <v>379</v>
      </c>
      <c r="R36" s="346" t="s">
        <v>379</v>
      </c>
      <c r="S36" s="349"/>
    </row>
    <row r="37" spans="1:19">
      <c r="A37" s="292">
        <v>401</v>
      </c>
      <c r="B37" s="301"/>
      <c r="C37" s="301"/>
      <c r="D37" s="301"/>
      <c r="E37" s="302"/>
      <c r="F37" s="303">
        <v>193.53</v>
      </c>
      <c r="G37" s="303"/>
      <c r="H37" s="304">
        <v>54.950000762939453</v>
      </c>
      <c r="I37" s="305">
        <v>-1.1399999999999999</v>
      </c>
      <c r="J37" s="287">
        <v>-1.0783713352680211</v>
      </c>
      <c r="K37" s="737">
        <f t="shared" si="0"/>
        <v>16.386298832664881</v>
      </c>
      <c r="L37" s="795" t="s">
        <v>180</v>
      </c>
      <c r="M37" s="342" t="s">
        <v>16</v>
      </c>
      <c r="N37" s="343" t="s">
        <v>199</v>
      </c>
      <c r="O37" s="100" t="s">
        <v>44</v>
      </c>
      <c r="P37" s="99" t="s">
        <v>58</v>
      </c>
      <c r="Q37" s="348" t="s">
        <v>379</v>
      </c>
      <c r="R37" s="346" t="s">
        <v>379</v>
      </c>
      <c r="S37" s="349"/>
    </row>
    <row r="38" spans="1:19">
      <c r="A38" s="292">
        <v>401</v>
      </c>
      <c r="B38" s="301"/>
      <c r="C38" s="301"/>
      <c r="D38" s="301"/>
      <c r="E38" s="302"/>
      <c r="F38" s="303">
        <v>193.93</v>
      </c>
      <c r="G38" s="303"/>
      <c r="H38" s="304">
        <v>54.994987487792969</v>
      </c>
      <c r="I38" s="305">
        <v>-0.499</v>
      </c>
      <c r="J38" s="287">
        <v>-1.0783713352680211</v>
      </c>
      <c r="K38" s="737">
        <f t="shared" si="0"/>
        <v>13.441927407328105</v>
      </c>
      <c r="L38" s="795" t="s">
        <v>180</v>
      </c>
      <c r="M38" s="342" t="s">
        <v>16</v>
      </c>
      <c r="N38" s="343" t="s">
        <v>199</v>
      </c>
      <c r="O38" s="100" t="s">
        <v>44</v>
      </c>
      <c r="P38" s="99" t="s">
        <v>58</v>
      </c>
      <c r="Q38" s="348" t="s">
        <v>379</v>
      </c>
      <c r="R38" s="346" t="s">
        <v>379</v>
      </c>
      <c r="S38" s="349"/>
    </row>
    <row r="39" spans="1:19">
      <c r="A39" s="292">
        <v>401</v>
      </c>
      <c r="B39" s="301"/>
      <c r="C39" s="301"/>
      <c r="D39" s="301"/>
      <c r="E39" s="302"/>
      <c r="F39" s="303">
        <v>194.8</v>
      </c>
      <c r="G39" s="303"/>
      <c r="H39" s="304">
        <v>55.092838287353516</v>
      </c>
      <c r="I39" s="305">
        <v>-0.68</v>
      </c>
      <c r="J39" s="287">
        <v>-1.0783713352680211</v>
      </c>
      <c r="K39" s="737">
        <f t="shared" si="0"/>
        <v>14.265839979225074</v>
      </c>
      <c r="L39" s="795" t="s">
        <v>180</v>
      </c>
      <c r="M39" s="342" t="s">
        <v>16</v>
      </c>
      <c r="N39" s="343" t="s">
        <v>199</v>
      </c>
      <c r="O39" s="100" t="s">
        <v>44</v>
      </c>
      <c r="P39" s="99" t="s">
        <v>58</v>
      </c>
      <c r="Q39" s="348" t="s">
        <v>379</v>
      </c>
      <c r="R39" s="346" t="s">
        <v>379</v>
      </c>
      <c r="S39" s="349"/>
    </row>
    <row r="40" spans="1:19">
      <c r="A40" s="292">
        <v>401</v>
      </c>
      <c r="B40" s="301"/>
      <c r="C40" s="301"/>
      <c r="D40" s="301"/>
      <c r="E40" s="302"/>
      <c r="F40" s="303">
        <v>194.8</v>
      </c>
      <c r="G40" s="303"/>
      <c r="H40" s="304">
        <v>55.092838287353516</v>
      </c>
      <c r="I40" s="305">
        <v>-0.82399999999999995</v>
      </c>
      <c r="J40" s="287">
        <v>-1.0783713352680211</v>
      </c>
      <c r="K40" s="737">
        <f t="shared" si="0"/>
        <v>14.925540434214927</v>
      </c>
      <c r="L40" s="795" t="s">
        <v>180</v>
      </c>
      <c r="M40" s="342" t="s">
        <v>16</v>
      </c>
      <c r="N40" s="343" t="s">
        <v>199</v>
      </c>
      <c r="O40" s="100" t="s">
        <v>44</v>
      </c>
      <c r="P40" s="99" t="s">
        <v>58</v>
      </c>
      <c r="Q40" s="348" t="s">
        <v>379</v>
      </c>
      <c r="R40" s="346" t="s">
        <v>379</v>
      </c>
      <c r="S40" s="349"/>
    </row>
    <row r="41" spans="1:19">
      <c r="A41" s="292">
        <v>401</v>
      </c>
      <c r="B41" s="301"/>
      <c r="C41" s="301"/>
      <c r="D41" s="301"/>
      <c r="E41" s="302"/>
      <c r="F41" s="303">
        <v>194.8</v>
      </c>
      <c r="G41" s="303"/>
      <c r="H41" s="304">
        <v>55.092838287353516</v>
      </c>
      <c r="I41" s="305">
        <v>-0.44800000000000001</v>
      </c>
      <c r="J41" s="287">
        <v>-1.0783713352680211</v>
      </c>
      <c r="K41" s="737">
        <f t="shared" si="0"/>
        <v>13.210840126185866</v>
      </c>
      <c r="L41" s="795" t="s">
        <v>180</v>
      </c>
      <c r="M41" s="342" t="s">
        <v>16</v>
      </c>
      <c r="N41" s="343" t="s">
        <v>199</v>
      </c>
      <c r="O41" s="100" t="s">
        <v>44</v>
      </c>
      <c r="P41" s="99" t="s">
        <v>58</v>
      </c>
      <c r="Q41" s="348" t="s">
        <v>379</v>
      </c>
      <c r="R41" s="346" t="s">
        <v>379</v>
      </c>
      <c r="S41" s="349"/>
    </row>
    <row r="42" spans="1:19">
      <c r="A42" s="292">
        <v>401</v>
      </c>
      <c r="B42" s="301"/>
      <c r="C42" s="301"/>
      <c r="D42" s="301"/>
      <c r="E42" s="302"/>
      <c r="F42" s="303">
        <v>195.05</v>
      </c>
      <c r="G42" s="303"/>
      <c r="H42" s="304">
        <v>55.120956420898438</v>
      </c>
      <c r="I42" s="305">
        <v>-0.91699999999999993</v>
      </c>
      <c r="J42" s="287">
        <v>-1.0783713352680211</v>
      </c>
      <c r="K42" s="737">
        <f t="shared" si="0"/>
        <v>15.35358066806254</v>
      </c>
      <c r="L42" s="795" t="s">
        <v>180</v>
      </c>
      <c r="M42" s="342" t="s">
        <v>16</v>
      </c>
      <c r="N42" s="343" t="s">
        <v>199</v>
      </c>
      <c r="O42" s="100" t="s">
        <v>44</v>
      </c>
      <c r="P42" s="99" t="s">
        <v>58</v>
      </c>
      <c r="Q42" s="348" t="s">
        <v>379</v>
      </c>
      <c r="R42" s="346" t="s">
        <v>379</v>
      </c>
      <c r="S42" s="349"/>
    </row>
    <row r="43" spans="1:19">
      <c r="A43" s="292">
        <v>401</v>
      </c>
      <c r="B43" s="301"/>
      <c r="C43" s="301"/>
      <c r="D43" s="301"/>
      <c r="E43" s="302"/>
      <c r="F43" s="303">
        <v>195.45</v>
      </c>
      <c r="G43" s="303"/>
      <c r="H43" s="304">
        <v>55.165946960449219</v>
      </c>
      <c r="I43" s="305">
        <v>-0.94099999999999995</v>
      </c>
      <c r="J43" s="287">
        <v>-1.0783713352680211</v>
      </c>
      <c r="K43" s="737">
        <f t="shared" si="0"/>
        <v>15.46429538389418</v>
      </c>
      <c r="L43" s="795" t="s">
        <v>180</v>
      </c>
      <c r="M43" s="342" t="s">
        <v>16</v>
      </c>
      <c r="N43" s="343" t="s">
        <v>199</v>
      </c>
      <c r="O43" s="100" t="s">
        <v>44</v>
      </c>
      <c r="P43" s="99" t="s">
        <v>58</v>
      </c>
      <c r="Q43" s="348" t="s">
        <v>379</v>
      </c>
      <c r="R43" s="346" t="s">
        <v>379</v>
      </c>
      <c r="S43" s="349"/>
    </row>
    <row r="44" spans="1:19">
      <c r="A44" s="292">
        <v>401</v>
      </c>
      <c r="B44" s="301"/>
      <c r="C44" s="301"/>
      <c r="D44" s="301"/>
      <c r="E44" s="302"/>
      <c r="F44" s="303">
        <v>195.88</v>
      </c>
      <c r="G44" s="303"/>
      <c r="H44" s="304">
        <v>55.214309692382813</v>
      </c>
      <c r="I44" s="305">
        <v>-1.3480000000000001</v>
      </c>
      <c r="J44" s="287">
        <v>-1.0783713352680211</v>
      </c>
      <c r="K44" s="737">
        <f t="shared" si="0"/>
        <v>17.357619969872449</v>
      </c>
      <c r="L44" s="795" t="s">
        <v>180</v>
      </c>
      <c r="M44" s="342" t="s">
        <v>16</v>
      </c>
      <c r="N44" s="343" t="s">
        <v>199</v>
      </c>
      <c r="O44" s="100" t="s">
        <v>44</v>
      </c>
      <c r="P44" s="99" t="s">
        <v>58</v>
      </c>
      <c r="Q44" s="348" t="s">
        <v>379</v>
      </c>
      <c r="R44" s="346" t="s">
        <v>379</v>
      </c>
      <c r="S44" s="349"/>
    </row>
    <row r="45" spans="1:19">
      <c r="A45" s="292">
        <v>401</v>
      </c>
      <c r="B45" s="301"/>
      <c r="C45" s="301"/>
      <c r="D45" s="301"/>
      <c r="E45" s="302"/>
      <c r="F45" s="303">
        <v>195.88</v>
      </c>
      <c r="G45" s="303"/>
      <c r="H45" s="304">
        <v>55.214309692382813</v>
      </c>
      <c r="I45" s="305">
        <v>-1.252</v>
      </c>
      <c r="J45" s="287">
        <v>-1.0783713352680211</v>
      </c>
      <c r="K45" s="737">
        <f t="shared" si="0"/>
        <v>16.908350226545878</v>
      </c>
      <c r="L45" s="795" t="s">
        <v>180</v>
      </c>
      <c r="M45" s="342" t="s">
        <v>16</v>
      </c>
      <c r="N45" s="343" t="s">
        <v>199</v>
      </c>
      <c r="O45" s="100" t="s">
        <v>44</v>
      </c>
      <c r="P45" s="99" t="s">
        <v>58</v>
      </c>
      <c r="Q45" s="348" t="s">
        <v>379</v>
      </c>
      <c r="R45" s="346" t="s">
        <v>379</v>
      </c>
      <c r="S45" s="349"/>
    </row>
    <row r="46" spans="1:19">
      <c r="A46" s="292">
        <v>401</v>
      </c>
      <c r="B46" s="301"/>
      <c r="C46" s="301"/>
      <c r="D46" s="301"/>
      <c r="E46" s="302"/>
      <c r="F46" s="303">
        <v>196.35</v>
      </c>
      <c r="G46" s="303"/>
      <c r="H46" s="304">
        <v>55.267173767089844</v>
      </c>
      <c r="I46" s="305">
        <v>-1.089</v>
      </c>
      <c r="J46" s="287">
        <v>-1.0783713352680211</v>
      </c>
      <c r="K46" s="737">
        <f t="shared" si="0"/>
        <v>16.149327171522643</v>
      </c>
      <c r="L46" s="795" t="s">
        <v>180</v>
      </c>
      <c r="M46" s="342" t="s">
        <v>16</v>
      </c>
      <c r="N46" s="343" t="s">
        <v>199</v>
      </c>
      <c r="O46" s="100" t="s">
        <v>44</v>
      </c>
      <c r="P46" s="99" t="s">
        <v>58</v>
      </c>
      <c r="Q46" s="348" t="s">
        <v>379</v>
      </c>
      <c r="R46" s="346" t="s">
        <v>379</v>
      </c>
      <c r="S46" s="349"/>
    </row>
    <row r="47" spans="1:19">
      <c r="A47" s="292">
        <v>401</v>
      </c>
      <c r="B47" s="301"/>
      <c r="C47" s="301"/>
      <c r="D47" s="301"/>
      <c r="E47" s="302"/>
      <c r="F47" s="303">
        <v>198.9</v>
      </c>
      <c r="G47" s="303"/>
      <c r="H47" s="304">
        <v>55.553974151611328</v>
      </c>
      <c r="I47" s="305">
        <v>-1.419</v>
      </c>
      <c r="J47" s="287">
        <v>-1.0783713352680211</v>
      </c>
      <c r="K47" s="737">
        <f t="shared" si="0"/>
        <v>17.690959514207719</v>
      </c>
      <c r="L47" s="795" t="s">
        <v>180</v>
      </c>
      <c r="M47" s="342" t="s">
        <v>16</v>
      </c>
      <c r="N47" s="343" t="s">
        <v>199</v>
      </c>
      <c r="O47" s="100" t="s">
        <v>44</v>
      </c>
      <c r="P47" s="99" t="s">
        <v>58</v>
      </c>
      <c r="Q47" s="348" t="s">
        <v>379</v>
      </c>
      <c r="R47" s="346" t="s">
        <v>379</v>
      </c>
      <c r="S47" s="349"/>
    </row>
    <row r="48" spans="1:19">
      <c r="A48" s="292">
        <v>401</v>
      </c>
      <c r="B48" s="301"/>
      <c r="C48" s="301"/>
      <c r="D48" s="301"/>
      <c r="E48" s="302"/>
      <c r="F48" s="303">
        <v>199.18</v>
      </c>
      <c r="G48" s="303"/>
      <c r="H48" s="304">
        <v>55.585468292236328</v>
      </c>
      <c r="I48" s="305">
        <v>-1.841</v>
      </c>
      <c r="J48" s="287">
        <v>-1.0783713352680211</v>
      </c>
      <c r="K48" s="737">
        <f t="shared" si="0"/>
        <v>19.690941227580765</v>
      </c>
      <c r="L48" s="795" t="s">
        <v>180</v>
      </c>
      <c r="M48" s="342" t="s">
        <v>16</v>
      </c>
      <c r="N48" s="343" t="s">
        <v>199</v>
      </c>
      <c r="O48" s="100" t="s">
        <v>44</v>
      </c>
      <c r="P48" s="99" t="s">
        <v>58</v>
      </c>
      <c r="Q48" s="348" t="s">
        <v>379</v>
      </c>
      <c r="R48" s="346" t="s">
        <v>379</v>
      </c>
      <c r="S48" s="349"/>
    </row>
    <row r="49" spans="1:19">
      <c r="A49" s="292">
        <v>401</v>
      </c>
      <c r="B49" s="301"/>
      <c r="C49" s="301"/>
      <c r="D49" s="301"/>
      <c r="E49" s="302"/>
      <c r="F49" s="303">
        <v>199.31</v>
      </c>
      <c r="G49" s="303"/>
      <c r="H49" s="304">
        <v>55.600090026855469</v>
      </c>
      <c r="I49" s="305">
        <v>-2.0779999999999998</v>
      </c>
      <c r="J49" s="287">
        <v>-1.0783713352680211</v>
      </c>
      <c r="K49" s="737">
        <f t="shared" si="0"/>
        <v>20.828210176418228</v>
      </c>
      <c r="L49" s="795" t="s">
        <v>180</v>
      </c>
      <c r="M49" s="342" t="s">
        <v>16</v>
      </c>
      <c r="N49" s="343" t="s">
        <v>199</v>
      </c>
      <c r="O49" s="100" t="s">
        <v>44</v>
      </c>
      <c r="P49" s="99" t="s">
        <v>58</v>
      </c>
      <c r="Q49" s="348" t="s">
        <v>379</v>
      </c>
      <c r="R49" s="346" t="s">
        <v>379</v>
      </c>
      <c r="S49" s="349"/>
    </row>
    <row r="50" spans="1:19">
      <c r="A50" s="292">
        <v>401</v>
      </c>
      <c r="B50" s="301"/>
      <c r="C50" s="301"/>
      <c r="D50" s="301"/>
      <c r="E50" s="302"/>
      <c r="F50" s="303">
        <v>199.41</v>
      </c>
      <c r="G50" s="303"/>
      <c r="H50" s="304">
        <v>55.611335754394531</v>
      </c>
      <c r="I50" s="305">
        <v>-1.875</v>
      </c>
      <c r="J50" s="287">
        <v>-1.0783713352680211</v>
      </c>
      <c r="K50" s="737">
        <f t="shared" si="0"/>
        <v>19.853472555008924</v>
      </c>
      <c r="L50" s="795" t="s">
        <v>180</v>
      </c>
      <c r="M50" s="342" t="s">
        <v>16</v>
      </c>
      <c r="N50" s="343" t="s">
        <v>199</v>
      </c>
      <c r="O50" s="100" t="s">
        <v>44</v>
      </c>
      <c r="P50" s="99" t="s">
        <v>58</v>
      </c>
      <c r="Q50" s="348" t="s">
        <v>379</v>
      </c>
      <c r="R50" s="346" t="s">
        <v>379</v>
      </c>
      <c r="S50" s="349"/>
    </row>
    <row r="51" spans="1:19">
      <c r="A51" s="292">
        <v>401</v>
      </c>
      <c r="B51" s="301"/>
      <c r="C51" s="301"/>
      <c r="D51" s="301"/>
      <c r="E51" s="302"/>
      <c r="F51" s="303">
        <v>199.51</v>
      </c>
      <c r="G51" s="303"/>
      <c r="H51" s="304">
        <v>55.622581481933594</v>
      </c>
      <c r="I51" s="305">
        <v>-1.625</v>
      </c>
      <c r="J51" s="287">
        <v>-1.0783713352680211</v>
      </c>
      <c r="K51" s="737">
        <f t="shared" si="0"/>
        <v>18.663249265095985</v>
      </c>
      <c r="L51" s="795" t="s">
        <v>180</v>
      </c>
      <c r="M51" s="342" t="s">
        <v>16</v>
      </c>
      <c r="N51" s="343" t="s">
        <v>199</v>
      </c>
      <c r="O51" s="100" t="s">
        <v>44</v>
      </c>
      <c r="P51" s="99" t="s">
        <v>58</v>
      </c>
      <c r="Q51" s="348" t="s">
        <v>379</v>
      </c>
      <c r="R51" s="346" t="s">
        <v>379</v>
      </c>
      <c r="S51" s="349"/>
    </row>
    <row r="52" spans="1:19">
      <c r="A52" s="292">
        <v>401</v>
      </c>
      <c r="B52" s="301"/>
      <c r="C52" s="301"/>
      <c r="D52" s="301"/>
      <c r="E52" s="302"/>
      <c r="F52" s="303">
        <v>199.58</v>
      </c>
      <c r="G52" s="303"/>
      <c r="H52" s="304">
        <v>55.630458831787109</v>
      </c>
      <c r="I52" s="305">
        <v>-1.407</v>
      </c>
      <c r="J52" s="287">
        <v>-1.0783713352680211</v>
      </c>
      <c r="K52" s="737">
        <f t="shared" si="0"/>
        <v>17.6345567162919</v>
      </c>
      <c r="L52" s="795" t="s">
        <v>180</v>
      </c>
      <c r="M52" s="342" t="s">
        <v>16</v>
      </c>
      <c r="N52" s="343" t="s">
        <v>199</v>
      </c>
      <c r="O52" s="100" t="s">
        <v>44</v>
      </c>
      <c r="P52" s="99" t="s">
        <v>58</v>
      </c>
      <c r="Q52" s="348" t="s">
        <v>379</v>
      </c>
      <c r="R52" s="346" t="s">
        <v>379</v>
      </c>
      <c r="S52" s="349"/>
    </row>
    <row r="53" spans="1:19">
      <c r="A53" s="292">
        <v>401</v>
      </c>
      <c r="B53" s="301"/>
      <c r="C53" s="301"/>
      <c r="D53" s="301"/>
      <c r="E53" s="302"/>
      <c r="F53" s="303">
        <v>199.6</v>
      </c>
      <c r="G53" s="303"/>
      <c r="H53" s="304">
        <v>55.632705688476563</v>
      </c>
      <c r="I53" s="305">
        <v>-1.798</v>
      </c>
      <c r="J53" s="287">
        <v>-1.0783713352680211</v>
      </c>
      <c r="K53" s="737">
        <f t="shared" si="0"/>
        <v>19.485684891715739</v>
      </c>
      <c r="L53" s="795" t="s">
        <v>180</v>
      </c>
      <c r="M53" s="342" t="s">
        <v>16</v>
      </c>
      <c r="N53" s="343" t="s">
        <v>199</v>
      </c>
      <c r="O53" s="100" t="s">
        <v>44</v>
      </c>
      <c r="P53" s="99" t="s">
        <v>58</v>
      </c>
      <c r="Q53" s="348" t="s">
        <v>379</v>
      </c>
      <c r="R53" s="346" t="s">
        <v>379</v>
      </c>
      <c r="S53" s="349"/>
    </row>
    <row r="54" spans="1:19">
      <c r="A54" s="292">
        <v>401</v>
      </c>
      <c r="B54" s="301"/>
      <c r="C54" s="301"/>
      <c r="D54" s="301"/>
      <c r="E54" s="302"/>
      <c r="F54" s="303">
        <v>199.7</v>
      </c>
      <c r="G54" s="303"/>
      <c r="H54" s="304">
        <v>55.643951416015625</v>
      </c>
      <c r="I54" s="305">
        <v>-1.643</v>
      </c>
      <c r="J54" s="287">
        <v>-1.0783713352680211</v>
      </c>
      <c r="K54" s="737">
        <f t="shared" si="0"/>
        <v>18.748569501969715</v>
      </c>
      <c r="L54" s="795" t="s">
        <v>180</v>
      </c>
      <c r="M54" s="342" t="s">
        <v>16</v>
      </c>
      <c r="N54" s="343" t="s">
        <v>199</v>
      </c>
      <c r="O54" s="100" t="s">
        <v>44</v>
      </c>
      <c r="P54" s="99" t="s">
        <v>58</v>
      </c>
      <c r="Q54" s="348" t="s">
        <v>379</v>
      </c>
      <c r="R54" s="346" t="s">
        <v>379</v>
      </c>
      <c r="S54" s="349"/>
    </row>
    <row r="55" spans="1:19">
      <c r="A55" s="292">
        <v>401</v>
      </c>
      <c r="B55" s="301"/>
      <c r="C55" s="301"/>
      <c r="D55" s="301"/>
      <c r="E55" s="302"/>
      <c r="F55" s="303">
        <v>199.78</v>
      </c>
      <c r="G55" s="303"/>
      <c r="H55" s="304">
        <v>55.652950286865234</v>
      </c>
      <c r="I55" s="305">
        <v>-1.889</v>
      </c>
      <c r="J55" s="287">
        <v>-1.0783713352680211</v>
      </c>
      <c r="K55" s="737">
        <f t="shared" si="0"/>
        <v>19.920457699244047</v>
      </c>
      <c r="L55" s="795" t="s">
        <v>180</v>
      </c>
      <c r="M55" s="342" t="s">
        <v>16</v>
      </c>
      <c r="N55" s="343" t="s">
        <v>199</v>
      </c>
      <c r="O55" s="100" t="s">
        <v>44</v>
      </c>
      <c r="P55" s="99" t="s">
        <v>58</v>
      </c>
      <c r="Q55" s="348" t="s">
        <v>379</v>
      </c>
      <c r="R55" s="346" t="s">
        <v>379</v>
      </c>
      <c r="S55" s="349"/>
    </row>
    <row r="56" spans="1:19">
      <c r="A56" s="292">
        <v>401</v>
      </c>
      <c r="B56" s="301"/>
      <c r="C56" s="301"/>
      <c r="D56" s="301"/>
      <c r="E56" s="302"/>
      <c r="F56" s="303">
        <v>199.88</v>
      </c>
      <c r="G56" s="303"/>
      <c r="H56" s="304">
        <v>55.664199829101563</v>
      </c>
      <c r="I56" s="305">
        <v>-2.1960000000000002</v>
      </c>
      <c r="J56" s="287">
        <v>-1.0783713352680211</v>
      </c>
      <c r="K56" s="737">
        <f t="shared" si="0"/>
        <v>21.398215449257137</v>
      </c>
      <c r="L56" s="795" t="s">
        <v>180</v>
      </c>
      <c r="M56" s="342" t="s">
        <v>16</v>
      </c>
      <c r="N56" s="343" t="s">
        <v>199</v>
      </c>
      <c r="O56" s="100" t="s">
        <v>44</v>
      </c>
      <c r="P56" s="99" t="s">
        <v>58</v>
      </c>
      <c r="Q56" s="348" t="s">
        <v>379</v>
      </c>
      <c r="R56" s="346" t="s">
        <v>379</v>
      </c>
      <c r="S56" s="349"/>
    </row>
    <row r="57" spans="1:19">
      <c r="A57" s="292">
        <v>401</v>
      </c>
      <c r="B57" s="301"/>
      <c r="C57" s="301"/>
      <c r="D57" s="301"/>
      <c r="E57" s="302"/>
      <c r="F57" s="303">
        <v>199.98</v>
      </c>
      <c r="G57" s="303"/>
      <c r="H57" s="304">
        <v>55.675445556640625</v>
      </c>
      <c r="I57" s="305">
        <v>-1.635</v>
      </c>
      <c r="J57" s="287">
        <v>-1.0783713352680211</v>
      </c>
      <c r="K57" s="737">
        <f t="shared" si="0"/>
        <v>18.710642196692501</v>
      </c>
      <c r="L57" s="795" t="s">
        <v>180</v>
      </c>
      <c r="M57" s="342" t="s">
        <v>16</v>
      </c>
      <c r="N57" s="343" t="s">
        <v>199</v>
      </c>
      <c r="O57" s="100" t="s">
        <v>44</v>
      </c>
      <c r="P57" s="99" t="s">
        <v>58</v>
      </c>
      <c r="Q57" s="348" t="s">
        <v>379</v>
      </c>
      <c r="R57" s="346" t="s">
        <v>379</v>
      </c>
      <c r="S57" s="349"/>
    </row>
    <row r="58" spans="1:19">
      <c r="A58" s="292">
        <v>401</v>
      </c>
      <c r="B58" s="301"/>
      <c r="C58" s="301"/>
      <c r="D58" s="301"/>
      <c r="E58" s="302"/>
      <c r="F58" s="303">
        <v>200.08</v>
      </c>
      <c r="G58" s="303"/>
      <c r="H58" s="304">
        <v>55.686695098876953</v>
      </c>
      <c r="I58" s="305">
        <v>-1.6779999999999999</v>
      </c>
      <c r="J58" s="287">
        <v>-1.0783713352680211</v>
      </c>
      <c r="K58" s="737">
        <f t="shared" si="0"/>
        <v>18.914636912557526</v>
      </c>
      <c r="L58" s="795" t="s">
        <v>180</v>
      </c>
      <c r="M58" s="342" t="s">
        <v>16</v>
      </c>
      <c r="N58" s="343" t="s">
        <v>199</v>
      </c>
      <c r="O58" s="100" t="s">
        <v>44</v>
      </c>
      <c r="P58" s="99" t="s">
        <v>58</v>
      </c>
      <c r="Q58" s="348" t="s">
        <v>379</v>
      </c>
      <c r="R58" s="346" t="s">
        <v>379</v>
      </c>
      <c r="S58" s="349"/>
    </row>
    <row r="59" spans="1:19">
      <c r="A59" s="292">
        <v>401</v>
      </c>
      <c r="B59" s="301"/>
      <c r="C59" s="301"/>
      <c r="D59" s="301"/>
      <c r="E59" s="302"/>
      <c r="F59" s="303">
        <v>200.21</v>
      </c>
      <c r="G59" s="303"/>
      <c r="H59" s="304">
        <v>55.701316833496094</v>
      </c>
      <c r="I59" s="305">
        <v>-1.698</v>
      </c>
      <c r="J59" s="287">
        <v>-1.0783713352680211</v>
      </c>
      <c r="K59" s="737">
        <f t="shared" si="0"/>
        <v>19.009631575750561</v>
      </c>
      <c r="L59" s="795" t="s">
        <v>180</v>
      </c>
      <c r="M59" s="342" t="s">
        <v>16</v>
      </c>
      <c r="N59" s="343" t="s">
        <v>199</v>
      </c>
      <c r="O59" s="100" t="s">
        <v>44</v>
      </c>
      <c r="P59" s="99" t="s">
        <v>58</v>
      </c>
      <c r="Q59" s="348" t="s">
        <v>379</v>
      </c>
      <c r="R59" s="346" t="s">
        <v>379</v>
      </c>
      <c r="S59" s="349"/>
    </row>
    <row r="60" spans="1:19">
      <c r="A60" s="292">
        <v>401</v>
      </c>
      <c r="B60" s="301"/>
      <c r="C60" s="301"/>
      <c r="D60" s="301"/>
      <c r="E60" s="302"/>
      <c r="F60" s="303">
        <v>200.31</v>
      </c>
      <c r="G60" s="303"/>
      <c r="H60" s="304">
        <v>55.712562561035156</v>
      </c>
      <c r="I60" s="305">
        <v>-1.7509999999999999</v>
      </c>
      <c r="J60" s="287">
        <v>-1.0783713352680211</v>
      </c>
      <c r="K60" s="737">
        <f t="shared" si="0"/>
        <v>19.261715643212106</v>
      </c>
      <c r="L60" s="795" t="s">
        <v>180</v>
      </c>
      <c r="M60" s="342" t="s">
        <v>16</v>
      </c>
      <c r="N60" s="343" t="s">
        <v>199</v>
      </c>
      <c r="O60" s="100" t="s">
        <v>44</v>
      </c>
      <c r="P60" s="99" t="s">
        <v>58</v>
      </c>
      <c r="Q60" s="348" t="s">
        <v>379</v>
      </c>
      <c r="R60" s="346" t="s">
        <v>379</v>
      </c>
      <c r="S60" s="349"/>
    </row>
    <row r="61" spans="1:19">
      <c r="A61" s="292">
        <v>401</v>
      </c>
      <c r="B61" s="301"/>
      <c r="C61" s="301"/>
      <c r="D61" s="301"/>
      <c r="E61" s="302"/>
      <c r="F61" s="303">
        <v>200.37</v>
      </c>
      <c r="G61" s="303"/>
      <c r="H61" s="304">
        <v>55.719310760498047</v>
      </c>
      <c r="I61" s="305">
        <v>-1.288</v>
      </c>
      <c r="J61" s="287">
        <v>-1.0783713352680211</v>
      </c>
      <c r="K61" s="737">
        <f t="shared" si="0"/>
        <v>17.076631980293339</v>
      </c>
      <c r="L61" s="795" t="s">
        <v>180</v>
      </c>
      <c r="M61" s="342" t="s">
        <v>16</v>
      </c>
      <c r="N61" s="343" t="s">
        <v>199</v>
      </c>
      <c r="O61" s="100" t="s">
        <v>44</v>
      </c>
      <c r="P61" s="99" t="s">
        <v>58</v>
      </c>
      <c r="Q61" s="348" t="s">
        <v>379</v>
      </c>
      <c r="R61" s="346" t="s">
        <v>379</v>
      </c>
      <c r="S61" s="349"/>
    </row>
    <row r="62" spans="1:19">
      <c r="A62" s="292">
        <v>401</v>
      </c>
      <c r="B62" s="301"/>
      <c r="C62" s="301"/>
      <c r="D62" s="301"/>
      <c r="E62" s="302"/>
      <c r="F62" s="303">
        <v>200.4</v>
      </c>
      <c r="G62" s="303"/>
      <c r="H62" s="304">
        <v>55.722682952880859</v>
      </c>
      <c r="I62" s="305">
        <v>-1.7609999999999999</v>
      </c>
      <c r="J62" s="287">
        <v>-1.0783713352680211</v>
      </c>
      <c r="K62" s="737">
        <f t="shared" si="0"/>
        <v>19.309335374808622</v>
      </c>
      <c r="L62" s="795" t="s">
        <v>180</v>
      </c>
      <c r="M62" s="342" t="s">
        <v>16</v>
      </c>
      <c r="N62" s="343" t="s">
        <v>199</v>
      </c>
      <c r="O62" s="100" t="s">
        <v>44</v>
      </c>
      <c r="P62" s="99" t="s">
        <v>58</v>
      </c>
      <c r="Q62" s="348" t="s">
        <v>379</v>
      </c>
      <c r="R62" s="346" t="s">
        <v>379</v>
      </c>
      <c r="S62" s="349"/>
    </row>
    <row r="63" spans="1:19">
      <c r="A63" s="292">
        <v>401</v>
      </c>
      <c r="B63" s="301"/>
      <c r="C63" s="301"/>
      <c r="D63" s="301"/>
      <c r="E63" s="302"/>
      <c r="F63" s="303">
        <v>200.5</v>
      </c>
      <c r="G63" s="303"/>
      <c r="H63" s="304">
        <v>55.733932495117188</v>
      </c>
      <c r="I63" s="305">
        <v>-1.8120000000000001</v>
      </c>
      <c r="J63" s="287">
        <v>-1.0783713352680211</v>
      </c>
      <c r="K63" s="737">
        <f t="shared" si="0"/>
        <v>19.552475995950861</v>
      </c>
      <c r="L63" s="795" t="s">
        <v>180</v>
      </c>
      <c r="M63" s="342" t="s">
        <v>16</v>
      </c>
      <c r="N63" s="343" t="s">
        <v>199</v>
      </c>
      <c r="O63" s="100" t="s">
        <v>44</v>
      </c>
      <c r="P63" s="99" t="s">
        <v>58</v>
      </c>
      <c r="Q63" s="348" t="s">
        <v>379</v>
      </c>
      <c r="R63" s="346" t="s">
        <v>379</v>
      </c>
      <c r="S63" s="349"/>
    </row>
    <row r="64" spans="1:19">
      <c r="A64" s="292">
        <v>401</v>
      </c>
      <c r="B64" s="301"/>
      <c r="C64" s="301"/>
      <c r="D64" s="301"/>
      <c r="E64" s="302"/>
      <c r="F64" s="303">
        <v>200.63</v>
      </c>
      <c r="G64" s="303" t="s">
        <v>380</v>
      </c>
      <c r="H64" s="304">
        <v>55.748554229736328</v>
      </c>
      <c r="I64" s="305">
        <v>-1.6140000000000001</v>
      </c>
      <c r="J64" s="287">
        <v>-1.0783713352680211</v>
      </c>
      <c r="K64" s="737">
        <f t="shared" si="0"/>
        <v>18.611137830339814</v>
      </c>
      <c r="L64" s="795" t="s">
        <v>180</v>
      </c>
      <c r="M64" s="342" t="s">
        <v>16</v>
      </c>
      <c r="N64" s="343" t="s">
        <v>199</v>
      </c>
      <c r="O64" s="100" t="s">
        <v>44</v>
      </c>
      <c r="P64" s="99" t="s">
        <v>58</v>
      </c>
      <c r="Q64" s="348" t="s">
        <v>379</v>
      </c>
      <c r="R64" s="346" t="s">
        <v>379</v>
      </c>
      <c r="S64" s="349"/>
    </row>
    <row r="65" spans="1:19">
      <c r="A65" s="292">
        <v>401</v>
      </c>
      <c r="B65" s="301"/>
      <c r="C65" s="301"/>
      <c r="D65" s="301"/>
      <c r="E65" s="302"/>
      <c r="F65" s="303">
        <v>200.83</v>
      </c>
      <c r="G65" s="303" t="s">
        <v>380</v>
      </c>
      <c r="H65" s="304">
        <v>55.771045684814453</v>
      </c>
      <c r="I65" s="305">
        <v>-1.65</v>
      </c>
      <c r="J65" s="287">
        <v>-1.0783713352680211</v>
      </c>
      <c r="K65" s="737">
        <f t="shared" si="0"/>
        <v>18.781765344087276</v>
      </c>
      <c r="L65" s="795" t="s">
        <v>180</v>
      </c>
      <c r="M65" s="342" t="s">
        <v>16</v>
      </c>
      <c r="N65" s="343" t="s">
        <v>199</v>
      </c>
      <c r="O65" s="100" t="s">
        <v>44</v>
      </c>
      <c r="P65" s="99" t="s">
        <v>58</v>
      </c>
      <c r="Q65" s="348" t="s">
        <v>379</v>
      </c>
      <c r="R65" s="346" t="s">
        <v>379</v>
      </c>
      <c r="S65" s="349"/>
    </row>
    <row r="66" spans="1:19">
      <c r="A66" s="292">
        <v>401</v>
      </c>
      <c r="B66" s="301"/>
      <c r="C66" s="301"/>
      <c r="D66" s="301"/>
      <c r="E66" s="302"/>
      <c r="F66" s="303">
        <v>200.91</v>
      </c>
      <c r="G66" s="303" t="s">
        <v>380</v>
      </c>
      <c r="H66" s="304">
        <v>55.780044555664063</v>
      </c>
      <c r="I66" s="305">
        <v>-1.4890000000000001</v>
      </c>
      <c r="J66" s="287">
        <v>-1.0783713352680211</v>
      </c>
      <c r="K66" s="737">
        <f t="shared" si="0"/>
        <v>18.020492435383346</v>
      </c>
      <c r="L66" s="795" t="s">
        <v>180</v>
      </c>
      <c r="M66" s="342" t="s">
        <v>16</v>
      </c>
      <c r="N66" s="343" t="s">
        <v>199</v>
      </c>
      <c r="O66" s="100" t="s">
        <v>44</v>
      </c>
      <c r="P66" s="99" t="s">
        <v>58</v>
      </c>
      <c r="Q66" s="348" t="s">
        <v>379</v>
      </c>
      <c r="R66" s="346" t="s">
        <v>379</v>
      </c>
      <c r="S66" s="349"/>
    </row>
    <row r="67" spans="1:19">
      <c r="A67" s="292">
        <v>401</v>
      </c>
      <c r="B67" s="301"/>
      <c r="C67" s="301"/>
      <c r="D67" s="301"/>
      <c r="E67" s="302"/>
      <c r="F67" s="303">
        <v>201</v>
      </c>
      <c r="G67" s="303" t="s">
        <v>59</v>
      </c>
      <c r="H67" s="304">
        <v>55.790168762207031</v>
      </c>
      <c r="I67" s="305">
        <v>-1.5069999999999999</v>
      </c>
      <c r="J67" s="287">
        <v>-1.0783713352680211</v>
      </c>
      <c r="K67" s="737">
        <f t="shared" si="0"/>
        <v>18.105372032257076</v>
      </c>
      <c r="L67" s="795" t="s">
        <v>180</v>
      </c>
      <c r="M67" s="342" t="s">
        <v>16</v>
      </c>
      <c r="N67" s="343" t="s">
        <v>199</v>
      </c>
      <c r="O67" s="100" t="s">
        <v>44</v>
      </c>
      <c r="P67" s="99" t="s">
        <v>58</v>
      </c>
      <c r="Q67" s="348" t="s">
        <v>379</v>
      </c>
      <c r="R67" s="346" t="s">
        <v>379</v>
      </c>
      <c r="S67" s="349"/>
    </row>
    <row r="68" spans="1:19">
      <c r="A68" s="292">
        <v>401</v>
      </c>
      <c r="B68" s="301"/>
      <c r="C68" s="301"/>
      <c r="D68" s="301"/>
      <c r="E68" s="302"/>
      <c r="F68" s="303">
        <v>201.04</v>
      </c>
      <c r="G68" s="303" t="s">
        <v>59</v>
      </c>
      <c r="H68" s="304">
        <v>55.794666290283203</v>
      </c>
      <c r="I68" s="305">
        <v>-1.38</v>
      </c>
      <c r="J68" s="287">
        <v>-1.0783713352680211</v>
      </c>
      <c r="K68" s="737">
        <f t="shared" si="0"/>
        <v>17.507745190981304</v>
      </c>
      <c r="L68" s="795" t="s">
        <v>180</v>
      </c>
      <c r="M68" s="342" t="s">
        <v>16</v>
      </c>
      <c r="N68" s="343" t="s">
        <v>199</v>
      </c>
      <c r="O68" s="100" t="s">
        <v>44</v>
      </c>
      <c r="P68" s="99" t="s">
        <v>58</v>
      </c>
      <c r="Q68" s="348" t="s">
        <v>379</v>
      </c>
      <c r="R68" s="346" t="s">
        <v>379</v>
      </c>
      <c r="S68" s="349"/>
    </row>
    <row r="69" spans="1:19">
      <c r="A69" s="292">
        <v>401</v>
      </c>
      <c r="B69" s="301"/>
      <c r="C69" s="301"/>
      <c r="D69" s="301"/>
      <c r="E69" s="302"/>
      <c r="F69" s="303">
        <v>201.1</v>
      </c>
      <c r="G69" s="303" t="s">
        <v>59</v>
      </c>
      <c r="H69" s="304">
        <v>55.801414489746094</v>
      </c>
      <c r="I69" s="305">
        <v>-1.3919999999999999</v>
      </c>
      <c r="J69" s="287">
        <v>-1.0783713352680211</v>
      </c>
      <c r="K69" s="737">
        <f t="shared" si="0"/>
        <v>17.564089668897122</v>
      </c>
      <c r="L69" s="795" t="s">
        <v>180</v>
      </c>
      <c r="M69" s="342" t="s">
        <v>16</v>
      </c>
      <c r="N69" s="343" t="s">
        <v>199</v>
      </c>
      <c r="O69" s="100" t="s">
        <v>44</v>
      </c>
      <c r="P69" s="99" t="s">
        <v>58</v>
      </c>
      <c r="Q69" s="348" t="s">
        <v>379</v>
      </c>
      <c r="R69" s="346" t="s">
        <v>379</v>
      </c>
      <c r="S69" s="349"/>
    </row>
    <row r="70" spans="1:19">
      <c r="A70" s="292">
        <v>401</v>
      </c>
      <c r="B70" s="301"/>
      <c r="C70" s="301"/>
      <c r="D70" s="301"/>
      <c r="E70" s="302"/>
      <c r="F70" s="303">
        <v>201.2</v>
      </c>
      <c r="G70" s="303" t="s">
        <v>59</v>
      </c>
      <c r="H70" s="304">
        <v>55.812660217285156</v>
      </c>
      <c r="I70" s="305">
        <v>-1.508</v>
      </c>
      <c r="J70" s="287">
        <v>-1.0783713352680211</v>
      </c>
      <c r="K70" s="737">
        <f t="shared" si="0"/>
        <v>18.11008927541673</v>
      </c>
      <c r="L70" s="795" t="s">
        <v>180</v>
      </c>
      <c r="M70" s="342" t="s">
        <v>16</v>
      </c>
      <c r="N70" s="343" t="s">
        <v>199</v>
      </c>
      <c r="O70" s="100" t="s">
        <v>44</v>
      </c>
      <c r="P70" s="99" t="s">
        <v>58</v>
      </c>
      <c r="Q70" s="348" t="s">
        <v>379</v>
      </c>
      <c r="R70" s="346" t="s">
        <v>379</v>
      </c>
      <c r="S70" s="349"/>
    </row>
    <row r="71" spans="1:19">
      <c r="A71" s="292">
        <v>401</v>
      </c>
      <c r="B71" s="301"/>
      <c r="C71" s="301"/>
      <c r="D71" s="301"/>
      <c r="E71" s="302"/>
      <c r="F71" s="303">
        <v>201.29</v>
      </c>
      <c r="G71" s="303" t="s">
        <v>59</v>
      </c>
      <c r="H71" s="304">
        <v>55.822784423828125</v>
      </c>
      <c r="I71" s="305">
        <v>-1.339</v>
      </c>
      <c r="J71" s="287">
        <v>-1.0783713352680211</v>
      </c>
      <c r="K71" s="737">
        <f t="shared" si="0"/>
        <v>17.315430461435582</v>
      </c>
      <c r="L71" s="795" t="s">
        <v>180</v>
      </c>
      <c r="M71" s="342" t="s">
        <v>16</v>
      </c>
      <c r="N71" s="343" t="s">
        <v>199</v>
      </c>
      <c r="O71" s="100" t="s">
        <v>44</v>
      </c>
      <c r="P71" s="99" t="s">
        <v>58</v>
      </c>
      <c r="Q71" s="348" t="s">
        <v>379</v>
      </c>
      <c r="R71" s="346" t="s">
        <v>379</v>
      </c>
      <c r="S71" s="349"/>
    </row>
    <row r="72" spans="1:19">
      <c r="A72" s="292">
        <v>401</v>
      </c>
      <c r="B72" s="301"/>
      <c r="C72" s="301"/>
      <c r="D72" s="301"/>
      <c r="E72" s="302"/>
      <c r="F72" s="303">
        <v>201.4</v>
      </c>
      <c r="G72" s="303" t="s">
        <v>59</v>
      </c>
      <c r="H72" s="304">
        <v>55.835155487060547</v>
      </c>
      <c r="I72" s="305">
        <v>-1.319</v>
      </c>
      <c r="J72" s="287">
        <v>-1.0783713352680211</v>
      </c>
      <c r="K72" s="737">
        <f t="shared" si="0"/>
        <v>17.221728198242545</v>
      </c>
      <c r="L72" s="795" t="s">
        <v>180</v>
      </c>
      <c r="M72" s="342" t="s">
        <v>16</v>
      </c>
      <c r="N72" s="343" t="s">
        <v>199</v>
      </c>
      <c r="O72" s="100" t="s">
        <v>44</v>
      </c>
      <c r="P72" s="99" t="s">
        <v>58</v>
      </c>
      <c r="Q72" s="348" t="s">
        <v>379</v>
      </c>
      <c r="R72" s="346" t="s">
        <v>379</v>
      </c>
      <c r="S72" s="349"/>
    </row>
    <row r="73" spans="1:19">
      <c r="A73" s="292">
        <v>401</v>
      </c>
      <c r="B73" s="301"/>
      <c r="C73" s="301"/>
      <c r="D73" s="301"/>
      <c r="E73" s="302"/>
      <c r="F73" s="303">
        <v>201.48</v>
      </c>
      <c r="G73" s="303" t="s">
        <v>59</v>
      </c>
      <c r="H73" s="304">
        <v>55.844154357910156</v>
      </c>
      <c r="I73" s="305">
        <v>-1.494</v>
      </c>
      <c r="J73" s="287">
        <v>-1.0783713352680211</v>
      </c>
      <c r="K73" s="737">
        <f t="shared" si="0"/>
        <v>18.044064251181606</v>
      </c>
      <c r="L73" s="795" t="s">
        <v>180</v>
      </c>
      <c r="M73" s="342" t="s">
        <v>16</v>
      </c>
      <c r="N73" s="343" t="s">
        <v>199</v>
      </c>
      <c r="O73" s="100" t="s">
        <v>44</v>
      </c>
      <c r="P73" s="99" t="s">
        <v>58</v>
      </c>
      <c r="Q73" s="348" t="s">
        <v>379</v>
      </c>
      <c r="R73" s="346" t="s">
        <v>379</v>
      </c>
      <c r="S73" s="349"/>
    </row>
    <row r="74" spans="1:19">
      <c r="A74" s="292">
        <v>401</v>
      </c>
      <c r="B74" s="301"/>
      <c r="C74" s="301"/>
      <c r="D74" s="301"/>
      <c r="E74" s="302"/>
      <c r="F74" s="303">
        <v>201.56</v>
      </c>
      <c r="G74" s="303" t="s">
        <v>59</v>
      </c>
      <c r="H74" s="304">
        <v>55.853153228759766</v>
      </c>
      <c r="I74" s="305">
        <v>-1.58</v>
      </c>
      <c r="J74" s="287">
        <v>-1.0783713352680211</v>
      </c>
      <c r="K74" s="737">
        <f t="shared" si="0"/>
        <v>18.450203822911654</v>
      </c>
      <c r="L74" s="795" t="s">
        <v>180</v>
      </c>
      <c r="M74" s="342" t="s">
        <v>16</v>
      </c>
      <c r="N74" s="343" t="s">
        <v>199</v>
      </c>
      <c r="O74" s="100" t="s">
        <v>44</v>
      </c>
      <c r="P74" s="99" t="s">
        <v>58</v>
      </c>
      <c r="Q74" s="348" t="s">
        <v>379</v>
      </c>
      <c r="R74" s="346" t="s">
        <v>379</v>
      </c>
      <c r="S74" s="349"/>
    </row>
    <row r="75" spans="1:19">
      <c r="A75" s="292">
        <v>401</v>
      </c>
      <c r="B75" s="301"/>
      <c r="C75" s="301"/>
      <c r="D75" s="301"/>
      <c r="E75" s="302"/>
      <c r="F75" s="303">
        <v>201.66</v>
      </c>
      <c r="G75" s="303" t="s">
        <v>59</v>
      </c>
      <c r="H75" s="304">
        <v>55.864398956298828</v>
      </c>
      <c r="I75" s="305">
        <v>-1.571</v>
      </c>
      <c r="J75" s="287">
        <v>-1.0783713352680211</v>
      </c>
      <c r="K75" s="737">
        <f t="shared" si="0"/>
        <v>18.407638474474791</v>
      </c>
      <c r="L75" s="795" t="s">
        <v>180</v>
      </c>
      <c r="M75" s="342" t="s">
        <v>16</v>
      </c>
      <c r="N75" s="343" t="s">
        <v>199</v>
      </c>
      <c r="O75" s="100" t="s">
        <v>44</v>
      </c>
      <c r="P75" s="99" t="s">
        <v>58</v>
      </c>
      <c r="Q75" s="348" t="s">
        <v>379</v>
      </c>
      <c r="R75" s="346" t="s">
        <v>379</v>
      </c>
      <c r="S75" s="349"/>
    </row>
    <row r="76" spans="1:19">
      <c r="A76" s="292">
        <v>401</v>
      </c>
      <c r="B76" s="301"/>
      <c r="C76" s="301"/>
      <c r="D76" s="301"/>
      <c r="E76" s="302"/>
      <c r="F76" s="303">
        <v>201.71</v>
      </c>
      <c r="G76" s="303" t="s">
        <v>59</v>
      </c>
      <c r="H76" s="304">
        <v>55.870021820068359</v>
      </c>
      <c r="I76" s="305">
        <v>-1.7</v>
      </c>
      <c r="J76" s="287">
        <v>-1.0783713352680211</v>
      </c>
      <c r="K76" s="737">
        <f t="shared" si="0"/>
        <v>19.019135002069866</v>
      </c>
      <c r="L76" s="795" t="s">
        <v>180</v>
      </c>
      <c r="M76" s="342" t="s">
        <v>16</v>
      </c>
      <c r="N76" s="343" t="s">
        <v>199</v>
      </c>
      <c r="O76" s="100" t="s">
        <v>44</v>
      </c>
      <c r="P76" s="99" t="s">
        <v>58</v>
      </c>
      <c r="Q76" s="348" t="s">
        <v>379</v>
      </c>
      <c r="R76" s="346" t="s">
        <v>379</v>
      </c>
      <c r="S76" s="349"/>
    </row>
    <row r="77" spans="1:19">
      <c r="A77" s="292">
        <v>401</v>
      </c>
      <c r="B77" s="301"/>
      <c r="C77" s="301"/>
      <c r="D77" s="301"/>
      <c r="E77" s="302"/>
      <c r="F77" s="303">
        <v>201.76</v>
      </c>
      <c r="G77" s="303" t="s">
        <v>59</v>
      </c>
      <c r="H77" s="304">
        <v>55.875644683837891</v>
      </c>
      <c r="I77" s="305">
        <v>-1.617</v>
      </c>
      <c r="J77" s="287">
        <v>-1.0783713352680211</v>
      </c>
      <c r="K77" s="737">
        <f t="shared" si="0"/>
        <v>18.625347879818769</v>
      </c>
      <c r="L77" s="795" t="s">
        <v>180</v>
      </c>
      <c r="M77" s="342" t="s">
        <v>16</v>
      </c>
      <c r="N77" s="343" t="s">
        <v>199</v>
      </c>
      <c r="O77" s="100" t="s">
        <v>44</v>
      </c>
      <c r="P77" s="99" t="s">
        <v>58</v>
      </c>
      <c r="Q77" s="348" t="s">
        <v>379</v>
      </c>
      <c r="R77" s="346" t="s">
        <v>379</v>
      </c>
      <c r="S77" s="349"/>
    </row>
    <row r="78" spans="1:19">
      <c r="A78" s="292">
        <v>401</v>
      </c>
      <c r="B78" s="301"/>
      <c r="C78" s="301"/>
      <c r="D78" s="301"/>
      <c r="E78" s="302"/>
      <c r="F78" s="303">
        <v>201.81</v>
      </c>
      <c r="G78" s="303" t="s">
        <v>59</v>
      </c>
      <c r="H78" s="304">
        <v>55.881271362304688</v>
      </c>
      <c r="I78" s="305">
        <v>-1.58</v>
      </c>
      <c r="J78" s="287">
        <v>-1.0783713352680211</v>
      </c>
      <c r="K78" s="737">
        <f t="shared" ref="K78:K138" si="1">16.1-4.64*($I78-J78)+0.09*($I78-J78)^2</f>
        <v>18.450203822911654</v>
      </c>
      <c r="L78" s="795" t="s">
        <v>180</v>
      </c>
      <c r="M78" s="342" t="s">
        <v>16</v>
      </c>
      <c r="N78" s="343" t="s">
        <v>199</v>
      </c>
      <c r="O78" s="100" t="s">
        <v>44</v>
      </c>
      <c r="P78" s="99" t="s">
        <v>58</v>
      </c>
      <c r="Q78" s="348" t="s">
        <v>379</v>
      </c>
      <c r="R78" s="346" t="s">
        <v>379</v>
      </c>
      <c r="S78" s="349"/>
    </row>
    <row r="79" spans="1:19">
      <c r="A79" s="292">
        <v>401</v>
      </c>
      <c r="B79" s="301"/>
      <c r="C79" s="301"/>
      <c r="D79" s="301"/>
      <c r="E79" s="302"/>
      <c r="F79" s="303">
        <v>201.85</v>
      </c>
      <c r="G79" s="303" t="s">
        <v>59</v>
      </c>
      <c r="H79" s="304">
        <v>55.885768890380859</v>
      </c>
      <c r="I79" s="305">
        <v>-1.405</v>
      </c>
      <c r="J79" s="287">
        <v>-1.0783713352680211</v>
      </c>
      <c r="K79" s="737">
        <f t="shared" si="1"/>
        <v>17.625158769972597</v>
      </c>
      <c r="L79" s="795" t="s">
        <v>180</v>
      </c>
      <c r="M79" s="342" t="s">
        <v>16</v>
      </c>
      <c r="N79" s="343" t="s">
        <v>199</v>
      </c>
      <c r="O79" s="100" t="s">
        <v>44</v>
      </c>
      <c r="P79" s="99" t="s">
        <v>58</v>
      </c>
      <c r="Q79" s="348" t="s">
        <v>379</v>
      </c>
      <c r="R79" s="346" t="s">
        <v>379</v>
      </c>
      <c r="S79" s="349"/>
    </row>
    <row r="80" spans="1:19">
      <c r="A80" s="292">
        <v>401</v>
      </c>
      <c r="B80" s="301"/>
      <c r="C80" s="301"/>
      <c r="D80" s="301"/>
      <c r="E80" s="302"/>
      <c r="F80" s="303">
        <v>201.87</v>
      </c>
      <c r="G80" s="303" t="s">
        <v>20</v>
      </c>
      <c r="H80" s="304">
        <v>55.888019561767578</v>
      </c>
      <c r="I80" s="305">
        <v>-1.5326</v>
      </c>
      <c r="J80" s="287">
        <v>-1.0783713352680211</v>
      </c>
      <c r="K80" s="737">
        <f t="shared" si="1"/>
        <v>18.226190135544162</v>
      </c>
      <c r="L80" s="795" t="s">
        <v>180</v>
      </c>
      <c r="M80" s="342" t="s">
        <v>16</v>
      </c>
      <c r="N80" s="343" t="s">
        <v>199</v>
      </c>
      <c r="O80" s="100" t="s">
        <v>44</v>
      </c>
      <c r="P80" s="99" t="s">
        <v>58</v>
      </c>
      <c r="Q80" s="348" t="s">
        <v>379</v>
      </c>
      <c r="R80" s="346" t="s">
        <v>379</v>
      </c>
      <c r="S80" s="349"/>
    </row>
    <row r="81" spans="1:19">
      <c r="A81" s="292">
        <v>401</v>
      </c>
      <c r="B81" s="301"/>
      <c r="C81" s="301"/>
      <c r="D81" s="301"/>
      <c r="E81" s="302"/>
      <c r="F81" s="303">
        <v>201.92</v>
      </c>
      <c r="G81" s="303" t="s">
        <v>20</v>
      </c>
      <c r="H81" s="304">
        <v>55.893642425537109</v>
      </c>
      <c r="I81" s="305">
        <v>-1.3454999999999999</v>
      </c>
      <c r="J81" s="287">
        <v>-1.0783713352680211</v>
      </c>
      <c r="K81" s="737">
        <f t="shared" si="1"/>
        <v>17.345899199473315</v>
      </c>
      <c r="L81" s="795" t="s">
        <v>180</v>
      </c>
      <c r="M81" s="342" t="s">
        <v>16</v>
      </c>
      <c r="N81" s="343" t="s">
        <v>199</v>
      </c>
      <c r="O81" s="100" t="s">
        <v>44</v>
      </c>
      <c r="P81" s="99" t="s">
        <v>58</v>
      </c>
      <c r="Q81" s="348" t="s">
        <v>379</v>
      </c>
      <c r="R81" s="346" t="s">
        <v>379</v>
      </c>
      <c r="S81" s="349"/>
    </row>
    <row r="82" spans="1:19">
      <c r="A82" s="292">
        <v>401</v>
      </c>
      <c r="B82" s="301"/>
      <c r="C82" s="301"/>
      <c r="D82" s="301"/>
      <c r="E82" s="302"/>
      <c r="F82" s="303">
        <v>202.02</v>
      </c>
      <c r="G82" s="303" t="s">
        <v>20</v>
      </c>
      <c r="H82" s="304">
        <v>55.904888153076172</v>
      </c>
      <c r="I82" s="305">
        <v>-1.7226999999999999</v>
      </c>
      <c r="J82" s="287">
        <v>-1.0783713352680211</v>
      </c>
      <c r="K82" s="737">
        <f t="shared" si="1"/>
        <v>19.127049352893959</v>
      </c>
      <c r="L82" s="795" t="s">
        <v>180</v>
      </c>
      <c r="M82" s="342" t="s">
        <v>16</v>
      </c>
      <c r="N82" s="343" t="s">
        <v>199</v>
      </c>
      <c r="O82" s="100" t="s">
        <v>44</v>
      </c>
      <c r="P82" s="99" t="s">
        <v>58</v>
      </c>
      <c r="Q82" s="348" t="s">
        <v>379</v>
      </c>
      <c r="R82" s="346" t="s">
        <v>379</v>
      </c>
      <c r="S82" s="349"/>
    </row>
    <row r="83" spans="1:19">
      <c r="A83" s="292">
        <v>401</v>
      </c>
      <c r="B83" s="301"/>
      <c r="C83" s="301"/>
      <c r="D83" s="301"/>
      <c r="E83" s="302"/>
      <c r="F83" s="303">
        <v>202.08</v>
      </c>
      <c r="G83" s="303" t="s">
        <v>20</v>
      </c>
      <c r="H83" s="304">
        <v>55.911636352539063</v>
      </c>
      <c r="I83" s="305">
        <v>-1.5414000000000001</v>
      </c>
      <c r="J83" s="287">
        <v>-1.0783713352680211</v>
      </c>
      <c r="K83" s="737">
        <f t="shared" si="1"/>
        <v>18.267748603349098</v>
      </c>
      <c r="L83" s="795" t="s">
        <v>180</v>
      </c>
      <c r="M83" s="342" t="s">
        <v>16</v>
      </c>
      <c r="N83" s="343" t="s">
        <v>199</v>
      </c>
      <c r="O83" s="100" t="s">
        <v>44</v>
      </c>
      <c r="P83" s="99" t="s">
        <v>58</v>
      </c>
      <c r="Q83" s="348" t="s">
        <v>379</v>
      </c>
      <c r="R83" s="346" t="s">
        <v>379</v>
      </c>
      <c r="S83" s="349"/>
    </row>
    <row r="84" spans="1:19">
      <c r="A84" s="292">
        <v>401</v>
      </c>
      <c r="B84" s="301"/>
      <c r="C84" s="301"/>
      <c r="D84" s="301"/>
      <c r="E84" s="302"/>
      <c r="F84" s="303">
        <v>202.13</v>
      </c>
      <c r="G84" s="303" t="s">
        <v>20</v>
      </c>
      <c r="H84" s="304">
        <v>55.917263031005859</v>
      </c>
      <c r="I84" s="305">
        <v>-1.5673999999999999</v>
      </c>
      <c r="J84" s="287">
        <v>-1.0783713352680211</v>
      </c>
      <c r="K84" s="737">
        <f t="shared" si="1"/>
        <v>18.390616417500041</v>
      </c>
      <c r="L84" s="795" t="s">
        <v>180</v>
      </c>
      <c r="M84" s="342" t="s">
        <v>16</v>
      </c>
      <c r="N84" s="343" t="s">
        <v>199</v>
      </c>
      <c r="O84" s="100" t="s">
        <v>44</v>
      </c>
      <c r="P84" s="99" t="s">
        <v>58</v>
      </c>
      <c r="Q84" s="348" t="s">
        <v>379</v>
      </c>
      <c r="R84" s="346" t="s">
        <v>379</v>
      </c>
      <c r="S84" s="349"/>
    </row>
    <row r="85" spans="1:19">
      <c r="A85" s="292">
        <v>401</v>
      </c>
      <c r="B85" s="301"/>
      <c r="C85" s="301"/>
      <c r="D85" s="301"/>
      <c r="E85" s="302"/>
      <c r="F85" s="303">
        <v>202.18</v>
      </c>
      <c r="G85" s="303" t="s">
        <v>20</v>
      </c>
      <c r="H85" s="304">
        <v>55.922882080078125</v>
      </c>
      <c r="I85" s="305">
        <v>-1.6854</v>
      </c>
      <c r="J85" s="287">
        <v>-1.0783713352680211</v>
      </c>
      <c r="K85" s="737">
        <f t="shared" si="1"/>
        <v>18.949776546338953</v>
      </c>
      <c r="L85" s="795" t="s">
        <v>180</v>
      </c>
      <c r="M85" s="342" t="s">
        <v>16</v>
      </c>
      <c r="N85" s="343" t="s">
        <v>199</v>
      </c>
      <c r="O85" s="100" t="s">
        <v>44</v>
      </c>
      <c r="P85" s="99" t="s">
        <v>58</v>
      </c>
      <c r="Q85" s="348" t="s">
        <v>379</v>
      </c>
      <c r="R85" s="346" t="s">
        <v>379</v>
      </c>
      <c r="S85" s="349"/>
    </row>
    <row r="86" spans="1:19">
      <c r="A86" s="292">
        <v>401</v>
      </c>
      <c r="B86" s="301"/>
      <c r="C86" s="301"/>
      <c r="D86" s="301"/>
      <c r="E86" s="302"/>
      <c r="F86" s="303">
        <v>202.24</v>
      </c>
      <c r="G86" s="303" t="s">
        <v>20</v>
      </c>
      <c r="H86" s="304">
        <v>55.929634094238281</v>
      </c>
      <c r="I86" s="305">
        <v>-1.3935</v>
      </c>
      <c r="J86" s="287">
        <v>-1.0783713352680211</v>
      </c>
      <c r="K86" s="737">
        <f t="shared" si="1"/>
        <v>17.571134551136602</v>
      </c>
      <c r="L86" s="795" t="s">
        <v>180</v>
      </c>
      <c r="M86" s="342" t="s">
        <v>16</v>
      </c>
      <c r="N86" s="343" t="s">
        <v>199</v>
      </c>
      <c r="O86" s="100" t="s">
        <v>44</v>
      </c>
      <c r="P86" s="99" t="s">
        <v>58</v>
      </c>
      <c r="Q86" s="348" t="s">
        <v>379</v>
      </c>
      <c r="R86" s="346" t="s">
        <v>379</v>
      </c>
      <c r="S86" s="349"/>
    </row>
    <row r="87" spans="1:19">
      <c r="A87" s="292">
        <v>401</v>
      </c>
      <c r="B87" s="301"/>
      <c r="C87" s="301"/>
      <c r="D87" s="301"/>
      <c r="E87" s="302"/>
      <c r="F87" s="303">
        <v>202.29</v>
      </c>
      <c r="G87" s="303" t="s">
        <v>20</v>
      </c>
      <c r="H87" s="304">
        <v>55.935256958007813</v>
      </c>
      <c r="I87" s="305">
        <v>-1.6420000000000001</v>
      </c>
      <c r="J87" s="287">
        <v>-1.0783713352680211</v>
      </c>
      <c r="K87" s="737">
        <f t="shared" si="1"/>
        <v>18.743827958810062</v>
      </c>
      <c r="L87" s="795" t="s">
        <v>180</v>
      </c>
      <c r="M87" s="342" t="s">
        <v>16</v>
      </c>
      <c r="N87" s="343" t="s">
        <v>199</v>
      </c>
      <c r="O87" s="100" t="s">
        <v>44</v>
      </c>
      <c r="P87" s="99" t="s">
        <v>58</v>
      </c>
      <c r="Q87" s="348" t="s">
        <v>379</v>
      </c>
      <c r="R87" s="346" t="s">
        <v>379</v>
      </c>
      <c r="S87" s="349"/>
    </row>
    <row r="88" spans="1:19">
      <c r="A88" s="292">
        <v>401</v>
      </c>
      <c r="B88" s="301"/>
      <c r="C88" s="301"/>
      <c r="D88" s="301"/>
      <c r="E88" s="302"/>
      <c r="F88" s="303">
        <v>202.29</v>
      </c>
      <c r="G88" s="303" t="s">
        <v>20</v>
      </c>
      <c r="H88" s="304">
        <v>55.935256958007813</v>
      </c>
      <c r="I88" s="305">
        <v>-1.6214</v>
      </c>
      <c r="J88" s="287">
        <v>-1.0783713352680211</v>
      </c>
      <c r="K88" s="737">
        <f t="shared" si="1"/>
        <v>18.646192216121236</v>
      </c>
      <c r="L88" s="795" t="s">
        <v>180</v>
      </c>
      <c r="M88" s="342" t="s">
        <v>16</v>
      </c>
      <c r="N88" s="343" t="s">
        <v>199</v>
      </c>
      <c r="O88" s="100" t="s">
        <v>44</v>
      </c>
      <c r="P88" s="99" t="s">
        <v>58</v>
      </c>
      <c r="Q88" s="348" t="s">
        <v>379</v>
      </c>
      <c r="R88" s="346" t="s">
        <v>379</v>
      </c>
      <c r="S88" s="349"/>
    </row>
    <row r="89" spans="1:19">
      <c r="A89" s="292">
        <v>401</v>
      </c>
      <c r="B89" s="301"/>
      <c r="C89" s="301"/>
      <c r="D89" s="301"/>
      <c r="E89" s="302"/>
      <c r="F89" s="303">
        <v>202.34</v>
      </c>
      <c r="G89" s="303" t="s">
        <v>20</v>
      </c>
      <c r="H89" s="304">
        <v>55.940879821777344</v>
      </c>
      <c r="I89" s="305">
        <v>-1.6146</v>
      </c>
      <c r="J89" s="287">
        <v>-1.0783713352680211</v>
      </c>
      <c r="K89" s="737">
        <f t="shared" si="1"/>
        <v>18.613979710635604</v>
      </c>
      <c r="L89" s="795" t="s">
        <v>180</v>
      </c>
      <c r="M89" s="342" t="s">
        <v>16</v>
      </c>
      <c r="N89" s="343" t="s">
        <v>199</v>
      </c>
      <c r="O89" s="100" t="s">
        <v>44</v>
      </c>
      <c r="P89" s="99" t="s">
        <v>58</v>
      </c>
      <c r="Q89" s="348" t="s">
        <v>379</v>
      </c>
      <c r="R89" s="346" t="s">
        <v>379</v>
      </c>
      <c r="S89" s="349"/>
    </row>
    <row r="90" spans="1:19">
      <c r="A90" s="292">
        <v>401</v>
      </c>
      <c r="B90" s="301"/>
      <c r="C90" s="301"/>
      <c r="D90" s="301"/>
      <c r="E90" s="302"/>
      <c r="F90" s="303">
        <v>202.4</v>
      </c>
      <c r="G90" s="303" t="s">
        <v>20</v>
      </c>
      <c r="H90" s="304">
        <v>55.947628021240234</v>
      </c>
      <c r="I90" s="305">
        <v>-1.6565000000000001</v>
      </c>
      <c r="J90" s="287">
        <v>-1.0783713352680211</v>
      </c>
      <c r="K90" s="737">
        <f t="shared" si="1"/>
        <v>18.812597952125014</v>
      </c>
      <c r="L90" s="795" t="s">
        <v>180</v>
      </c>
      <c r="M90" s="342" t="s">
        <v>16</v>
      </c>
      <c r="N90" s="343" t="s">
        <v>199</v>
      </c>
      <c r="O90" s="100" t="s">
        <v>44</v>
      </c>
      <c r="P90" s="99" t="s">
        <v>58</v>
      </c>
      <c r="Q90" s="348" t="s">
        <v>379</v>
      </c>
      <c r="R90" s="346" t="s">
        <v>379</v>
      </c>
      <c r="S90" s="349"/>
    </row>
    <row r="91" spans="1:19">
      <c r="A91" s="292">
        <v>401</v>
      </c>
      <c r="B91" s="301"/>
      <c r="C91" s="301"/>
      <c r="D91" s="301"/>
      <c r="E91" s="310"/>
      <c r="F91" s="303">
        <v>202.46</v>
      </c>
      <c r="G91" s="303" t="s">
        <v>20</v>
      </c>
      <c r="H91" s="304">
        <v>55.954376220703125</v>
      </c>
      <c r="I91" s="305">
        <v>-2.6249659475988878</v>
      </c>
      <c r="J91" s="287">
        <v>-1.0783713352680211</v>
      </c>
      <c r="K91" s="737">
        <f t="shared" si="1"/>
        <v>23.491474941755399</v>
      </c>
      <c r="L91" s="795" t="s">
        <v>180</v>
      </c>
      <c r="M91" s="342" t="s">
        <v>16</v>
      </c>
      <c r="N91" s="343" t="s">
        <v>199</v>
      </c>
      <c r="O91" s="100" t="s">
        <v>44</v>
      </c>
      <c r="P91" s="99" t="s">
        <v>58</v>
      </c>
      <c r="Q91" s="348" t="s">
        <v>379</v>
      </c>
      <c r="R91" s="346" t="s">
        <v>379</v>
      </c>
      <c r="S91" s="349"/>
    </row>
    <row r="92" spans="1:19">
      <c r="A92" s="292">
        <v>401</v>
      </c>
      <c r="B92" s="301"/>
      <c r="C92" s="301"/>
      <c r="D92" s="301"/>
      <c r="E92" s="310"/>
      <c r="F92" s="303">
        <v>202.48</v>
      </c>
      <c r="G92" s="303" t="s">
        <v>20</v>
      </c>
      <c r="H92" s="304">
        <v>55.956626892089844</v>
      </c>
      <c r="I92" s="305">
        <v>-2.2220501199225122</v>
      </c>
      <c r="J92" s="287">
        <v>-1.0783713352680211</v>
      </c>
      <c r="K92" s="737">
        <f t="shared" si="1"/>
        <v>21.524389665419029</v>
      </c>
      <c r="L92" s="795" t="s">
        <v>180</v>
      </c>
      <c r="M92" s="342" t="s">
        <v>16</v>
      </c>
      <c r="N92" s="343" t="s">
        <v>199</v>
      </c>
      <c r="O92" s="100" t="s">
        <v>44</v>
      </c>
      <c r="P92" s="99" t="s">
        <v>58</v>
      </c>
      <c r="Q92" s="348" t="s">
        <v>379</v>
      </c>
      <c r="R92" s="346" t="s">
        <v>379</v>
      </c>
      <c r="S92" s="349"/>
    </row>
    <row r="93" spans="1:19">
      <c r="A93" s="292">
        <v>401</v>
      </c>
      <c r="B93" s="301"/>
      <c r="C93" s="301"/>
      <c r="D93" s="301"/>
      <c r="E93" s="310"/>
      <c r="F93" s="303">
        <v>202.48</v>
      </c>
      <c r="G93" s="303" t="s">
        <v>20</v>
      </c>
      <c r="H93" s="304">
        <v>55.956626892089844</v>
      </c>
      <c r="I93" s="305">
        <v>-1.7569930451917442</v>
      </c>
      <c r="J93" s="287">
        <v>-1.0783713352680211</v>
      </c>
      <c r="K93" s="737">
        <f t="shared" si="1"/>
        <v>19.290252202312256</v>
      </c>
      <c r="L93" s="795" t="s">
        <v>180</v>
      </c>
      <c r="M93" s="342" t="s">
        <v>16</v>
      </c>
      <c r="N93" s="343" t="s">
        <v>199</v>
      </c>
      <c r="O93" s="100" t="s">
        <v>44</v>
      </c>
      <c r="P93" s="99" t="s">
        <v>58</v>
      </c>
      <c r="Q93" s="348" t="s">
        <v>379</v>
      </c>
      <c r="R93" s="346" t="s">
        <v>379</v>
      </c>
      <c r="S93" s="349"/>
    </row>
    <row r="94" spans="1:19">
      <c r="A94" s="292">
        <v>401</v>
      </c>
      <c r="B94" s="301"/>
      <c r="C94" s="301"/>
      <c r="D94" s="301"/>
      <c r="E94" s="310"/>
      <c r="F94" s="303">
        <v>202.48</v>
      </c>
      <c r="G94" s="303" t="s">
        <v>20</v>
      </c>
      <c r="H94" s="304">
        <v>55.956626892089844</v>
      </c>
      <c r="I94" s="305">
        <v>-2.2409999999999997</v>
      </c>
      <c r="J94" s="287">
        <v>-1.0783713352680211</v>
      </c>
      <c r="K94" s="737">
        <f t="shared" si="1"/>
        <v>21.616250491441463</v>
      </c>
      <c r="L94" s="795" t="s">
        <v>180</v>
      </c>
      <c r="M94" s="342" t="s">
        <v>16</v>
      </c>
      <c r="N94" s="343" t="s">
        <v>199</v>
      </c>
      <c r="O94" s="100" t="s">
        <v>44</v>
      </c>
      <c r="P94" s="99" t="s">
        <v>58</v>
      </c>
      <c r="Q94" s="348" t="s">
        <v>379</v>
      </c>
      <c r="R94" s="346" t="s">
        <v>379</v>
      </c>
      <c r="S94" s="349"/>
    </row>
    <row r="95" spans="1:19">
      <c r="A95" s="292">
        <v>401</v>
      </c>
      <c r="B95" s="301"/>
      <c r="C95" s="301"/>
      <c r="D95" s="301"/>
      <c r="E95" s="310"/>
      <c r="F95" s="303">
        <v>202.51</v>
      </c>
      <c r="G95" s="303"/>
      <c r="H95" s="304">
        <v>55.959999084472656</v>
      </c>
      <c r="I95" s="305">
        <v>-1.4883824934075678</v>
      </c>
      <c r="J95" s="287">
        <v>-1.0783713352680211</v>
      </c>
      <c r="K95" s="737">
        <f t="shared" si="1"/>
        <v>18.0175815972494</v>
      </c>
      <c r="L95" s="795" t="s">
        <v>180</v>
      </c>
      <c r="M95" s="342" t="s">
        <v>16</v>
      </c>
      <c r="N95" s="343" t="s">
        <v>199</v>
      </c>
      <c r="O95" s="100" t="s">
        <v>44</v>
      </c>
      <c r="P95" s="99" t="s">
        <v>58</v>
      </c>
      <c r="Q95" s="348" t="s">
        <v>379</v>
      </c>
      <c r="R95" s="346" t="s">
        <v>379</v>
      </c>
      <c r="S95" s="349"/>
    </row>
    <row r="96" spans="1:19">
      <c r="A96" s="292">
        <v>401</v>
      </c>
      <c r="B96" s="301"/>
      <c r="C96" s="301"/>
      <c r="D96" s="301"/>
      <c r="E96" s="310"/>
      <c r="F96" s="303">
        <v>202.51</v>
      </c>
      <c r="G96" s="303"/>
      <c r="H96" s="304">
        <v>55.959999084472656</v>
      </c>
      <c r="I96" s="305">
        <v>-1.4410000000000001</v>
      </c>
      <c r="J96" s="287">
        <v>-1.0783713352680211</v>
      </c>
      <c r="K96" s="737">
        <f t="shared" si="1"/>
        <v>17.794431963720058</v>
      </c>
      <c r="L96" s="795" t="s">
        <v>180</v>
      </c>
      <c r="M96" s="342" t="s">
        <v>16</v>
      </c>
      <c r="N96" s="343" t="s">
        <v>199</v>
      </c>
      <c r="O96" s="100" t="s">
        <v>44</v>
      </c>
      <c r="P96" s="99" t="s">
        <v>58</v>
      </c>
      <c r="Q96" s="348" t="s">
        <v>379</v>
      </c>
      <c r="R96" s="346" t="s">
        <v>379</v>
      </c>
      <c r="S96" s="349"/>
    </row>
    <row r="97" spans="1:19">
      <c r="A97" s="292">
        <v>401</v>
      </c>
      <c r="B97" s="301"/>
      <c r="C97" s="301"/>
      <c r="D97" s="301"/>
      <c r="E97" s="310"/>
      <c r="F97" s="303">
        <v>202.53</v>
      </c>
      <c r="G97" s="303"/>
      <c r="H97" s="304">
        <v>55.963264465332031</v>
      </c>
      <c r="I97" s="305">
        <v>-0.76</v>
      </c>
      <c r="J97" s="287">
        <v>-1.0783713352680211</v>
      </c>
      <c r="K97" s="737">
        <f t="shared" si="1"/>
        <v>14.631879431997215</v>
      </c>
      <c r="L97" s="795" t="s">
        <v>180</v>
      </c>
      <c r="M97" s="342" t="s">
        <v>16</v>
      </c>
      <c r="N97" s="343" t="s">
        <v>199</v>
      </c>
      <c r="O97" s="100" t="s">
        <v>44</v>
      </c>
      <c r="P97" s="99" t="s">
        <v>58</v>
      </c>
      <c r="Q97" s="348" t="s">
        <v>379</v>
      </c>
      <c r="R97" s="346" t="s">
        <v>379</v>
      </c>
      <c r="S97" s="349"/>
    </row>
    <row r="98" spans="1:19">
      <c r="A98" s="292">
        <v>401</v>
      </c>
      <c r="B98" s="301"/>
      <c r="C98" s="301"/>
      <c r="D98" s="301"/>
      <c r="E98" s="310"/>
      <c r="F98" s="303">
        <v>202.535</v>
      </c>
      <c r="G98" s="303"/>
      <c r="H98" s="304">
        <v>55.964080810546875</v>
      </c>
      <c r="I98" s="305">
        <v>-1.0085</v>
      </c>
      <c r="J98" s="287">
        <v>-1.0783713352680211</v>
      </c>
      <c r="K98" s="737">
        <f t="shared" si="1"/>
        <v>15.776236384670675</v>
      </c>
      <c r="L98" s="795" t="s">
        <v>180</v>
      </c>
      <c r="M98" s="342" t="s">
        <v>16</v>
      </c>
      <c r="N98" s="343" t="s">
        <v>199</v>
      </c>
      <c r="O98" s="100" t="s">
        <v>44</v>
      </c>
      <c r="P98" s="99" t="s">
        <v>58</v>
      </c>
      <c r="Q98" s="348" t="s">
        <v>379</v>
      </c>
      <c r="R98" s="346" t="s">
        <v>379</v>
      </c>
      <c r="S98" s="349"/>
    </row>
    <row r="99" spans="1:19">
      <c r="A99" s="292">
        <v>401</v>
      </c>
      <c r="B99" s="301"/>
      <c r="C99" s="301"/>
      <c r="D99" s="301"/>
      <c r="E99" s="310"/>
      <c r="F99" s="303">
        <v>202.58</v>
      </c>
      <c r="G99" s="303"/>
      <c r="H99" s="304">
        <v>55.971424102783203</v>
      </c>
      <c r="I99" s="305">
        <v>-0.89065000000000005</v>
      </c>
      <c r="J99" s="287">
        <v>-1.0783713352680211</v>
      </c>
      <c r="K99" s="737">
        <f t="shared" si="1"/>
        <v>15.232144541330717</v>
      </c>
      <c r="L99" s="795" t="s">
        <v>180</v>
      </c>
      <c r="M99" s="342" t="s">
        <v>16</v>
      </c>
      <c r="N99" s="343" t="s">
        <v>199</v>
      </c>
      <c r="O99" s="100" t="s">
        <v>44</v>
      </c>
      <c r="P99" s="99" t="s">
        <v>58</v>
      </c>
      <c r="Q99" s="348" t="s">
        <v>379</v>
      </c>
      <c r="R99" s="346" t="s">
        <v>379</v>
      </c>
      <c r="S99" s="349"/>
    </row>
    <row r="100" spans="1:19">
      <c r="A100" s="292">
        <v>401</v>
      </c>
      <c r="B100" s="301"/>
      <c r="C100" s="301"/>
      <c r="D100" s="301"/>
      <c r="E100" s="302"/>
      <c r="F100" s="303">
        <v>202.62</v>
      </c>
      <c r="G100" s="303"/>
      <c r="H100" s="304">
        <v>55.977951049804688</v>
      </c>
      <c r="I100" s="305">
        <v>-0.90659999999999996</v>
      </c>
      <c r="J100" s="287">
        <v>-1.0783713352680211</v>
      </c>
      <c r="K100" s="737">
        <f t="shared" si="1"/>
        <v>15.305636489602161</v>
      </c>
      <c r="L100" s="795" t="s">
        <v>180</v>
      </c>
      <c r="M100" s="342" t="s">
        <v>16</v>
      </c>
      <c r="N100" s="343" t="s">
        <v>199</v>
      </c>
      <c r="O100" s="100" t="s">
        <v>44</v>
      </c>
      <c r="P100" s="99" t="s">
        <v>58</v>
      </c>
      <c r="Q100" s="348" t="s">
        <v>379</v>
      </c>
      <c r="R100" s="346" t="s">
        <v>379</v>
      </c>
      <c r="S100" s="349"/>
    </row>
    <row r="101" spans="1:19">
      <c r="A101" s="292">
        <v>401</v>
      </c>
      <c r="B101" s="301"/>
      <c r="C101" s="301"/>
      <c r="D101" s="301"/>
      <c r="E101" s="350"/>
      <c r="F101" s="303">
        <v>202.67</v>
      </c>
      <c r="G101" s="303"/>
      <c r="H101" s="304">
        <v>55.986110687255859</v>
      </c>
      <c r="I101" s="305">
        <v>-1.0146999999999999</v>
      </c>
      <c r="J101" s="287">
        <v>-1.0783713352680211</v>
      </c>
      <c r="K101" s="737">
        <f t="shared" si="1"/>
        <v>15.804929867860517</v>
      </c>
      <c r="L101" s="795" t="s">
        <v>180</v>
      </c>
      <c r="M101" s="342" t="s">
        <v>16</v>
      </c>
      <c r="N101" s="343" t="s">
        <v>199</v>
      </c>
      <c r="O101" s="100" t="s">
        <v>44</v>
      </c>
      <c r="P101" s="99" t="s">
        <v>58</v>
      </c>
      <c r="Q101" s="348" t="s">
        <v>379</v>
      </c>
      <c r="R101" s="346" t="s">
        <v>379</v>
      </c>
      <c r="S101" s="347"/>
    </row>
    <row r="102" spans="1:19">
      <c r="A102" s="292">
        <v>401</v>
      </c>
      <c r="B102" s="301"/>
      <c r="C102" s="301"/>
      <c r="D102" s="301"/>
      <c r="E102" s="350"/>
      <c r="F102" s="303">
        <v>202.72</v>
      </c>
      <c r="G102" s="303"/>
      <c r="H102" s="304">
        <v>55.994270324707031</v>
      </c>
      <c r="I102" s="305">
        <v>-0.90959999999999996</v>
      </c>
      <c r="J102" s="287">
        <v>-1.0783713352680211</v>
      </c>
      <c r="K102" s="737">
        <f t="shared" si="1"/>
        <v>15.319464543081116</v>
      </c>
      <c r="L102" s="795" t="s">
        <v>180</v>
      </c>
      <c r="M102" s="342" t="s">
        <v>16</v>
      </c>
      <c r="N102" s="343" t="s">
        <v>199</v>
      </c>
      <c r="O102" s="100" t="s">
        <v>44</v>
      </c>
      <c r="P102" s="99" t="s">
        <v>58</v>
      </c>
      <c r="Q102" s="348" t="s">
        <v>379</v>
      </c>
      <c r="R102" s="346" t="s">
        <v>379</v>
      </c>
      <c r="S102" s="347"/>
    </row>
    <row r="103" spans="1:19">
      <c r="A103" s="292">
        <v>401</v>
      </c>
      <c r="B103" s="301"/>
      <c r="C103" s="301"/>
      <c r="D103" s="301"/>
      <c r="E103" s="350"/>
      <c r="F103" s="303">
        <v>202.83</v>
      </c>
      <c r="G103" s="303"/>
      <c r="H103" s="304">
        <v>56.012218475341797</v>
      </c>
      <c r="I103" s="305">
        <v>-0.89859999999999995</v>
      </c>
      <c r="J103" s="287">
        <v>-1.0783713352680211</v>
      </c>
      <c r="K103" s="737">
        <f t="shared" si="1"/>
        <v>15.268769600324948</v>
      </c>
      <c r="L103" s="795" t="s">
        <v>180</v>
      </c>
      <c r="M103" s="342" t="s">
        <v>16</v>
      </c>
      <c r="N103" s="343" t="s">
        <v>199</v>
      </c>
      <c r="O103" s="100" t="s">
        <v>44</v>
      </c>
      <c r="P103" s="99" t="s">
        <v>58</v>
      </c>
      <c r="Q103" s="348" t="s">
        <v>379</v>
      </c>
      <c r="R103" s="346" t="s">
        <v>379</v>
      </c>
      <c r="S103" s="347"/>
    </row>
    <row r="104" spans="1:19">
      <c r="A104" s="292">
        <v>401</v>
      </c>
      <c r="B104" s="301"/>
      <c r="C104" s="301"/>
      <c r="D104" s="301"/>
      <c r="E104" s="350"/>
      <c r="F104" s="303">
        <v>202.88</v>
      </c>
      <c r="G104" s="303"/>
      <c r="H104" s="304">
        <v>56.020378112792969</v>
      </c>
      <c r="I104" s="305">
        <v>-0.92269999999999996</v>
      </c>
      <c r="J104" s="287">
        <v>-1.0783713352680211</v>
      </c>
      <c r="K104" s="737">
        <f t="shared" si="1"/>
        <v>15.379866025172555</v>
      </c>
      <c r="L104" s="795" t="s">
        <v>180</v>
      </c>
      <c r="M104" s="342" t="s">
        <v>16</v>
      </c>
      <c r="N104" s="343" t="s">
        <v>199</v>
      </c>
      <c r="O104" s="100" t="s">
        <v>44</v>
      </c>
      <c r="P104" s="99" t="s">
        <v>58</v>
      </c>
      <c r="Q104" s="348" t="s">
        <v>379</v>
      </c>
      <c r="R104" s="346" t="s">
        <v>379</v>
      </c>
      <c r="S104" s="347"/>
    </row>
    <row r="105" spans="1:19">
      <c r="A105" s="292">
        <v>401</v>
      </c>
      <c r="B105" s="301"/>
      <c r="C105" s="301"/>
      <c r="D105" s="301"/>
      <c r="E105" s="350"/>
      <c r="F105" s="303">
        <v>202.93</v>
      </c>
      <c r="G105" s="303"/>
      <c r="H105" s="304">
        <v>56.028537750244141</v>
      </c>
      <c r="I105" s="305">
        <v>-0.79961000000000004</v>
      </c>
      <c r="J105" s="287">
        <v>-1.0783713352680211</v>
      </c>
      <c r="K105" s="737">
        <f t="shared" si="1"/>
        <v>14.813541113740021</v>
      </c>
      <c r="L105" s="795" t="s">
        <v>180</v>
      </c>
      <c r="M105" s="342" t="s">
        <v>16</v>
      </c>
      <c r="N105" s="343" t="s">
        <v>199</v>
      </c>
      <c r="O105" s="100" t="s">
        <v>44</v>
      </c>
      <c r="P105" s="99" t="s">
        <v>58</v>
      </c>
      <c r="Q105" s="348" t="s">
        <v>379</v>
      </c>
      <c r="R105" s="346" t="s">
        <v>379</v>
      </c>
      <c r="S105" s="347"/>
    </row>
    <row r="106" spans="1:19">
      <c r="A106" s="292">
        <v>401</v>
      </c>
      <c r="B106" s="301"/>
      <c r="C106" s="301"/>
      <c r="D106" s="301"/>
      <c r="E106" s="350"/>
      <c r="F106" s="303">
        <v>202.98</v>
      </c>
      <c r="G106" s="303"/>
      <c r="H106" s="304">
        <v>56.036697387695313</v>
      </c>
      <c r="I106" s="305">
        <v>-0.62746999999999997</v>
      </c>
      <c r="J106" s="287">
        <v>-1.0783713352680211</v>
      </c>
      <c r="K106" s="737">
        <f t="shared" si="1"/>
        <v>14.026115885629567</v>
      </c>
      <c r="L106" s="795" t="s">
        <v>180</v>
      </c>
      <c r="M106" s="342" t="s">
        <v>16</v>
      </c>
      <c r="N106" s="343" t="s">
        <v>199</v>
      </c>
      <c r="O106" s="100" t="s">
        <v>44</v>
      </c>
      <c r="P106" s="99" t="s">
        <v>58</v>
      </c>
      <c r="Q106" s="348" t="s">
        <v>379</v>
      </c>
      <c r="R106" s="346" t="s">
        <v>379</v>
      </c>
      <c r="S106" s="347"/>
    </row>
    <row r="107" spans="1:19">
      <c r="A107" s="292">
        <v>401</v>
      </c>
      <c r="B107" s="301"/>
      <c r="C107" s="301"/>
      <c r="D107" s="301"/>
      <c r="E107" s="350"/>
      <c r="F107" s="303">
        <v>203.22</v>
      </c>
      <c r="G107" s="303"/>
      <c r="H107" s="304">
        <v>56.075862884521484</v>
      </c>
      <c r="I107" s="305">
        <v>-0.45599999999999996</v>
      </c>
      <c r="J107" s="287">
        <v>-1.0783713352680211</v>
      </c>
      <c r="K107" s="737">
        <f t="shared" si="1"/>
        <v>13.247058151463081</v>
      </c>
      <c r="L107" s="795" t="s">
        <v>180</v>
      </c>
      <c r="M107" s="342" t="s">
        <v>16</v>
      </c>
      <c r="N107" s="343" t="s">
        <v>199</v>
      </c>
      <c r="O107" s="100" t="s">
        <v>44</v>
      </c>
      <c r="P107" s="99" t="s">
        <v>58</v>
      </c>
      <c r="Q107" s="348" t="s">
        <v>379</v>
      </c>
      <c r="R107" s="346" t="s">
        <v>379</v>
      </c>
      <c r="S107" s="347"/>
    </row>
    <row r="108" spans="1:19">
      <c r="A108" s="292">
        <v>401</v>
      </c>
      <c r="B108" s="301"/>
      <c r="C108" s="301"/>
      <c r="D108" s="301"/>
      <c r="E108" s="350"/>
      <c r="F108" s="303">
        <v>203.28</v>
      </c>
      <c r="G108" s="303"/>
      <c r="H108" s="304">
        <v>56.085651397705078</v>
      </c>
      <c r="I108" s="305">
        <v>-0.73699999999999999</v>
      </c>
      <c r="J108" s="287">
        <v>-1.0783713352680211</v>
      </c>
      <c r="K108" s="737">
        <f t="shared" si="1"/>
        <v>14.526525099325225</v>
      </c>
      <c r="L108" s="795" t="s">
        <v>180</v>
      </c>
      <c r="M108" s="342" t="s">
        <v>16</v>
      </c>
      <c r="N108" s="343" t="s">
        <v>199</v>
      </c>
      <c r="O108" s="100" t="s">
        <v>44</v>
      </c>
      <c r="P108" s="99" t="s">
        <v>58</v>
      </c>
      <c r="Q108" s="348" t="s">
        <v>379</v>
      </c>
      <c r="R108" s="346" t="s">
        <v>379</v>
      </c>
      <c r="S108" s="347"/>
    </row>
    <row r="109" spans="1:19">
      <c r="A109" s="292">
        <v>401</v>
      </c>
      <c r="B109" s="301"/>
      <c r="C109" s="301"/>
      <c r="D109" s="301"/>
      <c r="E109" s="350"/>
      <c r="F109" s="303">
        <v>203.35</v>
      </c>
      <c r="G109" s="253" t="s">
        <v>196</v>
      </c>
      <c r="H109" s="304">
        <v>56.097076416015625</v>
      </c>
      <c r="I109" s="305">
        <v>-0.76500000000000001</v>
      </c>
      <c r="J109" s="287">
        <v>-1.0783713352680211</v>
      </c>
      <c r="K109" s="737">
        <f t="shared" si="1"/>
        <v>14.654795147795472</v>
      </c>
      <c r="L109" s="795" t="s">
        <v>180</v>
      </c>
      <c r="M109" s="342" t="s">
        <v>16</v>
      </c>
      <c r="N109" s="343" t="s">
        <v>199</v>
      </c>
      <c r="O109" s="100" t="s">
        <v>44</v>
      </c>
      <c r="P109" s="99" t="s">
        <v>58</v>
      </c>
      <c r="Q109" s="348" t="s">
        <v>379</v>
      </c>
      <c r="R109" s="346" t="s">
        <v>379</v>
      </c>
      <c r="S109" s="176" t="s">
        <v>779</v>
      </c>
    </row>
    <row r="110" spans="1:19">
      <c r="A110" s="292">
        <v>401</v>
      </c>
      <c r="B110" s="301"/>
      <c r="C110" s="301"/>
      <c r="D110" s="301"/>
      <c r="E110" s="350"/>
      <c r="F110" s="303">
        <v>203.38</v>
      </c>
      <c r="G110" s="253" t="s">
        <v>196</v>
      </c>
      <c r="H110" s="304">
        <v>56.101970672607422</v>
      </c>
      <c r="I110" s="305">
        <v>-0.47399999999999998</v>
      </c>
      <c r="J110" s="287">
        <v>-1.0783713352680211</v>
      </c>
      <c r="K110" s="737">
        <f t="shared" si="1"/>
        <v>13.328590828336813</v>
      </c>
      <c r="L110" s="795" t="s">
        <v>180</v>
      </c>
      <c r="M110" s="342" t="s">
        <v>16</v>
      </c>
      <c r="N110" s="343" t="s">
        <v>199</v>
      </c>
      <c r="O110" s="100" t="s">
        <v>44</v>
      </c>
      <c r="P110" s="99" t="s">
        <v>58</v>
      </c>
      <c r="Q110" s="348" t="s">
        <v>379</v>
      </c>
      <c r="R110" s="346" t="s">
        <v>379</v>
      </c>
      <c r="S110" s="176" t="s">
        <v>779</v>
      </c>
    </row>
    <row r="111" spans="1:19">
      <c r="A111" s="292">
        <v>401</v>
      </c>
      <c r="B111" s="301"/>
      <c r="C111" s="301"/>
      <c r="D111" s="301"/>
      <c r="E111" s="350"/>
      <c r="F111" s="303">
        <v>203.39</v>
      </c>
      <c r="G111" s="253" t="s">
        <v>196</v>
      </c>
      <c r="H111" s="304">
        <v>56.103603363037109</v>
      </c>
      <c r="I111" s="305">
        <v>-0.39399999999999996</v>
      </c>
      <c r="J111" s="287">
        <v>-1.0783713352680211</v>
      </c>
      <c r="K111" s="737">
        <f t="shared" si="1"/>
        <v>12.966669775564672</v>
      </c>
      <c r="L111" s="795" t="s">
        <v>180</v>
      </c>
      <c r="M111" s="342" t="s">
        <v>16</v>
      </c>
      <c r="N111" s="343" t="s">
        <v>199</v>
      </c>
      <c r="O111" s="100" t="s">
        <v>44</v>
      </c>
      <c r="P111" s="99" t="s">
        <v>58</v>
      </c>
      <c r="Q111" s="348" t="s">
        <v>379</v>
      </c>
      <c r="R111" s="346" t="s">
        <v>379</v>
      </c>
      <c r="S111" s="176" t="s">
        <v>779</v>
      </c>
    </row>
    <row r="112" spans="1:19">
      <c r="A112" s="292">
        <v>401</v>
      </c>
      <c r="B112" s="301"/>
      <c r="C112" s="301"/>
      <c r="D112" s="301"/>
      <c r="E112" s="350"/>
      <c r="F112" s="303">
        <v>203.55</v>
      </c>
      <c r="G112" s="253" t="s">
        <v>196</v>
      </c>
      <c r="H112" s="304">
        <v>56.129714965820313</v>
      </c>
      <c r="I112" s="305">
        <v>-0.33399999999999996</v>
      </c>
      <c r="J112" s="287">
        <v>-1.0783713352680211</v>
      </c>
      <c r="K112" s="737">
        <f t="shared" si="1"/>
        <v>12.695984985985566</v>
      </c>
      <c r="L112" s="795" t="s">
        <v>180</v>
      </c>
      <c r="M112" s="342" t="s">
        <v>16</v>
      </c>
      <c r="N112" s="343" t="s">
        <v>199</v>
      </c>
      <c r="O112" s="100" t="s">
        <v>44</v>
      </c>
      <c r="P112" s="99" t="s">
        <v>58</v>
      </c>
      <c r="Q112" s="348" t="s">
        <v>379</v>
      </c>
      <c r="R112" s="346" t="s">
        <v>379</v>
      </c>
      <c r="S112" s="176" t="s">
        <v>779</v>
      </c>
    </row>
    <row r="113" spans="1:19">
      <c r="A113" s="292">
        <v>401</v>
      </c>
      <c r="B113" s="301"/>
      <c r="C113" s="301"/>
      <c r="D113" s="301"/>
      <c r="E113" s="350"/>
      <c r="F113" s="303">
        <v>203.7</v>
      </c>
      <c r="G113" s="253" t="s">
        <v>196</v>
      </c>
      <c r="H113" s="304">
        <v>56.154190063476563</v>
      </c>
      <c r="I113" s="305">
        <v>-0.41299999999999998</v>
      </c>
      <c r="J113" s="287">
        <v>-1.0783713352680211</v>
      </c>
      <c r="K113" s="737">
        <f t="shared" si="1"/>
        <v>13.052521715598056</v>
      </c>
      <c r="L113" s="795" t="s">
        <v>180</v>
      </c>
      <c r="M113" s="342" t="s">
        <v>16</v>
      </c>
      <c r="N113" s="343" t="s">
        <v>199</v>
      </c>
      <c r="O113" s="100" t="s">
        <v>44</v>
      </c>
      <c r="P113" s="99" t="s">
        <v>58</v>
      </c>
      <c r="Q113" s="348" t="s">
        <v>379</v>
      </c>
      <c r="R113" s="346" t="s">
        <v>379</v>
      </c>
      <c r="S113" s="176" t="s">
        <v>779</v>
      </c>
    </row>
    <row r="114" spans="1:19">
      <c r="A114" s="292">
        <v>401</v>
      </c>
      <c r="B114" s="301"/>
      <c r="C114" s="301"/>
      <c r="D114" s="301"/>
      <c r="E114" s="350"/>
      <c r="F114" s="250">
        <v>204.2</v>
      </c>
      <c r="G114" s="253" t="s">
        <v>196</v>
      </c>
      <c r="H114" s="311">
        <v>56.235782623291016</v>
      </c>
      <c r="I114" s="312">
        <v>-0.20699999999999999</v>
      </c>
      <c r="J114" s="287">
        <v>-1.0783713352680211</v>
      </c>
      <c r="K114" s="737">
        <f t="shared" si="1"/>
        <v>12.125172924709792</v>
      </c>
      <c r="L114" s="795" t="s">
        <v>180</v>
      </c>
      <c r="M114" s="342" t="s">
        <v>16</v>
      </c>
      <c r="N114" s="343" t="s">
        <v>194</v>
      </c>
      <c r="O114" s="100" t="s">
        <v>44</v>
      </c>
      <c r="P114" s="99" t="s">
        <v>58</v>
      </c>
      <c r="Q114" s="348" t="s">
        <v>379</v>
      </c>
      <c r="R114" s="346" t="s">
        <v>377</v>
      </c>
      <c r="S114" s="176" t="s">
        <v>779</v>
      </c>
    </row>
    <row r="115" spans="1:19">
      <c r="A115" s="292">
        <v>401</v>
      </c>
      <c r="B115" s="301"/>
      <c r="C115" s="301"/>
      <c r="D115" s="301"/>
      <c r="E115" s="350"/>
      <c r="F115" s="250">
        <v>204.9</v>
      </c>
      <c r="G115" s="253" t="s">
        <v>196</v>
      </c>
      <c r="H115" s="311">
        <v>56.350013732910156</v>
      </c>
      <c r="I115" s="312">
        <v>-0.42299999999999999</v>
      </c>
      <c r="J115" s="287">
        <v>-1.0783713352680211</v>
      </c>
      <c r="K115" s="737">
        <f t="shared" si="1"/>
        <v>13.097733047194573</v>
      </c>
      <c r="L115" s="795" t="s">
        <v>180</v>
      </c>
      <c r="M115" s="342" t="s">
        <v>16</v>
      </c>
      <c r="N115" s="343" t="s">
        <v>194</v>
      </c>
      <c r="O115" s="100" t="s">
        <v>44</v>
      </c>
      <c r="P115" s="99" t="s">
        <v>58</v>
      </c>
      <c r="Q115" s="348" t="s">
        <v>379</v>
      </c>
      <c r="R115" s="346" t="s">
        <v>377</v>
      </c>
      <c r="S115" s="176" t="s">
        <v>779</v>
      </c>
    </row>
    <row r="116" spans="1:19">
      <c r="A116" s="292">
        <v>401</v>
      </c>
      <c r="B116" s="301"/>
      <c r="C116" s="301"/>
      <c r="D116" s="301"/>
      <c r="E116" s="350"/>
      <c r="F116" s="250">
        <v>204.9</v>
      </c>
      <c r="G116" s="253" t="s">
        <v>196</v>
      </c>
      <c r="H116" s="311">
        <v>56.350013732910156</v>
      </c>
      <c r="I116" s="312">
        <v>-0.56000000000000005</v>
      </c>
      <c r="J116" s="287">
        <v>-1.0783713352680211</v>
      </c>
      <c r="K116" s="737">
        <f t="shared" si="1"/>
        <v>13.718940800066862</v>
      </c>
      <c r="L116" s="795" t="s">
        <v>180</v>
      </c>
      <c r="M116" s="342" t="s">
        <v>16</v>
      </c>
      <c r="N116" s="343" t="s">
        <v>194</v>
      </c>
      <c r="O116" s="100" t="s">
        <v>44</v>
      </c>
      <c r="P116" s="99" t="s">
        <v>58</v>
      </c>
      <c r="Q116" s="348" t="s">
        <v>379</v>
      </c>
      <c r="R116" s="346" t="s">
        <v>377</v>
      </c>
      <c r="S116" s="176" t="s">
        <v>779</v>
      </c>
    </row>
    <row r="117" spans="1:19">
      <c r="A117" s="292">
        <v>401</v>
      </c>
      <c r="B117" s="301"/>
      <c r="C117" s="301"/>
      <c r="D117" s="301"/>
      <c r="E117" s="350"/>
      <c r="F117" s="303">
        <v>205.65</v>
      </c>
      <c r="G117" s="253" t="s">
        <v>196</v>
      </c>
      <c r="H117" s="304">
        <v>56.472400665283203</v>
      </c>
      <c r="I117" s="305">
        <v>-8.5999999999999993E-2</v>
      </c>
      <c r="J117" s="287">
        <v>-1.0783713352680211</v>
      </c>
      <c r="K117" s="737">
        <f t="shared" si="1"/>
        <v>11.584029082391931</v>
      </c>
      <c r="L117" s="795" t="s">
        <v>198</v>
      </c>
      <c r="M117" s="342" t="s">
        <v>74</v>
      </c>
      <c r="N117" s="343" t="s">
        <v>194</v>
      </c>
      <c r="O117" s="100" t="s">
        <v>44</v>
      </c>
      <c r="P117" s="352" t="s">
        <v>91</v>
      </c>
      <c r="Q117" s="348" t="s">
        <v>377</v>
      </c>
      <c r="R117" s="316" t="s">
        <v>377</v>
      </c>
      <c r="S117" s="176" t="s">
        <v>779</v>
      </c>
    </row>
    <row r="118" spans="1:19">
      <c r="A118" s="292">
        <v>401</v>
      </c>
      <c r="B118" s="301"/>
      <c r="C118" s="301"/>
      <c r="D118" s="301"/>
      <c r="E118" s="350"/>
      <c r="F118" s="303">
        <v>205.67</v>
      </c>
      <c r="G118" s="253" t="s">
        <v>196</v>
      </c>
      <c r="H118" s="304">
        <v>56.475666046142578</v>
      </c>
      <c r="I118" s="305">
        <v>-0.23499999999999999</v>
      </c>
      <c r="J118" s="287">
        <v>-1.0783713352680211</v>
      </c>
      <c r="K118" s="737">
        <f t="shared" si="1"/>
        <v>12.250771773180043</v>
      </c>
      <c r="L118" s="795" t="s">
        <v>198</v>
      </c>
      <c r="M118" s="342" t="s">
        <v>74</v>
      </c>
      <c r="N118" s="343" t="s">
        <v>194</v>
      </c>
      <c r="O118" s="100" t="s">
        <v>44</v>
      </c>
      <c r="P118" s="352" t="s">
        <v>91</v>
      </c>
      <c r="Q118" s="348" t="s">
        <v>377</v>
      </c>
      <c r="R118" s="316" t="s">
        <v>377</v>
      </c>
      <c r="S118" s="176" t="s">
        <v>779</v>
      </c>
    </row>
    <row r="119" spans="1:19">
      <c r="A119" s="292">
        <v>401</v>
      </c>
      <c r="B119" s="301"/>
      <c r="C119" s="301"/>
      <c r="D119" s="301"/>
      <c r="E119" s="350"/>
      <c r="F119" s="303">
        <v>208.45</v>
      </c>
      <c r="G119" s="253" t="s">
        <v>196</v>
      </c>
      <c r="H119" s="304">
        <v>56.9293212890625</v>
      </c>
      <c r="I119" s="305">
        <v>-1.6259999999999999</v>
      </c>
      <c r="J119" s="287">
        <v>-1.0783713352680211</v>
      </c>
      <c r="K119" s="737">
        <f t="shared" si="1"/>
        <v>18.667987748255634</v>
      </c>
      <c r="L119" s="795" t="s">
        <v>198</v>
      </c>
      <c r="M119" s="342" t="s">
        <v>74</v>
      </c>
      <c r="N119" s="343" t="s">
        <v>194</v>
      </c>
      <c r="O119" s="100" t="s">
        <v>44</v>
      </c>
      <c r="P119" s="352" t="s">
        <v>91</v>
      </c>
      <c r="Q119" s="348" t="s">
        <v>377</v>
      </c>
      <c r="R119" s="316" t="s">
        <v>377</v>
      </c>
      <c r="S119" s="176" t="s">
        <v>779</v>
      </c>
    </row>
    <row r="120" spans="1:19">
      <c r="A120" s="292">
        <v>401</v>
      </c>
      <c r="B120" s="301"/>
      <c r="C120" s="301"/>
      <c r="D120" s="301"/>
      <c r="E120" s="350"/>
      <c r="F120" s="303">
        <v>208.9</v>
      </c>
      <c r="G120" s="253" t="s">
        <v>196</v>
      </c>
      <c r="H120" s="304">
        <v>57.002754211425781</v>
      </c>
      <c r="I120" s="305">
        <v>-1.173</v>
      </c>
      <c r="J120" s="287">
        <v>-1.0783713352680211</v>
      </c>
      <c r="K120" s="737">
        <f t="shared" si="1"/>
        <v>16.53988291693339</v>
      </c>
      <c r="L120" s="795" t="s">
        <v>198</v>
      </c>
      <c r="M120" s="342" t="s">
        <v>74</v>
      </c>
      <c r="N120" s="343" t="s">
        <v>194</v>
      </c>
      <c r="O120" s="100" t="s">
        <v>44</v>
      </c>
      <c r="P120" s="352" t="s">
        <v>91</v>
      </c>
      <c r="Q120" s="348" t="s">
        <v>377</v>
      </c>
      <c r="R120" s="316" t="s">
        <v>377</v>
      </c>
      <c r="S120" s="176" t="s">
        <v>779</v>
      </c>
    </row>
    <row r="121" spans="1:19">
      <c r="A121" s="292">
        <v>401</v>
      </c>
      <c r="B121" s="301"/>
      <c r="C121" s="301"/>
      <c r="D121" s="301"/>
      <c r="E121" s="350"/>
      <c r="F121" s="303">
        <v>209.3</v>
      </c>
      <c r="G121" s="253" t="s">
        <v>196</v>
      </c>
      <c r="H121" s="304">
        <v>57.068031311035156</v>
      </c>
      <c r="I121" s="305">
        <v>-1.294</v>
      </c>
      <c r="J121" s="287">
        <v>-1.0783713352680211</v>
      </c>
      <c r="K121" s="737">
        <f t="shared" si="1"/>
        <v>17.104701619251252</v>
      </c>
      <c r="L121" s="795" t="s">
        <v>198</v>
      </c>
      <c r="M121" s="342" t="s">
        <v>74</v>
      </c>
      <c r="N121" s="343" t="s">
        <v>194</v>
      </c>
      <c r="O121" s="100" t="s">
        <v>44</v>
      </c>
      <c r="P121" s="352" t="s">
        <v>91</v>
      </c>
      <c r="Q121" s="348" t="s">
        <v>377</v>
      </c>
      <c r="R121" s="316" t="s">
        <v>377</v>
      </c>
      <c r="S121" s="176" t="s">
        <v>779</v>
      </c>
    </row>
    <row r="122" spans="1:19">
      <c r="A122" s="292">
        <v>401</v>
      </c>
      <c r="B122" s="301"/>
      <c r="C122" s="301"/>
      <c r="D122" s="301"/>
      <c r="E122" s="350"/>
      <c r="F122" s="303">
        <v>209.55</v>
      </c>
      <c r="G122" s="253" t="s">
        <v>196</v>
      </c>
      <c r="H122" s="304">
        <v>57.10882568359375</v>
      </c>
      <c r="I122" s="305">
        <v>-1.1339999999999999</v>
      </c>
      <c r="J122" s="287">
        <v>-1.0783713352680211</v>
      </c>
      <c r="K122" s="737">
        <f t="shared" si="1"/>
        <v>16.35839551370697</v>
      </c>
      <c r="L122" s="795" t="s">
        <v>198</v>
      </c>
      <c r="M122" s="342" t="s">
        <v>74</v>
      </c>
      <c r="N122" s="343" t="s">
        <v>194</v>
      </c>
      <c r="O122" s="100" t="s">
        <v>44</v>
      </c>
      <c r="P122" s="352" t="s">
        <v>91</v>
      </c>
      <c r="Q122" s="348" t="s">
        <v>377</v>
      </c>
      <c r="R122" s="316" t="s">
        <v>377</v>
      </c>
      <c r="S122" s="176" t="s">
        <v>779</v>
      </c>
    </row>
    <row r="123" spans="1:19">
      <c r="A123" s="292">
        <v>401</v>
      </c>
      <c r="B123" s="301"/>
      <c r="C123" s="301"/>
      <c r="D123" s="301"/>
      <c r="E123" s="350"/>
      <c r="F123" s="303">
        <v>209.87</v>
      </c>
      <c r="G123" s="253" t="s">
        <v>196</v>
      </c>
      <c r="H123" s="304">
        <v>57.161045074462891</v>
      </c>
      <c r="I123" s="305">
        <v>-1.2549999999999999</v>
      </c>
      <c r="J123" s="287">
        <v>-1.0783713352680211</v>
      </c>
      <c r="K123" s="737">
        <f t="shared" si="1"/>
        <v>16.922364796024834</v>
      </c>
      <c r="L123" s="795" t="s">
        <v>198</v>
      </c>
      <c r="M123" s="342" t="s">
        <v>74</v>
      </c>
      <c r="N123" s="343" t="s">
        <v>194</v>
      </c>
      <c r="O123" s="100" t="s">
        <v>44</v>
      </c>
      <c r="P123" s="352" t="s">
        <v>91</v>
      </c>
      <c r="Q123" s="348" t="s">
        <v>377</v>
      </c>
      <c r="R123" s="316" t="s">
        <v>377</v>
      </c>
      <c r="S123" s="176" t="s">
        <v>779</v>
      </c>
    </row>
    <row r="124" spans="1:19">
      <c r="A124" s="888">
        <v>401</v>
      </c>
      <c r="B124" s="889"/>
      <c r="C124" s="889"/>
      <c r="D124" s="889"/>
      <c r="E124" s="875"/>
      <c r="F124" s="876">
        <v>210.17</v>
      </c>
      <c r="G124" s="877" t="s">
        <v>196</v>
      </c>
      <c r="H124" s="878">
        <v>57.209999084472656</v>
      </c>
      <c r="I124" s="879">
        <v>-1.0469999999999999</v>
      </c>
      <c r="J124" s="880">
        <v>-1.0783713352680211</v>
      </c>
      <c r="K124" s="900">
        <f t="shared" si="1"/>
        <v>15.954525578817266</v>
      </c>
      <c r="L124" s="904" t="s">
        <v>198</v>
      </c>
      <c r="M124" s="883" t="s">
        <v>74</v>
      </c>
      <c r="N124" s="884" t="s">
        <v>194</v>
      </c>
      <c r="O124" s="885" t="s">
        <v>44</v>
      </c>
      <c r="P124" s="886" t="s">
        <v>91</v>
      </c>
      <c r="Q124" s="887" t="s">
        <v>377</v>
      </c>
      <c r="R124" s="902" t="s">
        <v>377</v>
      </c>
      <c r="S124" s="905" t="s">
        <v>779</v>
      </c>
    </row>
    <row r="125" spans="1:19">
      <c r="A125" s="292">
        <v>401</v>
      </c>
      <c r="B125" s="301"/>
      <c r="C125" s="301"/>
      <c r="D125" s="301"/>
      <c r="E125" s="350"/>
      <c r="F125" s="303">
        <v>172.4</v>
      </c>
      <c r="G125" s="253"/>
      <c r="H125" s="304">
        <v>47.840000152587891</v>
      </c>
      <c r="I125" s="130">
        <v>-0.34100000000000003</v>
      </c>
      <c r="J125" s="287">
        <v>-1.0783713352680211</v>
      </c>
      <c r="K125" s="737">
        <f t="shared" si="1"/>
        <v>12.727531488103129</v>
      </c>
      <c r="L125" s="313" t="s">
        <v>200</v>
      </c>
      <c r="M125" s="342" t="s">
        <v>74</v>
      </c>
      <c r="N125" s="343" t="s">
        <v>194</v>
      </c>
      <c r="O125" s="100" t="s">
        <v>44</v>
      </c>
      <c r="P125" s="352" t="s">
        <v>91</v>
      </c>
      <c r="Q125" s="348" t="s">
        <v>377</v>
      </c>
      <c r="R125" s="316" t="s">
        <v>377</v>
      </c>
      <c r="S125" s="347"/>
    </row>
    <row r="126" spans="1:19">
      <c r="A126" s="292">
        <v>401</v>
      </c>
      <c r="B126" s="301"/>
      <c r="C126" s="301"/>
      <c r="D126" s="301"/>
      <c r="E126" s="350"/>
      <c r="F126" s="303">
        <v>173.89</v>
      </c>
      <c r="G126" s="253" t="s">
        <v>269</v>
      </c>
      <c r="H126" s="304">
        <v>49.422050476074219</v>
      </c>
      <c r="I126" s="130">
        <v>-1.425</v>
      </c>
      <c r="J126" s="287">
        <v>-1.0783713352680211</v>
      </c>
      <c r="K126" s="737">
        <f t="shared" si="1"/>
        <v>17.719170633165632</v>
      </c>
      <c r="L126" s="313" t="s">
        <v>200</v>
      </c>
      <c r="M126" s="342" t="s">
        <v>74</v>
      </c>
      <c r="N126" s="343" t="s">
        <v>194</v>
      </c>
      <c r="O126" s="100" t="s">
        <v>44</v>
      </c>
      <c r="P126" s="352" t="s">
        <v>91</v>
      </c>
      <c r="Q126" s="348" t="s">
        <v>377</v>
      </c>
      <c r="R126" s="316" t="s">
        <v>377</v>
      </c>
      <c r="S126" s="347"/>
    </row>
    <row r="127" spans="1:19">
      <c r="A127" s="292">
        <v>401</v>
      </c>
      <c r="B127" s="301"/>
      <c r="C127" s="301"/>
      <c r="D127" s="301"/>
      <c r="E127" s="350"/>
      <c r="F127" s="303">
        <v>190.125</v>
      </c>
      <c r="G127" s="253"/>
      <c r="H127" s="304">
        <v>54.122573852539063</v>
      </c>
      <c r="I127" s="130">
        <v>-1.0669999999999999</v>
      </c>
      <c r="J127" s="287">
        <v>-1.0783713352680211</v>
      </c>
      <c r="K127" s="737">
        <f t="shared" si="1"/>
        <v>16.047248642010302</v>
      </c>
      <c r="L127" s="313" t="s">
        <v>200</v>
      </c>
      <c r="M127" s="342" t="s">
        <v>74</v>
      </c>
      <c r="N127" s="343" t="s">
        <v>194</v>
      </c>
      <c r="O127" s="100" t="s">
        <v>44</v>
      </c>
      <c r="P127" s="352" t="s">
        <v>91</v>
      </c>
      <c r="Q127" s="348" t="s">
        <v>377</v>
      </c>
      <c r="R127" s="316" t="s">
        <v>377</v>
      </c>
      <c r="S127" s="347"/>
    </row>
    <row r="128" spans="1:19">
      <c r="A128" s="292">
        <v>401</v>
      </c>
      <c r="B128" s="301"/>
      <c r="C128" s="301"/>
      <c r="D128" s="301"/>
      <c r="E128" s="350"/>
      <c r="F128" s="303">
        <v>192.12</v>
      </c>
      <c r="G128" s="253"/>
      <c r="H128" s="304">
        <v>54.163619995117188</v>
      </c>
      <c r="I128" s="130">
        <v>-0.624</v>
      </c>
      <c r="J128" s="287">
        <v>-1.0783713352680211</v>
      </c>
      <c r="K128" s="737">
        <f t="shared" si="1"/>
        <v>14.010297802284574</v>
      </c>
      <c r="L128" s="313" t="s">
        <v>200</v>
      </c>
      <c r="M128" s="342" t="s">
        <v>74</v>
      </c>
      <c r="N128" s="343" t="s">
        <v>194</v>
      </c>
      <c r="O128" s="100" t="s">
        <v>44</v>
      </c>
      <c r="P128" s="352" t="s">
        <v>91</v>
      </c>
      <c r="Q128" s="348" t="s">
        <v>377</v>
      </c>
      <c r="R128" s="316" t="s">
        <v>377</v>
      </c>
      <c r="S128" s="347"/>
    </row>
    <row r="129" spans="1:19">
      <c r="A129" s="888">
        <v>401</v>
      </c>
      <c r="B129" s="889"/>
      <c r="C129" s="889"/>
      <c r="D129" s="889"/>
      <c r="E129" s="875"/>
      <c r="F129" s="876">
        <v>192.2</v>
      </c>
      <c r="G129" s="877"/>
      <c r="H129" s="878">
        <v>54.165267944335938</v>
      </c>
      <c r="I129" s="897">
        <v>-0.68400000000000005</v>
      </c>
      <c r="J129" s="880">
        <v>-1.0783713352680211</v>
      </c>
      <c r="K129" s="900">
        <f t="shared" si="1"/>
        <v>14.284114591863682</v>
      </c>
      <c r="L129" s="906" t="s">
        <v>200</v>
      </c>
      <c r="M129" s="883" t="s">
        <v>74</v>
      </c>
      <c r="N129" s="884" t="s">
        <v>194</v>
      </c>
      <c r="O129" s="885" t="s">
        <v>44</v>
      </c>
      <c r="P129" s="886" t="s">
        <v>91</v>
      </c>
      <c r="Q129" s="887" t="s">
        <v>377</v>
      </c>
      <c r="R129" s="902" t="s">
        <v>377</v>
      </c>
      <c r="S129" s="903"/>
    </row>
    <row r="130" spans="1:19">
      <c r="A130" s="292">
        <v>401</v>
      </c>
      <c r="B130" s="301"/>
      <c r="C130" s="301"/>
      <c r="D130" s="301"/>
      <c r="E130" s="350"/>
      <c r="F130" s="250">
        <v>181.03</v>
      </c>
      <c r="G130" s="253" t="s">
        <v>21</v>
      </c>
      <c r="H130" s="304">
        <v>51.447551727294922</v>
      </c>
      <c r="I130" s="312">
        <v>-0.91100000000000003</v>
      </c>
      <c r="J130" s="287">
        <v>-1.0783713352680211</v>
      </c>
      <c r="K130" s="737">
        <f t="shared" si="1"/>
        <v>15.32591818910463</v>
      </c>
      <c r="L130" s="795" t="s">
        <v>670</v>
      </c>
      <c r="M130" s="342" t="s">
        <v>74</v>
      </c>
      <c r="N130" s="343" t="s">
        <v>194</v>
      </c>
      <c r="O130" s="100" t="s">
        <v>44</v>
      </c>
      <c r="P130" s="352" t="s">
        <v>91</v>
      </c>
      <c r="Q130" s="348" t="s">
        <v>377</v>
      </c>
      <c r="R130" s="316" t="s">
        <v>377</v>
      </c>
      <c r="S130" s="347"/>
    </row>
    <row r="131" spans="1:19">
      <c r="A131" s="292">
        <v>401</v>
      </c>
      <c r="B131" s="301"/>
      <c r="C131" s="301"/>
      <c r="D131" s="301"/>
      <c r="E131" s="350"/>
      <c r="F131" s="250">
        <v>186.41</v>
      </c>
      <c r="G131" s="253" t="s">
        <v>21</v>
      </c>
      <c r="H131" s="304">
        <v>52.973770141601563</v>
      </c>
      <c r="I131" s="312">
        <v>-0.54500000000000004</v>
      </c>
      <c r="J131" s="287">
        <v>-1.0783713352680211</v>
      </c>
      <c r="K131" s="737">
        <f t="shared" si="1"/>
        <v>13.650760652672087</v>
      </c>
      <c r="L131" s="795" t="s">
        <v>670</v>
      </c>
      <c r="M131" s="342" t="s">
        <v>74</v>
      </c>
      <c r="N131" s="343" t="s">
        <v>194</v>
      </c>
      <c r="O131" s="100" t="s">
        <v>44</v>
      </c>
      <c r="P131" s="352" t="s">
        <v>91</v>
      </c>
      <c r="Q131" s="348" t="s">
        <v>377</v>
      </c>
      <c r="R131" s="316" t="s">
        <v>377</v>
      </c>
      <c r="S131" s="347"/>
    </row>
    <row r="132" spans="1:19">
      <c r="A132" s="292">
        <v>401</v>
      </c>
      <c r="B132" s="301"/>
      <c r="C132" s="301"/>
      <c r="D132" s="301"/>
      <c r="E132" s="350"/>
      <c r="F132" s="250">
        <v>189.75</v>
      </c>
      <c r="G132" s="253"/>
      <c r="H132" s="304">
        <v>54.018058776855469</v>
      </c>
      <c r="I132" s="312">
        <v>-0.64900000000000002</v>
      </c>
      <c r="J132" s="287">
        <v>-1.0783713352680211</v>
      </c>
      <c r="K132" s="737">
        <f t="shared" si="1"/>
        <v>14.12430938127587</v>
      </c>
      <c r="L132" s="795" t="s">
        <v>670</v>
      </c>
      <c r="M132" s="342" t="s">
        <v>74</v>
      </c>
      <c r="N132" s="343" t="s">
        <v>194</v>
      </c>
      <c r="O132" s="100" t="s">
        <v>44</v>
      </c>
      <c r="P132" s="352" t="s">
        <v>91</v>
      </c>
      <c r="Q132" s="348" t="s">
        <v>377</v>
      </c>
      <c r="R132" s="316" t="s">
        <v>377</v>
      </c>
      <c r="S132" s="347"/>
    </row>
    <row r="133" spans="1:19">
      <c r="A133" s="888">
        <v>401</v>
      </c>
      <c r="B133" s="889"/>
      <c r="C133" s="889"/>
      <c r="D133" s="889"/>
      <c r="E133" s="875"/>
      <c r="F133" s="890">
        <v>189.91499999999999</v>
      </c>
      <c r="G133" s="877"/>
      <c r="H133" s="878">
        <v>54.085338592529297</v>
      </c>
      <c r="I133" s="891">
        <v>-1.0049999999999999</v>
      </c>
      <c r="J133" s="880">
        <v>-1.0783713352680211</v>
      </c>
      <c r="K133" s="900">
        <f t="shared" si="1"/>
        <v>15.760041506111895</v>
      </c>
      <c r="L133" s="904" t="s">
        <v>670</v>
      </c>
      <c r="M133" s="883" t="s">
        <v>74</v>
      </c>
      <c r="N133" s="884" t="s">
        <v>194</v>
      </c>
      <c r="O133" s="885" t="s">
        <v>44</v>
      </c>
      <c r="P133" s="886" t="s">
        <v>91</v>
      </c>
      <c r="Q133" s="887" t="s">
        <v>377</v>
      </c>
      <c r="R133" s="902" t="s">
        <v>377</v>
      </c>
      <c r="S133" s="903"/>
    </row>
    <row r="134" spans="1:19">
      <c r="A134" s="292">
        <v>401</v>
      </c>
      <c r="B134" s="301"/>
      <c r="C134" s="301"/>
      <c r="D134" s="301"/>
      <c r="E134" s="350"/>
      <c r="F134" s="250">
        <v>174.29</v>
      </c>
      <c r="G134" s="253" t="s">
        <v>269</v>
      </c>
      <c r="H134" s="304">
        <v>49.5355224609375</v>
      </c>
      <c r="I134" s="312">
        <v>-1.6539999999999999</v>
      </c>
      <c r="J134" s="287">
        <v>-1.0783713352680211</v>
      </c>
      <c r="K134" s="909">
        <f t="shared" si="1"/>
        <v>18.800738356725887</v>
      </c>
      <c r="L134" s="735" t="s">
        <v>195</v>
      </c>
      <c r="M134" s="342" t="s">
        <v>16</v>
      </c>
      <c r="N134" s="343" t="s">
        <v>194</v>
      </c>
      <c r="O134" s="100" t="s">
        <v>35</v>
      </c>
      <c r="P134" s="352" t="s">
        <v>91</v>
      </c>
      <c r="Q134" s="348" t="s">
        <v>377</v>
      </c>
      <c r="R134" s="346" t="s">
        <v>377</v>
      </c>
      <c r="S134" s="347"/>
    </row>
    <row r="135" spans="1:19">
      <c r="A135" s="292">
        <v>401</v>
      </c>
      <c r="B135" s="301"/>
      <c r="C135" s="301"/>
      <c r="D135" s="301"/>
      <c r="E135" s="350"/>
      <c r="F135" s="250">
        <v>182.55</v>
      </c>
      <c r="G135" s="253" t="s">
        <v>21</v>
      </c>
      <c r="H135" s="304">
        <v>51.878753662109375</v>
      </c>
      <c r="I135" s="312">
        <v>-1.2709999999999999</v>
      </c>
      <c r="J135" s="287">
        <v>-1.0783713352680211</v>
      </c>
      <c r="K135" s="909">
        <f t="shared" si="1"/>
        <v>16.997136526579261</v>
      </c>
      <c r="L135" s="735" t="s">
        <v>195</v>
      </c>
      <c r="M135" s="342" t="s">
        <v>16</v>
      </c>
      <c r="N135" s="343" t="s">
        <v>194</v>
      </c>
      <c r="O135" s="100" t="s">
        <v>35</v>
      </c>
      <c r="P135" s="352" t="s">
        <v>91</v>
      </c>
      <c r="Q135" s="348" t="s">
        <v>377</v>
      </c>
      <c r="R135" s="346" t="s">
        <v>377</v>
      </c>
      <c r="S135" s="347"/>
    </row>
    <row r="136" spans="1:19">
      <c r="A136" s="292">
        <v>401</v>
      </c>
      <c r="B136" s="301"/>
      <c r="C136" s="301"/>
      <c r="D136" s="301"/>
      <c r="E136" s="350"/>
      <c r="F136" s="250">
        <v>183.8</v>
      </c>
      <c r="G136" s="253" t="s">
        <v>21</v>
      </c>
      <c r="H136" s="304">
        <v>52.233356475830078</v>
      </c>
      <c r="I136" s="312">
        <v>-1.2410000000000001</v>
      </c>
      <c r="J136" s="287">
        <v>-1.0783713352680211</v>
      </c>
      <c r="K136" s="909">
        <f t="shared" si="1"/>
        <v>16.856977331789711</v>
      </c>
      <c r="L136" s="735" t="s">
        <v>195</v>
      </c>
      <c r="M136" s="342" t="s">
        <v>16</v>
      </c>
      <c r="N136" s="343" t="s">
        <v>194</v>
      </c>
      <c r="O136" s="100" t="s">
        <v>35</v>
      </c>
      <c r="P136" s="352" t="s">
        <v>91</v>
      </c>
      <c r="Q136" s="348" t="s">
        <v>377</v>
      </c>
      <c r="R136" s="346" t="s">
        <v>377</v>
      </c>
      <c r="S136" s="347"/>
    </row>
    <row r="137" spans="1:19">
      <c r="A137" s="292">
        <v>401</v>
      </c>
      <c r="B137" s="301"/>
      <c r="C137" s="301"/>
      <c r="D137" s="301"/>
      <c r="E137" s="350"/>
      <c r="F137" s="250">
        <v>189.05</v>
      </c>
      <c r="G137" s="253"/>
      <c r="H137" s="304">
        <v>53.732624053955078</v>
      </c>
      <c r="I137" s="312">
        <v>-4.4400000000000004</v>
      </c>
      <c r="J137" s="287">
        <v>-1.0783713352680211</v>
      </c>
      <c r="K137" s="737">
        <f t="shared" si="1"/>
        <v>32.715006259515675</v>
      </c>
      <c r="L137" s="735" t="s">
        <v>195</v>
      </c>
      <c r="M137" s="342" t="s">
        <v>16</v>
      </c>
      <c r="N137" s="343" t="s">
        <v>194</v>
      </c>
      <c r="O137" s="100" t="s">
        <v>35</v>
      </c>
      <c r="P137" s="352" t="s">
        <v>91</v>
      </c>
      <c r="Q137" s="348" t="s">
        <v>377</v>
      </c>
      <c r="R137" s="346" t="s">
        <v>377</v>
      </c>
      <c r="S137" s="347"/>
    </row>
    <row r="138" spans="1:19">
      <c r="A138" s="292">
        <v>401</v>
      </c>
      <c r="B138" s="301"/>
      <c r="C138" s="301"/>
      <c r="D138" s="301"/>
      <c r="E138" s="350"/>
      <c r="F138" s="250">
        <v>203.95</v>
      </c>
      <c r="G138" s="253" t="s">
        <v>196</v>
      </c>
      <c r="H138" s="304">
        <v>56.194988250732422</v>
      </c>
      <c r="I138" s="312">
        <v>-1.1000000000000001</v>
      </c>
      <c r="J138" s="287">
        <v>-1.0783713352680211</v>
      </c>
      <c r="K138" s="910">
        <f t="shared" si="1"/>
        <v>16.200399106278812</v>
      </c>
      <c r="L138" s="735" t="s">
        <v>195</v>
      </c>
      <c r="M138" s="342" t="s">
        <v>16</v>
      </c>
      <c r="N138" s="343" t="s">
        <v>194</v>
      </c>
      <c r="O138" s="100" t="s">
        <v>35</v>
      </c>
      <c r="P138" s="352" t="s">
        <v>91</v>
      </c>
      <c r="Q138" s="348" t="s">
        <v>377</v>
      </c>
      <c r="R138" s="346" t="s">
        <v>377</v>
      </c>
      <c r="S138" s="176" t="s">
        <v>779</v>
      </c>
    </row>
    <row r="139" spans="1:19">
      <c r="A139" s="292">
        <v>401</v>
      </c>
      <c r="B139" s="301"/>
      <c r="C139" s="301"/>
      <c r="D139" s="301"/>
      <c r="E139" s="350"/>
      <c r="F139" s="250">
        <v>204.2</v>
      </c>
      <c r="G139" s="253" t="s">
        <v>196</v>
      </c>
      <c r="H139" s="304">
        <v>56.235782623291016</v>
      </c>
      <c r="I139" s="312">
        <v>-0.63900000000000001</v>
      </c>
      <c r="J139" s="287">
        <v>-1.0783713352680211</v>
      </c>
      <c r="K139" s="910">
        <f t="shared" ref="K139:K153" si="2">16.1-4.64*($I139-J139)+0.09*($I139-J139)^2</f>
        <v>14.07869124967935</v>
      </c>
      <c r="L139" s="735" t="s">
        <v>195</v>
      </c>
      <c r="M139" s="342" t="s">
        <v>16</v>
      </c>
      <c r="N139" s="343" t="s">
        <v>194</v>
      </c>
      <c r="O139" s="100" t="s">
        <v>35</v>
      </c>
      <c r="P139" s="352" t="s">
        <v>91</v>
      </c>
      <c r="Q139" s="348" t="s">
        <v>377</v>
      </c>
      <c r="R139" s="346" t="s">
        <v>377</v>
      </c>
      <c r="S139" s="176" t="s">
        <v>779</v>
      </c>
    </row>
    <row r="140" spans="1:19">
      <c r="A140" s="292">
        <v>401</v>
      </c>
      <c r="B140" s="301"/>
      <c r="C140" s="301"/>
      <c r="D140" s="301"/>
      <c r="E140" s="350"/>
      <c r="F140" s="250">
        <v>204.2</v>
      </c>
      <c r="G140" s="253" t="s">
        <v>196</v>
      </c>
      <c r="H140" s="304">
        <v>56.235782623291016</v>
      </c>
      <c r="I140" s="312">
        <v>-0.94</v>
      </c>
      <c r="J140" s="287">
        <v>-1.0783713352680211</v>
      </c>
      <c r="K140" s="910">
        <f t="shared" si="2"/>
        <v>15.459680200734532</v>
      </c>
      <c r="L140" s="735" t="s">
        <v>195</v>
      </c>
      <c r="M140" s="342" t="s">
        <v>16</v>
      </c>
      <c r="N140" s="343" t="s">
        <v>194</v>
      </c>
      <c r="O140" s="100" t="s">
        <v>35</v>
      </c>
      <c r="P140" s="352" t="s">
        <v>91</v>
      </c>
      <c r="Q140" s="348" t="s">
        <v>377</v>
      </c>
      <c r="R140" s="346" t="s">
        <v>377</v>
      </c>
      <c r="S140" s="176" t="s">
        <v>779</v>
      </c>
    </row>
    <row r="141" spans="1:19">
      <c r="A141" s="292">
        <v>401</v>
      </c>
      <c r="B141" s="301"/>
      <c r="C141" s="301"/>
      <c r="D141" s="301"/>
      <c r="E141" s="350"/>
      <c r="F141" s="250">
        <v>204.4</v>
      </c>
      <c r="G141" s="253" t="s">
        <v>196</v>
      </c>
      <c r="H141" s="304">
        <v>56.268421173095703</v>
      </c>
      <c r="I141" s="312">
        <v>-1.181</v>
      </c>
      <c r="J141" s="287">
        <v>-1.0783713352680211</v>
      </c>
      <c r="K141" s="910">
        <f t="shared" si="2"/>
        <v>16.577144942210605</v>
      </c>
      <c r="L141" s="735" t="s">
        <v>195</v>
      </c>
      <c r="M141" s="342" t="s">
        <v>16</v>
      </c>
      <c r="N141" s="343" t="s">
        <v>194</v>
      </c>
      <c r="O141" s="100" t="s">
        <v>35</v>
      </c>
      <c r="P141" s="352" t="s">
        <v>91</v>
      </c>
      <c r="Q141" s="348" t="s">
        <v>377</v>
      </c>
      <c r="R141" s="346" t="s">
        <v>377</v>
      </c>
      <c r="S141" s="176" t="s">
        <v>779</v>
      </c>
    </row>
    <row r="142" spans="1:19">
      <c r="A142" s="292">
        <v>401</v>
      </c>
      <c r="B142" s="301"/>
      <c r="C142" s="301"/>
      <c r="D142" s="301"/>
      <c r="E142" s="350"/>
      <c r="F142" s="250">
        <v>204.47</v>
      </c>
      <c r="G142" s="253" t="s">
        <v>196</v>
      </c>
      <c r="H142" s="304">
        <v>56.279842376708984</v>
      </c>
      <c r="I142" s="312">
        <v>-0.81</v>
      </c>
      <c r="J142" s="287">
        <v>-1.0783713352680211</v>
      </c>
      <c r="K142" s="910">
        <f t="shared" si="2"/>
        <v>14.861239089979801</v>
      </c>
      <c r="L142" s="735" t="s">
        <v>195</v>
      </c>
      <c r="M142" s="342" t="s">
        <v>16</v>
      </c>
      <c r="N142" s="343" t="s">
        <v>194</v>
      </c>
      <c r="O142" s="100" t="s">
        <v>35</v>
      </c>
      <c r="P142" s="352" t="s">
        <v>91</v>
      </c>
      <c r="Q142" s="348" t="s">
        <v>377</v>
      </c>
      <c r="R142" s="346" t="s">
        <v>377</v>
      </c>
      <c r="S142" s="176" t="s">
        <v>779</v>
      </c>
    </row>
    <row r="143" spans="1:19">
      <c r="A143" s="292">
        <v>401</v>
      </c>
      <c r="B143" s="301"/>
      <c r="C143" s="301"/>
      <c r="D143" s="301"/>
      <c r="E143" s="350"/>
      <c r="F143" s="250">
        <v>204.5</v>
      </c>
      <c r="G143" s="253" t="s">
        <v>196</v>
      </c>
      <c r="H143" s="304">
        <v>56.284740447998047</v>
      </c>
      <c r="I143" s="312">
        <v>-0.86</v>
      </c>
      <c r="J143" s="287">
        <v>-1.0783713352680211</v>
      </c>
      <c r="K143" s="910">
        <f t="shared" si="2"/>
        <v>15.091048747962391</v>
      </c>
      <c r="L143" s="735" t="s">
        <v>195</v>
      </c>
      <c r="M143" s="342" t="s">
        <v>16</v>
      </c>
      <c r="N143" s="343" t="s">
        <v>194</v>
      </c>
      <c r="O143" s="100" t="s">
        <v>35</v>
      </c>
      <c r="P143" s="352" t="s">
        <v>91</v>
      </c>
      <c r="Q143" s="348" t="s">
        <v>377</v>
      </c>
      <c r="R143" s="346" t="s">
        <v>377</v>
      </c>
      <c r="S143" s="176" t="s">
        <v>779</v>
      </c>
    </row>
    <row r="144" spans="1:19">
      <c r="A144" s="292">
        <v>401</v>
      </c>
      <c r="B144" s="301"/>
      <c r="C144" s="301"/>
      <c r="D144" s="301"/>
      <c r="E144" s="350"/>
      <c r="F144" s="250">
        <v>204.7</v>
      </c>
      <c r="G144" s="253" t="s">
        <v>196</v>
      </c>
      <c r="H144" s="304">
        <v>56.317375183105469</v>
      </c>
      <c r="I144" s="312">
        <v>-0.87</v>
      </c>
      <c r="J144" s="287">
        <v>-1.0783713352680211</v>
      </c>
      <c r="K144" s="910">
        <f t="shared" si="2"/>
        <v>15.137064679558909</v>
      </c>
      <c r="L144" s="735" t="s">
        <v>195</v>
      </c>
      <c r="M144" s="342" t="s">
        <v>16</v>
      </c>
      <c r="N144" s="343" t="s">
        <v>194</v>
      </c>
      <c r="O144" s="100" t="s">
        <v>35</v>
      </c>
      <c r="P144" s="352" t="s">
        <v>91</v>
      </c>
      <c r="Q144" s="348" t="s">
        <v>377</v>
      </c>
      <c r="R144" s="346" t="s">
        <v>377</v>
      </c>
      <c r="S144" s="176" t="s">
        <v>779</v>
      </c>
    </row>
    <row r="145" spans="1:19">
      <c r="A145" s="292">
        <v>401</v>
      </c>
      <c r="B145" s="301"/>
      <c r="C145" s="301"/>
      <c r="D145" s="301"/>
      <c r="E145" s="350"/>
      <c r="F145" s="250">
        <v>204.9</v>
      </c>
      <c r="G145" s="253" t="s">
        <v>196</v>
      </c>
      <c r="H145" s="304">
        <v>56.350013732910156</v>
      </c>
      <c r="I145" s="312">
        <v>-1.1200000000000001</v>
      </c>
      <c r="J145" s="287">
        <v>-1.0783713352680211</v>
      </c>
      <c r="K145" s="910">
        <f t="shared" si="2"/>
        <v>16.293312969471849</v>
      </c>
      <c r="L145" s="735" t="s">
        <v>195</v>
      </c>
      <c r="M145" s="342" t="s">
        <v>16</v>
      </c>
      <c r="N145" s="343" t="s">
        <v>194</v>
      </c>
      <c r="O145" s="100" t="s">
        <v>35</v>
      </c>
      <c r="P145" s="352" t="s">
        <v>91</v>
      </c>
      <c r="Q145" s="348" t="s">
        <v>377</v>
      </c>
      <c r="R145" s="346" t="s">
        <v>377</v>
      </c>
      <c r="S145" s="176" t="s">
        <v>779</v>
      </c>
    </row>
    <row r="146" spans="1:19">
      <c r="A146" s="292">
        <v>401</v>
      </c>
      <c r="B146" s="301"/>
      <c r="C146" s="301"/>
      <c r="D146" s="301"/>
      <c r="E146" s="350"/>
      <c r="F146" s="250">
        <v>204.95</v>
      </c>
      <c r="G146" s="253" t="s">
        <v>196</v>
      </c>
      <c r="H146" s="304">
        <v>56.358173370361328</v>
      </c>
      <c r="I146" s="312">
        <v>-0.79</v>
      </c>
      <c r="J146" s="287">
        <v>-1.0783713352680211</v>
      </c>
      <c r="K146" s="910">
        <f t="shared" si="2"/>
        <v>14.769441226786768</v>
      </c>
      <c r="L146" s="735" t="s">
        <v>195</v>
      </c>
      <c r="M146" s="342" t="s">
        <v>16</v>
      </c>
      <c r="N146" s="343" t="s">
        <v>194</v>
      </c>
      <c r="O146" s="100" t="s">
        <v>35</v>
      </c>
      <c r="P146" s="352" t="s">
        <v>91</v>
      </c>
      <c r="Q146" s="348" t="s">
        <v>377</v>
      </c>
      <c r="R146" s="346" t="s">
        <v>377</v>
      </c>
      <c r="S146" s="176" t="s">
        <v>779</v>
      </c>
    </row>
    <row r="147" spans="1:19">
      <c r="A147" s="292">
        <v>401</v>
      </c>
      <c r="B147" s="301"/>
      <c r="C147" s="301"/>
      <c r="D147" s="301"/>
      <c r="E147" s="350"/>
      <c r="F147" s="250">
        <v>205.18</v>
      </c>
      <c r="G147" s="253" t="s">
        <v>196</v>
      </c>
      <c r="H147" s="304">
        <v>56.395702362060547</v>
      </c>
      <c r="I147" s="312">
        <v>-0.94</v>
      </c>
      <c r="J147" s="287">
        <v>-1.0783713352680211</v>
      </c>
      <c r="K147" s="910">
        <f t="shared" si="2"/>
        <v>15.459680200734532</v>
      </c>
      <c r="L147" s="735" t="s">
        <v>195</v>
      </c>
      <c r="M147" s="342" t="s">
        <v>16</v>
      </c>
      <c r="N147" s="343" t="s">
        <v>194</v>
      </c>
      <c r="O147" s="100" t="s">
        <v>35</v>
      </c>
      <c r="P147" s="352" t="s">
        <v>91</v>
      </c>
      <c r="Q147" s="348" t="s">
        <v>377</v>
      </c>
      <c r="R147" s="346" t="s">
        <v>377</v>
      </c>
      <c r="S147" s="176" t="s">
        <v>779</v>
      </c>
    </row>
    <row r="148" spans="1:19">
      <c r="A148" s="292">
        <v>401</v>
      </c>
      <c r="B148" s="301"/>
      <c r="C148" s="301"/>
      <c r="D148" s="301"/>
      <c r="E148" s="350"/>
      <c r="F148" s="250">
        <v>205.67</v>
      </c>
      <c r="G148" s="253" t="s">
        <v>196</v>
      </c>
      <c r="H148" s="304">
        <v>56.475666046142578</v>
      </c>
      <c r="I148" s="312">
        <v>-0.87</v>
      </c>
      <c r="J148" s="287">
        <v>-1.0783713352680211</v>
      </c>
      <c r="K148" s="910">
        <f t="shared" si="2"/>
        <v>15.137064679558909</v>
      </c>
      <c r="L148" s="735" t="s">
        <v>195</v>
      </c>
      <c r="M148" s="342" t="s">
        <v>16</v>
      </c>
      <c r="N148" s="343" t="s">
        <v>194</v>
      </c>
      <c r="O148" s="100" t="s">
        <v>35</v>
      </c>
      <c r="P148" s="352" t="s">
        <v>91</v>
      </c>
      <c r="Q148" s="348" t="s">
        <v>377</v>
      </c>
      <c r="R148" s="346" t="s">
        <v>377</v>
      </c>
      <c r="S148" s="176" t="s">
        <v>779</v>
      </c>
    </row>
    <row r="149" spans="1:19">
      <c r="A149" s="292">
        <v>401</v>
      </c>
      <c r="B149" s="301"/>
      <c r="C149" s="301"/>
      <c r="D149" s="301"/>
      <c r="E149" s="350"/>
      <c r="F149" s="250">
        <v>205.67</v>
      </c>
      <c r="G149" s="253" t="s">
        <v>196</v>
      </c>
      <c r="H149" s="304">
        <v>56.475666046142578</v>
      </c>
      <c r="I149" s="312">
        <v>-1.1399999999999999</v>
      </c>
      <c r="J149" s="287">
        <v>-1.0783713352680211</v>
      </c>
      <c r="K149" s="910">
        <f t="shared" si="2"/>
        <v>16.386298832664881</v>
      </c>
      <c r="L149" s="735" t="s">
        <v>195</v>
      </c>
      <c r="M149" s="342" t="s">
        <v>16</v>
      </c>
      <c r="N149" s="343" t="s">
        <v>194</v>
      </c>
      <c r="O149" s="100" t="s">
        <v>35</v>
      </c>
      <c r="P149" s="352" t="s">
        <v>91</v>
      </c>
      <c r="Q149" s="348" t="s">
        <v>377</v>
      </c>
      <c r="R149" s="346" t="s">
        <v>377</v>
      </c>
      <c r="S149" s="176" t="s">
        <v>779</v>
      </c>
    </row>
    <row r="150" spans="1:19">
      <c r="A150" s="292">
        <v>401</v>
      </c>
      <c r="B150" s="301"/>
      <c r="C150" s="301"/>
      <c r="D150" s="301"/>
      <c r="E150" s="350"/>
      <c r="F150" s="250">
        <v>205.67</v>
      </c>
      <c r="G150" s="253" t="s">
        <v>196</v>
      </c>
      <c r="H150" s="304">
        <v>56.475666046142578</v>
      </c>
      <c r="I150" s="312">
        <v>-0.98799999999999999</v>
      </c>
      <c r="J150" s="287">
        <v>-1.0783713352680211</v>
      </c>
      <c r="K150" s="910">
        <f t="shared" si="2"/>
        <v>15.681412032397814</v>
      </c>
      <c r="L150" s="735" t="s">
        <v>195</v>
      </c>
      <c r="M150" s="342" t="s">
        <v>16</v>
      </c>
      <c r="N150" s="343" t="s">
        <v>194</v>
      </c>
      <c r="O150" s="100" t="s">
        <v>35</v>
      </c>
      <c r="P150" s="352" t="s">
        <v>91</v>
      </c>
      <c r="Q150" s="348" t="s">
        <v>377</v>
      </c>
      <c r="R150" s="346" t="s">
        <v>377</v>
      </c>
      <c r="S150" s="176" t="s">
        <v>779</v>
      </c>
    </row>
    <row r="151" spans="1:19">
      <c r="A151" s="292">
        <v>401</v>
      </c>
      <c r="B151" s="301"/>
      <c r="C151" s="301"/>
      <c r="D151" s="301"/>
      <c r="E151" s="350"/>
      <c r="F151" s="250">
        <v>208.05</v>
      </c>
      <c r="G151" s="253" t="s">
        <v>196</v>
      </c>
      <c r="H151" s="304">
        <v>56.864048004150391</v>
      </c>
      <c r="I151" s="312">
        <v>-1.54</v>
      </c>
      <c r="J151" s="287">
        <v>-1.0783713352680211</v>
      </c>
      <c r="K151" s="910">
        <f t="shared" si="2"/>
        <v>18.261136096525583</v>
      </c>
      <c r="L151" s="735" t="s">
        <v>195</v>
      </c>
      <c r="M151" s="342" t="s">
        <v>16</v>
      </c>
      <c r="N151" s="343" t="s">
        <v>194</v>
      </c>
      <c r="O151" s="100" t="s">
        <v>35</v>
      </c>
      <c r="P151" s="352" t="s">
        <v>91</v>
      </c>
      <c r="Q151" s="348" t="s">
        <v>377</v>
      </c>
      <c r="R151" s="346" t="s">
        <v>377</v>
      </c>
      <c r="S151" s="176" t="s">
        <v>779</v>
      </c>
    </row>
    <row r="152" spans="1:19">
      <c r="A152" s="292">
        <v>401</v>
      </c>
      <c r="B152" s="301"/>
      <c r="C152" s="301"/>
      <c r="D152" s="301"/>
      <c r="E152" s="350"/>
      <c r="F152" s="250">
        <v>208.9</v>
      </c>
      <c r="G152" s="253" t="s">
        <v>196</v>
      </c>
      <c r="H152" s="304">
        <v>57.002754211425781</v>
      </c>
      <c r="I152" s="312">
        <v>-1.3340000000000001</v>
      </c>
      <c r="J152" s="287">
        <v>-1.0783713352680211</v>
      </c>
      <c r="K152" s="910">
        <f t="shared" si="2"/>
        <v>17.291998145637322</v>
      </c>
      <c r="L152" s="735" t="s">
        <v>195</v>
      </c>
      <c r="M152" s="342" t="s">
        <v>16</v>
      </c>
      <c r="N152" s="343" t="s">
        <v>194</v>
      </c>
      <c r="O152" s="100" t="s">
        <v>35</v>
      </c>
      <c r="P152" s="352" t="s">
        <v>91</v>
      </c>
      <c r="Q152" s="348" t="s">
        <v>377</v>
      </c>
      <c r="R152" s="346" t="s">
        <v>377</v>
      </c>
      <c r="S152" s="176" t="s">
        <v>779</v>
      </c>
    </row>
    <row r="153" spans="1:19">
      <c r="A153" s="292">
        <v>401</v>
      </c>
      <c r="B153" s="301"/>
      <c r="C153" s="301"/>
      <c r="D153" s="301"/>
      <c r="E153" s="350"/>
      <c r="F153" s="250">
        <v>209.55</v>
      </c>
      <c r="G153" s="253" t="s">
        <v>196</v>
      </c>
      <c r="H153" s="304">
        <v>57.10882568359375</v>
      </c>
      <c r="I153" s="312">
        <v>-2.3319999999999999</v>
      </c>
      <c r="J153" s="287">
        <v>-1.0783713352680211</v>
      </c>
      <c r="K153" s="910">
        <f t="shared" si="2"/>
        <v>22.058279638969772</v>
      </c>
      <c r="L153" s="735" t="s">
        <v>195</v>
      </c>
      <c r="M153" s="342" t="s">
        <v>16</v>
      </c>
      <c r="N153" s="343" t="s">
        <v>194</v>
      </c>
      <c r="O153" s="100" t="s">
        <v>35</v>
      </c>
      <c r="P153" s="352" t="s">
        <v>91</v>
      </c>
      <c r="Q153" s="348" t="s">
        <v>377</v>
      </c>
      <c r="R153" s="346" t="s">
        <v>377</v>
      </c>
      <c r="S153" s="176" t="s">
        <v>779</v>
      </c>
    </row>
    <row r="154" spans="1:19">
      <c r="A154" s="292">
        <v>401</v>
      </c>
      <c r="B154" s="301"/>
      <c r="C154" s="301"/>
      <c r="D154" s="301"/>
      <c r="E154" s="350"/>
      <c r="F154" s="106">
        <v>192.43</v>
      </c>
      <c r="G154" s="106"/>
      <c r="H154" s="294">
        <v>54.169998168945313</v>
      </c>
      <c r="I154" s="316">
        <v>-1.6</v>
      </c>
      <c r="J154" s="287">
        <v>-1.0783713352680211</v>
      </c>
      <c r="K154" s="737">
        <f t="shared" ref="K154:K217" si="3">16.1-4.64*($I154-J154)+0.09*($I154-J154)^2</f>
        <v>18.54484568610469</v>
      </c>
      <c r="L154" s="735" t="s">
        <v>195</v>
      </c>
      <c r="M154" s="342" t="s">
        <v>16</v>
      </c>
      <c r="N154" s="343" t="s">
        <v>199</v>
      </c>
      <c r="O154" s="100" t="s">
        <v>35</v>
      </c>
      <c r="P154" s="99" t="s">
        <v>58</v>
      </c>
      <c r="Q154" s="348" t="s">
        <v>379</v>
      </c>
      <c r="R154" s="346" t="s">
        <v>379</v>
      </c>
      <c r="S154" s="347"/>
    </row>
    <row r="155" spans="1:19">
      <c r="A155" s="292">
        <v>401</v>
      </c>
      <c r="B155" s="301"/>
      <c r="C155" s="301"/>
      <c r="D155" s="301"/>
      <c r="E155" s="350"/>
      <c r="F155" s="106">
        <v>192.9</v>
      </c>
      <c r="G155" s="106"/>
      <c r="H155" s="294">
        <v>54.503269195556641</v>
      </c>
      <c r="I155" s="316">
        <v>-1.41</v>
      </c>
      <c r="J155" s="287">
        <v>-1.0783713352680211</v>
      </c>
      <c r="K155" s="737">
        <f t="shared" si="3"/>
        <v>17.648654985770854</v>
      </c>
      <c r="L155" s="735" t="s">
        <v>195</v>
      </c>
      <c r="M155" s="342" t="s">
        <v>16</v>
      </c>
      <c r="N155" s="343" t="s">
        <v>199</v>
      </c>
      <c r="O155" s="100" t="s">
        <v>35</v>
      </c>
      <c r="P155" s="99" t="s">
        <v>58</v>
      </c>
      <c r="Q155" s="348" t="s">
        <v>379</v>
      </c>
      <c r="R155" s="346" t="s">
        <v>379</v>
      </c>
      <c r="S155" s="347"/>
    </row>
    <row r="156" spans="1:19">
      <c r="A156" s="292">
        <v>401</v>
      </c>
      <c r="B156" s="301"/>
      <c r="C156" s="301"/>
      <c r="D156" s="301"/>
      <c r="E156" s="350"/>
      <c r="F156" s="106">
        <v>193.3</v>
      </c>
      <c r="G156" s="106"/>
      <c r="H156" s="294">
        <v>54.786911010742188</v>
      </c>
      <c r="I156" s="316">
        <v>-1.1299999999999999</v>
      </c>
      <c r="J156" s="287">
        <v>-1.0783713352680211</v>
      </c>
      <c r="K156" s="737">
        <f t="shared" si="3"/>
        <v>16.339796901068365</v>
      </c>
      <c r="L156" s="735" t="s">
        <v>195</v>
      </c>
      <c r="M156" s="342" t="s">
        <v>16</v>
      </c>
      <c r="N156" s="343" t="s">
        <v>199</v>
      </c>
      <c r="O156" s="100" t="s">
        <v>35</v>
      </c>
      <c r="P156" s="99" t="s">
        <v>58</v>
      </c>
      <c r="Q156" s="348" t="s">
        <v>379</v>
      </c>
      <c r="R156" s="346" t="s">
        <v>379</v>
      </c>
      <c r="S156" s="347"/>
    </row>
    <row r="157" spans="1:19">
      <c r="A157" s="292">
        <v>401</v>
      </c>
      <c r="B157" s="301"/>
      <c r="C157" s="301"/>
      <c r="D157" s="301"/>
      <c r="E157" s="350"/>
      <c r="F157" s="106">
        <v>193.93</v>
      </c>
      <c r="G157" s="106"/>
      <c r="H157" s="294">
        <v>54.994987487792969</v>
      </c>
      <c r="I157" s="316">
        <v>-1.33</v>
      </c>
      <c r="J157" s="287">
        <v>-1.0783713352680211</v>
      </c>
      <c r="K157" s="737">
        <f t="shared" si="3"/>
        <v>17.273255532998714</v>
      </c>
      <c r="L157" s="735" t="s">
        <v>195</v>
      </c>
      <c r="M157" s="342" t="s">
        <v>16</v>
      </c>
      <c r="N157" s="343" t="s">
        <v>199</v>
      </c>
      <c r="O157" s="100" t="s">
        <v>35</v>
      </c>
      <c r="P157" s="99" t="s">
        <v>58</v>
      </c>
      <c r="Q157" s="348" t="s">
        <v>379</v>
      </c>
      <c r="R157" s="346" t="s">
        <v>379</v>
      </c>
      <c r="S157" s="347"/>
    </row>
    <row r="158" spans="1:19">
      <c r="A158" s="292">
        <v>401</v>
      </c>
      <c r="B158" s="301"/>
      <c r="C158" s="301"/>
      <c r="D158" s="301"/>
      <c r="E158" s="350"/>
      <c r="F158" s="106">
        <v>194.8</v>
      </c>
      <c r="G158" s="106"/>
      <c r="H158" s="294">
        <v>55.092838287353516</v>
      </c>
      <c r="I158" s="316">
        <v>-1.5</v>
      </c>
      <c r="J158" s="287">
        <v>-1.0783713352680211</v>
      </c>
      <c r="K158" s="737">
        <f t="shared" si="3"/>
        <v>18.072356370139513</v>
      </c>
      <c r="L158" s="735" t="s">
        <v>195</v>
      </c>
      <c r="M158" s="342" t="s">
        <v>16</v>
      </c>
      <c r="N158" s="343" t="s">
        <v>199</v>
      </c>
      <c r="O158" s="100" t="s">
        <v>35</v>
      </c>
      <c r="P158" s="99" t="s">
        <v>58</v>
      </c>
      <c r="Q158" s="348" t="s">
        <v>379</v>
      </c>
      <c r="R158" s="346" t="s">
        <v>379</v>
      </c>
      <c r="S158" s="347"/>
    </row>
    <row r="159" spans="1:19">
      <c r="A159" s="292">
        <v>401</v>
      </c>
      <c r="B159" s="301"/>
      <c r="C159" s="301"/>
      <c r="D159" s="301"/>
      <c r="E159" s="350"/>
      <c r="F159" s="106">
        <v>195.05</v>
      </c>
      <c r="G159" s="106"/>
      <c r="H159" s="294">
        <v>55.120956420898438</v>
      </c>
      <c r="I159" s="316">
        <v>-1.3</v>
      </c>
      <c r="J159" s="287">
        <v>-1.0783713352680211</v>
      </c>
      <c r="K159" s="737">
        <f t="shared" si="3"/>
        <v>17.132777738209164</v>
      </c>
      <c r="L159" s="735" t="s">
        <v>195</v>
      </c>
      <c r="M159" s="342" t="s">
        <v>16</v>
      </c>
      <c r="N159" s="343" t="s">
        <v>199</v>
      </c>
      <c r="O159" s="100" t="s">
        <v>35</v>
      </c>
      <c r="P159" s="99" t="s">
        <v>58</v>
      </c>
      <c r="Q159" s="348" t="s">
        <v>379</v>
      </c>
      <c r="R159" s="346" t="s">
        <v>379</v>
      </c>
      <c r="S159" s="347"/>
    </row>
    <row r="160" spans="1:19">
      <c r="A160" s="292">
        <v>401</v>
      </c>
      <c r="B160" s="301"/>
      <c r="C160" s="301"/>
      <c r="D160" s="301"/>
      <c r="E160" s="350"/>
      <c r="F160" s="106">
        <v>195.45</v>
      </c>
      <c r="G160" s="106"/>
      <c r="H160" s="294">
        <v>55.165946960449219</v>
      </c>
      <c r="I160" s="316">
        <v>-1.94</v>
      </c>
      <c r="J160" s="287">
        <v>-1.0783713352680211</v>
      </c>
      <c r="K160" s="737">
        <f t="shared" si="3"/>
        <v>20.164773360386285</v>
      </c>
      <c r="L160" s="735" t="s">
        <v>195</v>
      </c>
      <c r="M160" s="342" t="s">
        <v>16</v>
      </c>
      <c r="N160" s="343" t="s">
        <v>199</v>
      </c>
      <c r="O160" s="100" t="s">
        <v>35</v>
      </c>
      <c r="P160" s="99" t="s">
        <v>58</v>
      </c>
      <c r="Q160" s="348" t="s">
        <v>379</v>
      </c>
      <c r="R160" s="346" t="s">
        <v>379</v>
      </c>
      <c r="S160" s="347"/>
    </row>
    <row r="161" spans="1:19">
      <c r="A161" s="292">
        <v>401</v>
      </c>
      <c r="B161" s="301"/>
      <c r="C161" s="301"/>
      <c r="D161" s="301"/>
      <c r="E161" s="350"/>
      <c r="F161" s="106">
        <v>195.88</v>
      </c>
      <c r="G161" s="106"/>
      <c r="H161" s="294">
        <v>55.214309692382813</v>
      </c>
      <c r="I161" s="316">
        <v>-1.97</v>
      </c>
      <c r="J161" s="287">
        <v>-1.0783713352680211</v>
      </c>
      <c r="K161" s="737">
        <f t="shared" si="3"/>
        <v>20.308707155175838</v>
      </c>
      <c r="L161" s="735" t="s">
        <v>195</v>
      </c>
      <c r="M161" s="342" t="s">
        <v>16</v>
      </c>
      <c r="N161" s="343" t="s">
        <v>199</v>
      </c>
      <c r="O161" s="100" t="s">
        <v>35</v>
      </c>
      <c r="P161" s="99" t="s">
        <v>58</v>
      </c>
      <c r="Q161" s="348" t="s">
        <v>379</v>
      </c>
      <c r="R161" s="346" t="s">
        <v>379</v>
      </c>
      <c r="S161" s="347"/>
    </row>
    <row r="162" spans="1:19">
      <c r="A162" s="292">
        <v>401</v>
      </c>
      <c r="B162" s="301"/>
      <c r="C162" s="301"/>
      <c r="D162" s="301"/>
      <c r="E162" s="350"/>
      <c r="F162" s="106">
        <v>196.35</v>
      </c>
      <c r="G162" s="106"/>
      <c r="H162" s="294">
        <v>55.267173767089844</v>
      </c>
      <c r="I162" s="316">
        <v>-1.72</v>
      </c>
      <c r="J162" s="287">
        <v>-1.0783713352680211</v>
      </c>
      <c r="K162" s="737">
        <f t="shared" si="3"/>
        <v>19.114208865262899</v>
      </c>
      <c r="L162" s="735" t="s">
        <v>195</v>
      </c>
      <c r="M162" s="342" t="s">
        <v>16</v>
      </c>
      <c r="N162" s="343" t="s">
        <v>199</v>
      </c>
      <c r="O162" s="100" t="s">
        <v>35</v>
      </c>
      <c r="P162" s="99" t="s">
        <v>58</v>
      </c>
      <c r="Q162" s="348" t="s">
        <v>379</v>
      </c>
      <c r="R162" s="346" t="s">
        <v>379</v>
      </c>
      <c r="S162" s="347"/>
    </row>
    <row r="163" spans="1:19">
      <c r="A163" s="292">
        <v>401</v>
      </c>
      <c r="B163" s="301"/>
      <c r="C163" s="301"/>
      <c r="D163" s="301"/>
      <c r="E163" s="350"/>
      <c r="F163" s="106">
        <v>198.9</v>
      </c>
      <c r="G163" s="106"/>
      <c r="H163" s="294">
        <v>55.553974151611328</v>
      </c>
      <c r="I163" s="316">
        <v>-2.36</v>
      </c>
      <c r="J163" s="287">
        <v>-1.0783713352680211</v>
      </c>
      <c r="K163" s="737">
        <f t="shared" si="3"/>
        <v>22.194588487440026</v>
      </c>
      <c r="L163" s="735" t="s">
        <v>195</v>
      </c>
      <c r="M163" s="342" t="s">
        <v>16</v>
      </c>
      <c r="N163" s="343" t="s">
        <v>199</v>
      </c>
      <c r="O163" s="100" t="s">
        <v>35</v>
      </c>
      <c r="P163" s="99" t="s">
        <v>58</v>
      </c>
      <c r="Q163" s="348" t="s">
        <v>379</v>
      </c>
      <c r="R163" s="346" t="s">
        <v>379</v>
      </c>
      <c r="S163" s="347"/>
    </row>
    <row r="164" spans="1:19">
      <c r="A164" s="292">
        <v>401</v>
      </c>
      <c r="B164" s="301"/>
      <c r="C164" s="301"/>
      <c r="D164" s="301"/>
      <c r="E164" s="350"/>
      <c r="F164" s="106">
        <v>199.18</v>
      </c>
      <c r="G164" s="106"/>
      <c r="H164" s="294">
        <v>55.585468292236328</v>
      </c>
      <c r="I164" s="316">
        <v>-2.52</v>
      </c>
      <c r="J164" s="287">
        <v>-1.0783713352680211</v>
      </c>
      <c r="K164" s="737">
        <f t="shared" si="3"/>
        <v>22.976203392984306</v>
      </c>
      <c r="L164" s="735" t="s">
        <v>195</v>
      </c>
      <c r="M164" s="342" t="s">
        <v>16</v>
      </c>
      <c r="N164" s="343" t="s">
        <v>199</v>
      </c>
      <c r="O164" s="100" t="s">
        <v>35</v>
      </c>
      <c r="P164" s="99" t="s">
        <v>58</v>
      </c>
      <c r="Q164" s="348" t="s">
        <v>379</v>
      </c>
      <c r="R164" s="346" t="s">
        <v>379</v>
      </c>
      <c r="S164" s="347"/>
    </row>
    <row r="165" spans="1:19">
      <c r="A165" s="292">
        <v>401</v>
      </c>
      <c r="B165" s="301"/>
      <c r="C165" s="301"/>
      <c r="D165" s="301"/>
      <c r="E165" s="350"/>
      <c r="F165" s="106">
        <v>199.31</v>
      </c>
      <c r="G165" s="106"/>
      <c r="H165" s="294">
        <v>55.600090026855469</v>
      </c>
      <c r="I165" s="316">
        <v>-2.5299999999999998</v>
      </c>
      <c r="J165" s="287">
        <v>-1.0783713352680211</v>
      </c>
      <c r="K165" s="737">
        <f t="shared" si="3"/>
        <v>23.025207324580819</v>
      </c>
      <c r="L165" s="735" t="s">
        <v>195</v>
      </c>
      <c r="M165" s="342" t="s">
        <v>16</v>
      </c>
      <c r="N165" s="343" t="s">
        <v>199</v>
      </c>
      <c r="O165" s="100" t="s">
        <v>35</v>
      </c>
      <c r="P165" s="99" t="s">
        <v>58</v>
      </c>
      <c r="Q165" s="348" t="s">
        <v>379</v>
      </c>
      <c r="R165" s="346" t="s">
        <v>379</v>
      </c>
      <c r="S165" s="347"/>
    </row>
    <row r="166" spans="1:19">
      <c r="A166" s="292">
        <v>401</v>
      </c>
      <c r="B166" s="301"/>
      <c r="C166" s="301"/>
      <c r="D166" s="301"/>
      <c r="E166" s="350"/>
      <c r="F166" s="106">
        <v>199.41</v>
      </c>
      <c r="G166" s="106"/>
      <c r="H166" s="294">
        <v>55.611335754394531</v>
      </c>
      <c r="I166" s="316">
        <v>-2.67</v>
      </c>
      <c r="J166" s="287">
        <v>-1.0783713352680211</v>
      </c>
      <c r="K166" s="737">
        <f t="shared" si="3"/>
        <v>23.713152366932068</v>
      </c>
      <c r="L166" s="735" t="s">
        <v>195</v>
      </c>
      <c r="M166" s="342" t="s">
        <v>16</v>
      </c>
      <c r="N166" s="343" t="s">
        <v>199</v>
      </c>
      <c r="O166" s="100" t="s">
        <v>35</v>
      </c>
      <c r="P166" s="99" t="s">
        <v>58</v>
      </c>
      <c r="Q166" s="348" t="s">
        <v>379</v>
      </c>
      <c r="R166" s="346" t="s">
        <v>379</v>
      </c>
      <c r="S166" s="347"/>
    </row>
    <row r="167" spans="1:19">
      <c r="A167" s="292">
        <v>401</v>
      </c>
      <c r="B167" s="301"/>
      <c r="C167" s="301"/>
      <c r="D167" s="301"/>
      <c r="E167" s="350"/>
      <c r="F167" s="106">
        <v>199.51</v>
      </c>
      <c r="G167" s="106"/>
      <c r="H167" s="294">
        <v>55.622581481933594</v>
      </c>
      <c r="I167" s="316">
        <v>-2.62</v>
      </c>
      <c r="J167" s="287">
        <v>-1.0783713352680211</v>
      </c>
      <c r="K167" s="737">
        <f t="shared" si="3"/>
        <v>23.467052708949478</v>
      </c>
      <c r="L167" s="735" t="s">
        <v>195</v>
      </c>
      <c r="M167" s="342" t="s">
        <v>16</v>
      </c>
      <c r="N167" s="343" t="s">
        <v>199</v>
      </c>
      <c r="O167" s="100" t="s">
        <v>35</v>
      </c>
      <c r="P167" s="99" t="s">
        <v>58</v>
      </c>
      <c r="Q167" s="348" t="s">
        <v>379</v>
      </c>
      <c r="R167" s="346" t="s">
        <v>379</v>
      </c>
      <c r="S167" s="347"/>
    </row>
    <row r="168" spans="1:19">
      <c r="A168" s="292">
        <v>401</v>
      </c>
      <c r="B168" s="301"/>
      <c r="C168" s="301"/>
      <c r="D168" s="301"/>
      <c r="E168" s="350"/>
      <c r="F168" s="106">
        <v>199.58</v>
      </c>
      <c r="G168" s="106"/>
      <c r="H168" s="294">
        <v>55.630458831787109</v>
      </c>
      <c r="I168" s="316">
        <v>-2.5499999999999998</v>
      </c>
      <c r="J168" s="287">
        <v>-1.0783713352680211</v>
      </c>
      <c r="K168" s="737">
        <f t="shared" si="3"/>
        <v>23.123269187773857</v>
      </c>
      <c r="L168" s="735" t="s">
        <v>195</v>
      </c>
      <c r="M168" s="342" t="s">
        <v>16</v>
      </c>
      <c r="N168" s="343" t="s">
        <v>199</v>
      </c>
      <c r="O168" s="100" t="s">
        <v>35</v>
      </c>
      <c r="P168" s="99" t="s">
        <v>58</v>
      </c>
      <c r="Q168" s="348" t="s">
        <v>379</v>
      </c>
      <c r="R168" s="346" t="s">
        <v>379</v>
      </c>
      <c r="S168" s="347"/>
    </row>
    <row r="169" spans="1:19">
      <c r="A169" s="292">
        <v>401</v>
      </c>
      <c r="B169" s="301"/>
      <c r="C169" s="301"/>
      <c r="D169" s="301"/>
      <c r="E169" s="350"/>
      <c r="F169" s="106">
        <v>199.6</v>
      </c>
      <c r="G169" s="106"/>
      <c r="H169" s="294">
        <v>55.632705688476563</v>
      </c>
      <c r="I169" s="316">
        <v>-2.56</v>
      </c>
      <c r="J169" s="287">
        <v>-1.0783713352680211</v>
      </c>
      <c r="K169" s="737">
        <f t="shared" si="3"/>
        <v>23.172327119370376</v>
      </c>
      <c r="L169" s="735" t="s">
        <v>195</v>
      </c>
      <c r="M169" s="342" t="s">
        <v>16</v>
      </c>
      <c r="N169" s="343" t="s">
        <v>199</v>
      </c>
      <c r="O169" s="100" t="s">
        <v>35</v>
      </c>
      <c r="P169" s="99" t="s">
        <v>58</v>
      </c>
      <c r="Q169" s="348" t="s">
        <v>379</v>
      </c>
      <c r="R169" s="346" t="s">
        <v>379</v>
      </c>
      <c r="S169" s="347"/>
    </row>
    <row r="170" spans="1:19">
      <c r="A170" s="292">
        <v>401</v>
      </c>
      <c r="B170" s="301"/>
      <c r="C170" s="301"/>
      <c r="D170" s="301"/>
      <c r="E170" s="350"/>
      <c r="F170" s="106">
        <v>199.7</v>
      </c>
      <c r="G170" s="106"/>
      <c r="H170" s="294">
        <v>55.643951416015625</v>
      </c>
      <c r="I170" s="316">
        <v>-2.2799999999999998</v>
      </c>
      <c r="J170" s="287">
        <v>-1.0783713352680211</v>
      </c>
      <c r="K170" s="737">
        <f t="shared" si="3"/>
        <v>21.805509034667882</v>
      </c>
      <c r="L170" s="735" t="s">
        <v>195</v>
      </c>
      <c r="M170" s="342" t="s">
        <v>16</v>
      </c>
      <c r="N170" s="343" t="s">
        <v>199</v>
      </c>
      <c r="O170" s="100" t="s">
        <v>35</v>
      </c>
      <c r="P170" s="99" t="s">
        <v>58</v>
      </c>
      <c r="Q170" s="348" t="s">
        <v>379</v>
      </c>
      <c r="R170" s="346" t="s">
        <v>379</v>
      </c>
      <c r="S170" s="347"/>
    </row>
    <row r="171" spans="1:19">
      <c r="A171" s="292">
        <v>401</v>
      </c>
      <c r="B171" s="301"/>
      <c r="C171" s="301"/>
      <c r="D171" s="301"/>
      <c r="E171" s="350"/>
      <c r="F171" s="106">
        <v>199.78</v>
      </c>
      <c r="G171" s="106"/>
      <c r="H171" s="294">
        <v>55.652950286865234</v>
      </c>
      <c r="I171" s="316">
        <v>-2.31</v>
      </c>
      <c r="J171" s="287">
        <v>-1.0783713352680211</v>
      </c>
      <c r="K171" s="737">
        <f t="shared" si="3"/>
        <v>21.951278829457436</v>
      </c>
      <c r="L171" s="735" t="s">
        <v>195</v>
      </c>
      <c r="M171" s="342" t="s">
        <v>16</v>
      </c>
      <c r="N171" s="343" t="s">
        <v>199</v>
      </c>
      <c r="O171" s="100" t="s">
        <v>35</v>
      </c>
      <c r="P171" s="99" t="s">
        <v>58</v>
      </c>
      <c r="Q171" s="348" t="s">
        <v>379</v>
      </c>
      <c r="R171" s="346" t="s">
        <v>379</v>
      </c>
      <c r="S171" s="347"/>
    </row>
    <row r="172" spans="1:19">
      <c r="A172" s="292">
        <v>401</v>
      </c>
      <c r="B172" s="301"/>
      <c r="C172" s="301"/>
      <c r="D172" s="301"/>
      <c r="E172" s="350"/>
      <c r="F172" s="106">
        <v>199.88</v>
      </c>
      <c r="G172" s="106"/>
      <c r="H172" s="294">
        <v>55.664199829101563</v>
      </c>
      <c r="I172" s="316">
        <v>-2.29</v>
      </c>
      <c r="J172" s="287">
        <v>-1.0783713352680211</v>
      </c>
      <c r="K172" s="737">
        <f t="shared" si="3"/>
        <v>21.854080966264402</v>
      </c>
      <c r="L172" s="735" t="s">
        <v>195</v>
      </c>
      <c r="M172" s="342" t="s">
        <v>16</v>
      </c>
      <c r="N172" s="343" t="s">
        <v>199</v>
      </c>
      <c r="O172" s="100" t="s">
        <v>35</v>
      </c>
      <c r="P172" s="99" t="s">
        <v>58</v>
      </c>
      <c r="Q172" s="348" t="s">
        <v>379</v>
      </c>
      <c r="R172" s="346" t="s">
        <v>379</v>
      </c>
      <c r="S172" s="347"/>
    </row>
    <row r="173" spans="1:19">
      <c r="A173" s="292">
        <v>401</v>
      </c>
      <c r="B173" s="301"/>
      <c r="C173" s="301"/>
      <c r="D173" s="301"/>
      <c r="E173" s="350"/>
      <c r="F173" s="106">
        <v>199.98</v>
      </c>
      <c r="G173" s="106"/>
      <c r="H173" s="294">
        <v>55.675445556640625</v>
      </c>
      <c r="I173" s="316">
        <v>-2.63</v>
      </c>
      <c r="J173" s="287">
        <v>-1.0783713352680211</v>
      </c>
      <c r="K173" s="737">
        <f t="shared" si="3"/>
        <v>23.516236640545998</v>
      </c>
      <c r="L173" s="735" t="s">
        <v>195</v>
      </c>
      <c r="M173" s="342" t="s">
        <v>16</v>
      </c>
      <c r="N173" s="343" t="s">
        <v>199</v>
      </c>
      <c r="O173" s="100" t="s">
        <v>35</v>
      </c>
      <c r="P173" s="99" t="s">
        <v>58</v>
      </c>
      <c r="Q173" s="348" t="s">
        <v>379</v>
      </c>
      <c r="R173" s="346" t="s">
        <v>379</v>
      </c>
      <c r="S173" s="347"/>
    </row>
    <row r="174" spans="1:19">
      <c r="A174" s="292">
        <v>401</v>
      </c>
      <c r="B174" s="301"/>
      <c r="C174" s="301"/>
      <c r="D174" s="301"/>
      <c r="E174" s="350"/>
      <c r="F174" s="106">
        <v>200.05</v>
      </c>
      <c r="G174" s="106"/>
      <c r="H174" s="294">
        <v>55.683319091796875</v>
      </c>
      <c r="I174" s="316">
        <v>-2.86</v>
      </c>
      <c r="J174" s="287">
        <v>-1.0783713352680211</v>
      </c>
      <c r="K174" s="737">
        <f t="shared" si="3"/>
        <v>24.652435067265898</v>
      </c>
      <c r="L174" s="735" t="s">
        <v>195</v>
      </c>
      <c r="M174" s="342" t="s">
        <v>16</v>
      </c>
      <c r="N174" s="343" t="s">
        <v>199</v>
      </c>
      <c r="O174" s="100" t="s">
        <v>35</v>
      </c>
      <c r="P174" s="99" t="s">
        <v>58</v>
      </c>
      <c r="Q174" s="348" t="s">
        <v>379</v>
      </c>
      <c r="R174" s="346" t="s">
        <v>379</v>
      </c>
      <c r="S174" s="347"/>
    </row>
    <row r="175" spans="1:19">
      <c r="A175" s="292">
        <v>401</v>
      </c>
      <c r="B175" s="301"/>
      <c r="C175" s="301"/>
      <c r="D175" s="301"/>
      <c r="E175" s="350"/>
      <c r="F175" s="106">
        <v>200.08</v>
      </c>
      <c r="G175" s="106"/>
      <c r="H175" s="294">
        <v>55.686695098876953</v>
      </c>
      <c r="I175" s="316">
        <v>-2.38</v>
      </c>
      <c r="J175" s="287">
        <v>-1.0783713352680211</v>
      </c>
      <c r="K175" s="737">
        <f t="shared" si="3"/>
        <v>22.29203835063306</v>
      </c>
      <c r="L175" s="735" t="s">
        <v>195</v>
      </c>
      <c r="M175" s="342" t="s">
        <v>16</v>
      </c>
      <c r="N175" s="343" t="s">
        <v>199</v>
      </c>
      <c r="O175" s="100" t="s">
        <v>35</v>
      </c>
      <c r="P175" s="99" t="s">
        <v>58</v>
      </c>
      <c r="Q175" s="348" t="s">
        <v>379</v>
      </c>
      <c r="R175" s="346" t="s">
        <v>379</v>
      </c>
      <c r="S175" s="347"/>
    </row>
    <row r="176" spans="1:19">
      <c r="A176" s="292">
        <v>401</v>
      </c>
      <c r="B176" s="301"/>
      <c r="C176" s="301"/>
      <c r="D176" s="301"/>
      <c r="E176" s="350"/>
      <c r="F176" s="106">
        <v>200.21</v>
      </c>
      <c r="G176" s="106"/>
      <c r="H176" s="294">
        <v>55.701316833496094</v>
      </c>
      <c r="I176" s="316">
        <v>-2.37</v>
      </c>
      <c r="J176" s="287">
        <v>-1.0783713352680211</v>
      </c>
      <c r="K176" s="737">
        <f t="shared" si="3"/>
        <v>22.243304419036544</v>
      </c>
      <c r="L176" s="735" t="s">
        <v>195</v>
      </c>
      <c r="M176" s="342" t="s">
        <v>16</v>
      </c>
      <c r="N176" s="343" t="s">
        <v>199</v>
      </c>
      <c r="O176" s="100" t="s">
        <v>35</v>
      </c>
      <c r="P176" s="99" t="s">
        <v>58</v>
      </c>
      <c r="Q176" s="348" t="s">
        <v>379</v>
      </c>
      <c r="R176" s="346" t="s">
        <v>379</v>
      </c>
      <c r="S176" s="347"/>
    </row>
    <row r="177" spans="1:19">
      <c r="A177" s="292">
        <v>401</v>
      </c>
      <c r="B177" s="301"/>
      <c r="C177" s="301"/>
      <c r="D177" s="301"/>
      <c r="E177" s="350"/>
      <c r="F177" s="106">
        <v>200.31</v>
      </c>
      <c r="G177" s="106"/>
      <c r="H177" s="294">
        <v>55.712562561035156</v>
      </c>
      <c r="I177" s="316">
        <v>-2.54</v>
      </c>
      <c r="J177" s="287">
        <v>-1.0783713352680211</v>
      </c>
      <c r="K177" s="737">
        <f t="shared" si="3"/>
        <v>23.07422925617734</v>
      </c>
      <c r="L177" s="735" t="s">
        <v>195</v>
      </c>
      <c r="M177" s="342" t="s">
        <v>16</v>
      </c>
      <c r="N177" s="343" t="s">
        <v>199</v>
      </c>
      <c r="O177" s="100" t="s">
        <v>35</v>
      </c>
      <c r="P177" s="99" t="s">
        <v>58</v>
      </c>
      <c r="Q177" s="348" t="s">
        <v>379</v>
      </c>
      <c r="R177" s="346" t="s">
        <v>379</v>
      </c>
      <c r="S177" s="347"/>
    </row>
    <row r="178" spans="1:19">
      <c r="A178" s="292">
        <v>401</v>
      </c>
      <c r="B178" s="301"/>
      <c r="C178" s="301"/>
      <c r="D178" s="301"/>
      <c r="E178" s="350"/>
      <c r="F178" s="106">
        <v>200.37</v>
      </c>
      <c r="G178" s="106"/>
      <c r="H178" s="294">
        <v>55.719310760498047</v>
      </c>
      <c r="I178" s="316">
        <v>-1.87</v>
      </c>
      <c r="J178" s="287">
        <v>-1.0783713352680211</v>
      </c>
      <c r="K178" s="737">
        <f t="shared" si="3"/>
        <v>19.829557839210665</v>
      </c>
      <c r="L178" s="735" t="s">
        <v>195</v>
      </c>
      <c r="M178" s="342" t="s">
        <v>16</v>
      </c>
      <c r="N178" s="343" t="s">
        <v>199</v>
      </c>
      <c r="O178" s="100" t="s">
        <v>35</v>
      </c>
      <c r="P178" s="99" t="s">
        <v>58</v>
      </c>
      <c r="Q178" s="348" t="s">
        <v>379</v>
      </c>
      <c r="R178" s="346" t="s">
        <v>379</v>
      </c>
      <c r="S178" s="347"/>
    </row>
    <row r="179" spans="1:19">
      <c r="A179" s="292">
        <v>401</v>
      </c>
      <c r="B179" s="301"/>
      <c r="C179" s="301"/>
      <c r="D179" s="301"/>
      <c r="E179" s="350"/>
      <c r="F179" s="106">
        <v>200.37</v>
      </c>
      <c r="G179" s="106"/>
      <c r="H179" s="294">
        <v>55.719310760498047</v>
      </c>
      <c r="I179" s="316">
        <v>-2.5</v>
      </c>
      <c r="J179" s="287">
        <v>-1.0783713352680211</v>
      </c>
      <c r="K179" s="737">
        <f t="shared" si="3"/>
        <v>22.878249529791269</v>
      </c>
      <c r="L179" s="735" t="s">
        <v>195</v>
      </c>
      <c r="M179" s="342" t="s">
        <v>16</v>
      </c>
      <c r="N179" s="343" t="s">
        <v>199</v>
      </c>
      <c r="O179" s="100" t="s">
        <v>35</v>
      </c>
      <c r="P179" s="99" t="s">
        <v>58</v>
      </c>
      <c r="Q179" s="348" t="s">
        <v>379</v>
      </c>
      <c r="R179" s="346" t="s">
        <v>379</v>
      </c>
      <c r="S179" s="347"/>
    </row>
    <row r="180" spans="1:19">
      <c r="A180" s="292">
        <v>401</v>
      </c>
      <c r="B180" s="301"/>
      <c r="C180" s="301"/>
      <c r="D180" s="301"/>
      <c r="E180" s="350"/>
      <c r="F180" s="106">
        <v>200.4</v>
      </c>
      <c r="G180" s="106"/>
      <c r="H180" s="294">
        <v>55.722682952880859</v>
      </c>
      <c r="I180" s="316">
        <v>-2.83</v>
      </c>
      <c r="J180" s="287">
        <v>-1.0783713352680211</v>
      </c>
      <c r="K180" s="737">
        <f t="shared" si="3"/>
        <v>24.503695272476349</v>
      </c>
      <c r="L180" s="735" t="s">
        <v>195</v>
      </c>
      <c r="M180" s="342" t="s">
        <v>16</v>
      </c>
      <c r="N180" s="343" t="s">
        <v>199</v>
      </c>
      <c r="O180" s="100" t="s">
        <v>35</v>
      </c>
      <c r="P180" s="99" t="s">
        <v>58</v>
      </c>
      <c r="Q180" s="348" t="s">
        <v>379</v>
      </c>
      <c r="R180" s="346" t="s">
        <v>379</v>
      </c>
      <c r="S180" s="347"/>
    </row>
    <row r="181" spans="1:19">
      <c r="A181" s="292">
        <v>401</v>
      </c>
      <c r="B181" s="301"/>
      <c r="C181" s="301"/>
      <c r="D181" s="301"/>
      <c r="E181" s="350"/>
      <c r="F181" s="106">
        <v>200.63</v>
      </c>
      <c r="G181" s="106"/>
      <c r="H181" s="294">
        <v>55.748554229736328</v>
      </c>
      <c r="I181" s="316">
        <v>-2.31</v>
      </c>
      <c r="J181" s="287">
        <v>-1.0783713352680211</v>
      </c>
      <c r="K181" s="737">
        <f t="shared" si="3"/>
        <v>21.951278829457436</v>
      </c>
      <c r="L181" s="735" t="s">
        <v>195</v>
      </c>
      <c r="M181" s="342" t="s">
        <v>16</v>
      </c>
      <c r="N181" s="343" t="s">
        <v>199</v>
      </c>
      <c r="O181" s="100" t="s">
        <v>35</v>
      </c>
      <c r="P181" s="99" t="s">
        <v>58</v>
      </c>
      <c r="Q181" s="348" t="s">
        <v>379</v>
      </c>
      <c r="R181" s="346" t="s">
        <v>379</v>
      </c>
      <c r="S181" s="347"/>
    </row>
    <row r="182" spans="1:19">
      <c r="A182" s="292">
        <v>401</v>
      </c>
      <c r="B182" s="301"/>
      <c r="C182" s="301"/>
      <c r="D182" s="301"/>
      <c r="E182" s="350"/>
      <c r="F182" s="106">
        <v>200.83</v>
      </c>
      <c r="G182" s="106" t="s">
        <v>380</v>
      </c>
      <c r="H182" s="294">
        <v>55.771045684814453</v>
      </c>
      <c r="I182" s="316">
        <v>-2.61</v>
      </c>
      <c r="J182" s="287">
        <v>-1.0783713352680211</v>
      </c>
      <c r="K182" s="737">
        <f t="shared" si="3"/>
        <v>23.417886777352962</v>
      </c>
      <c r="L182" s="735" t="s">
        <v>195</v>
      </c>
      <c r="M182" s="342" t="s">
        <v>16</v>
      </c>
      <c r="N182" s="343" t="s">
        <v>199</v>
      </c>
      <c r="O182" s="100" t="s">
        <v>35</v>
      </c>
      <c r="P182" s="99" t="s">
        <v>58</v>
      </c>
      <c r="Q182" s="348" t="s">
        <v>379</v>
      </c>
      <c r="R182" s="346" t="s">
        <v>379</v>
      </c>
      <c r="S182" s="347"/>
    </row>
    <row r="183" spans="1:19">
      <c r="A183" s="292">
        <v>401</v>
      </c>
      <c r="B183" s="301"/>
      <c r="C183" s="301"/>
      <c r="D183" s="301"/>
      <c r="E183" s="350"/>
      <c r="F183" s="106">
        <v>200.91</v>
      </c>
      <c r="G183" s="106" t="s">
        <v>380</v>
      </c>
      <c r="H183" s="294">
        <v>55.780044555664063</v>
      </c>
      <c r="I183" s="316">
        <v>-2.15</v>
      </c>
      <c r="J183" s="287">
        <v>-1.0783713352680211</v>
      </c>
      <c r="K183" s="737">
        <f t="shared" si="3"/>
        <v>21.175711923913155</v>
      </c>
      <c r="L183" s="735" t="s">
        <v>195</v>
      </c>
      <c r="M183" s="342" t="s">
        <v>16</v>
      </c>
      <c r="N183" s="343" t="s">
        <v>199</v>
      </c>
      <c r="O183" s="100" t="s">
        <v>35</v>
      </c>
      <c r="P183" s="99" t="s">
        <v>58</v>
      </c>
      <c r="Q183" s="348" t="s">
        <v>379</v>
      </c>
      <c r="R183" s="346" t="s">
        <v>379</v>
      </c>
      <c r="S183" s="347"/>
    </row>
    <row r="184" spans="1:19">
      <c r="A184" s="292">
        <v>401</v>
      </c>
      <c r="B184" s="301"/>
      <c r="C184" s="301"/>
      <c r="D184" s="301"/>
      <c r="E184" s="350"/>
      <c r="F184" s="106">
        <v>201</v>
      </c>
      <c r="G184" s="106" t="s">
        <v>59</v>
      </c>
      <c r="H184" s="294">
        <v>55.790168762207031</v>
      </c>
      <c r="I184" s="316">
        <v>-2.46</v>
      </c>
      <c r="J184" s="287">
        <v>-1.0783713352680211</v>
      </c>
      <c r="K184" s="737">
        <f t="shared" si="3"/>
        <v>22.682557803405199</v>
      </c>
      <c r="L184" s="735" t="s">
        <v>195</v>
      </c>
      <c r="M184" s="342" t="s">
        <v>16</v>
      </c>
      <c r="N184" s="343" t="s">
        <v>199</v>
      </c>
      <c r="O184" s="100" t="s">
        <v>35</v>
      </c>
      <c r="P184" s="99" t="s">
        <v>58</v>
      </c>
      <c r="Q184" s="348" t="s">
        <v>379</v>
      </c>
      <c r="R184" s="346" t="s">
        <v>379</v>
      </c>
      <c r="S184" s="347"/>
    </row>
    <row r="185" spans="1:19">
      <c r="A185" s="292">
        <v>401</v>
      </c>
      <c r="B185" s="301"/>
      <c r="C185" s="301"/>
      <c r="D185" s="301"/>
      <c r="E185" s="350"/>
      <c r="F185" s="106">
        <v>201.04</v>
      </c>
      <c r="G185" s="106" t="s">
        <v>59</v>
      </c>
      <c r="H185" s="294">
        <v>55.794666290283203</v>
      </c>
      <c r="I185" s="316">
        <v>-2.02</v>
      </c>
      <c r="J185" s="287">
        <v>-1.0783713352680211</v>
      </c>
      <c r="K185" s="737">
        <f t="shared" si="3"/>
        <v>20.548956813158426</v>
      </c>
      <c r="L185" s="735" t="s">
        <v>195</v>
      </c>
      <c r="M185" s="342" t="s">
        <v>16</v>
      </c>
      <c r="N185" s="343" t="s">
        <v>199</v>
      </c>
      <c r="O185" s="100" t="s">
        <v>35</v>
      </c>
      <c r="P185" s="99" t="s">
        <v>58</v>
      </c>
      <c r="Q185" s="348" t="s">
        <v>379</v>
      </c>
      <c r="R185" s="346" t="s">
        <v>379</v>
      </c>
      <c r="S185" s="347"/>
    </row>
    <row r="186" spans="1:19">
      <c r="A186" s="292">
        <v>401</v>
      </c>
      <c r="B186" s="301"/>
      <c r="C186" s="301"/>
      <c r="D186" s="301"/>
      <c r="E186" s="350"/>
      <c r="F186" s="106">
        <v>201.1</v>
      </c>
      <c r="G186" s="106" t="s">
        <v>59</v>
      </c>
      <c r="H186" s="294">
        <v>55.801414489746094</v>
      </c>
      <c r="I186" s="316">
        <v>-2.2400000000000002</v>
      </c>
      <c r="J186" s="287">
        <v>-1.0783713352680211</v>
      </c>
      <c r="K186" s="737">
        <f t="shared" si="3"/>
        <v>21.611401308281813</v>
      </c>
      <c r="L186" s="735" t="s">
        <v>195</v>
      </c>
      <c r="M186" s="342" t="s">
        <v>16</v>
      </c>
      <c r="N186" s="343" t="s">
        <v>199</v>
      </c>
      <c r="O186" s="100" t="s">
        <v>35</v>
      </c>
      <c r="P186" s="99" t="s">
        <v>58</v>
      </c>
      <c r="Q186" s="348" t="s">
        <v>379</v>
      </c>
      <c r="R186" s="346" t="s">
        <v>379</v>
      </c>
      <c r="S186" s="347"/>
    </row>
    <row r="187" spans="1:19">
      <c r="A187" s="292">
        <v>401</v>
      </c>
      <c r="B187" s="301"/>
      <c r="C187" s="301"/>
      <c r="D187" s="301"/>
      <c r="E187" s="350"/>
      <c r="F187" s="106">
        <v>201.2</v>
      </c>
      <c r="G187" s="106" t="s">
        <v>59</v>
      </c>
      <c r="H187" s="294">
        <v>55.812660217285156</v>
      </c>
      <c r="I187" s="316">
        <v>-2.5299999999999998</v>
      </c>
      <c r="J187" s="287">
        <v>-1.0783713352680211</v>
      </c>
      <c r="K187" s="737">
        <f t="shared" si="3"/>
        <v>23.025207324580819</v>
      </c>
      <c r="L187" s="735" t="s">
        <v>195</v>
      </c>
      <c r="M187" s="342" t="s">
        <v>16</v>
      </c>
      <c r="N187" s="343" t="s">
        <v>199</v>
      </c>
      <c r="O187" s="100" t="s">
        <v>35</v>
      </c>
      <c r="P187" s="99" t="s">
        <v>58</v>
      </c>
      <c r="Q187" s="348" t="s">
        <v>379</v>
      </c>
      <c r="R187" s="346" t="s">
        <v>379</v>
      </c>
      <c r="S187" s="347"/>
    </row>
    <row r="188" spans="1:19">
      <c r="A188" s="292">
        <v>401</v>
      </c>
      <c r="B188" s="301"/>
      <c r="C188" s="301"/>
      <c r="D188" s="301"/>
      <c r="E188" s="350"/>
      <c r="F188" s="106">
        <v>201.29</v>
      </c>
      <c r="G188" s="106" t="s">
        <v>59</v>
      </c>
      <c r="H188" s="294">
        <v>55.822784423828125</v>
      </c>
      <c r="I188" s="316">
        <v>-2.1</v>
      </c>
      <c r="J188" s="287">
        <v>-1.0783713352680211</v>
      </c>
      <c r="K188" s="737">
        <f t="shared" si="3"/>
        <v>20.934292265930569</v>
      </c>
      <c r="L188" s="735" t="s">
        <v>195</v>
      </c>
      <c r="M188" s="342" t="s">
        <v>16</v>
      </c>
      <c r="N188" s="343" t="s">
        <v>199</v>
      </c>
      <c r="O188" s="100" t="s">
        <v>35</v>
      </c>
      <c r="P188" s="99" t="s">
        <v>58</v>
      </c>
      <c r="Q188" s="348" t="s">
        <v>379</v>
      </c>
      <c r="R188" s="346" t="s">
        <v>379</v>
      </c>
      <c r="S188" s="347"/>
    </row>
    <row r="189" spans="1:19">
      <c r="A189" s="292">
        <v>401</v>
      </c>
      <c r="B189" s="301"/>
      <c r="C189" s="301"/>
      <c r="D189" s="301"/>
      <c r="E189" s="350"/>
      <c r="F189" s="106">
        <v>201.4</v>
      </c>
      <c r="G189" s="106" t="s">
        <v>59</v>
      </c>
      <c r="H189" s="294">
        <v>55.835155487060547</v>
      </c>
      <c r="I189" s="316">
        <v>-2.5299999999999998</v>
      </c>
      <c r="J189" s="287">
        <v>-1.0783713352680211</v>
      </c>
      <c r="K189" s="737">
        <f t="shared" si="3"/>
        <v>23.025207324580819</v>
      </c>
      <c r="L189" s="735" t="s">
        <v>195</v>
      </c>
      <c r="M189" s="342" t="s">
        <v>16</v>
      </c>
      <c r="N189" s="343" t="s">
        <v>199</v>
      </c>
      <c r="O189" s="100" t="s">
        <v>35</v>
      </c>
      <c r="P189" s="99" t="s">
        <v>58</v>
      </c>
      <c r="Q189" s="348" t="s">
        <v>379</v>
      </c>
      <c r="R189" s="346" t="s">
        <v>379</v>
      </c>
      <c r="S189" s="347"/>
    </row>
    <row r="190" spans="1:19">
      <c r="A190" s="292">
        <v>401</v>
      </c>
      <c r="B190" s="301"/>
      <c r="C190" s="301"/>
      <c r="D190" s="301"/>
      <c r="E190" s="350"/>
      <c r="F190" s="106">
        <v>201.48</v>
      </c>
      <c r="G190" s="106" t="s">
        <v>59</v>
      </c>
      <c r="H190" s="294">
        <v>55.844154357910156</v>
      </c>
      <c r="I190" s="316">
        <v>-2.5</v>
      </c>
      <c r="J190" s="287">
        <v>-1.0783713352680211</v>
      </c>
      <c r="K190" s="737">
        <f t="shared" si="3"/>
        <v>22.878249529791269</v>
      </c>
      <c r="L190" s="735" t="s">
        <v>195</v>
      </c>
      <c r="M190" s="342" t="s">
        <v>16</v>
      </c>
      <c r="N190" s="343" t="s">
        <v>199</v>
      </c>
      <c r="O190" s="100" t="s">
        <v>35</v>
      </c>
      <c r="P190" s="99" t="s">
        <v>58</v>
      </c>
      <c r="Q190" s="348" t="s">
        <v>379</v>
      </c>
      <c r="R190" s="346" t="s">
        <v>379</v>
      </c>
      <c r="S190" s="347"/>
    </row>
    <row r="191" spans="1:19">
      <c r="A191" s="292">
        <v>401</v>
      </c>
      <c r="B191" s="301"/>
      <c r="C191" s="301"/>
      <c r="D191" s="301"/>
      <c r="E191" s="350"/>
      <c r="F191" s="106">
        <v>201.56</v>
      </c>
      <c r="G191" s="106" t="s">
        <v>59</v>
      </c>
      <c r="H191" s="294">
        <v>55.853153228759766</v>
      </c>
      <c r="I191" s="316">
        <v>-2.23</v>
      </c>
      <c r="J191" s="287">
        <v>-1.0783713352680211</v>
      </c>
      <c r="K191" s="737">
        <f t="shared" si="3"/>
        <v>21.562919376685294</v>
      </c>
      <c r="L191" s="735" t="s">
        <v>195</v>
      </c>
      <c r="M191" s="342" t="s">
        <v>16</v>
      </c>
      <c r="N191" s="343" t="s">
        <v>199</v>
      </c>
      <c r="O191" s="100" t="s">
        <v>35</v>
      </c>
      <c r="P191" s="99" t="s">
        <v>58</v>
      </c>
      <c r="Q191" s="348" t="s">
        <v>379</v>
      </c>
      <c r="R191" s="346" t="s">
        <v>379</v>
      </c>
      <c r="S191" s="347"/>
    </row>
    <row r="192" spans="1:19">
      <c r="A192" s="292">
        <v>401</v>
      </c>
      <c r="B192" s="301"/>
      <c r="C192" s="301"/>
      <c r="D192" s="301"/>
      <c r="E192" s="350"/>
      <c r="F192" s="106">
        <v>201.66</v>
      </c>
      <c r="G192" s="106" t="s">
        <v>59</v>
      </c>
      <c r="H192" s="294">
        <v>55.864398956298828</v>
      </c>
      <c r="I192" s="316">
        <v>-2.6</v>
      </c>
      <c r="J192" s="287">
        <v>-1.0783713352680211</v>
      </c>
      <c r="K192" s="737">
        <f t="shared" si="3"/>
        <v>23.368738845756447</v>
      </c>
      <c r="L192" s="735" t="s">
        <v>195</v>
      </c>
      <c r="M192" s="342" t="s">
        <v>16</v>
      </c>
      <c r="N192" s="343" t="s">
        <v>199</v>
      </c>
      <c r="O192" s="100" t="s">
        <v>35</v>
      </c>
      <c r="P192" s="99" t="s">
        <v>58</v>
      </c>
      <c r="Q192" s="348" t="s">
        <v>379</v>
      </c>
      <c r="R192" s="346" t="s">
        <v>379</v>
      </c>
      <c r="S192" s="347"/>
    </row>
    <row r="193" spans="1:19">
      <c r="A193" s="292">
        <v>401</v>
      </c>
      <c r="B193" s="301"/>
      <c r="C193" s="301"/>
      <c r="D193" s="301"/>
      <c r="E193" s="350"/>
      <c r="F193" s="106">
        <v>201.71</v>
      </c>
      <c r="G193" s="106" t="s">
        <v>59</v>
      </c>
      <c r="H193" s="294">
        <v>55.870021820068359</v>
      </c>
      <c r="I193" s="316">
        <v>-2.2200000000000002</v>
      </c>
      <c r="J193" s="287">
        <v>-1.0783713352680211</v>
      </c>
      <c r="K193" s="737">
        <f t="shared" si="3"/>
        <v>21.514455445088778</v>
      </c>
      <c r="L193" s="735" t="s">
        <v>195</v>
      </c>
      <c r="M193" s="342" t="s">
        <v>16</v>
      </c>
      <c r="N193" s="343" t="s">
        <v>199</v>
      </c>
      <c r="O193" s="100" t="s">
        <v>35</v>
      </c>
      <c r="P193" s="99" t="s">
        <v>58</v>
      </c>
      <c r="Q193" s="348" t="s">
        <v>379</v>
      </c>
      <c r="R193" s="346" t="s">
        <v>379</v>
      </c>
      <c r="S193" s="347"/>
    </row>
    <row r="194" spans="1:19">
      <c r="A194" s="292">
        <v>401</v>
      </c>
      <c r="B194" s="301"/>
      <c r="C194" s="301"/>
      <c r="D194" s="301"/>
      <c r="E194" s="350"/>
      <c r="F194" s="106">
        <v>201.76</v>
      </c>
      <c r="G194" s="106" t="s">
        <v>59</v>
      </c>
      <c r="H194" s="294">
        <v>55.875644683837891</v>
      </c>
      <c r="I194" s="316">
        <v>-2.46</v>
      </c>
      <c r="J194" s="287">
        <v>-1.0783713352680211</v>
      </c>
      <c r="K194" s="737">
        <f t="shared" si="3"/>
        <v>22.682557803405199</v>
      </c>
      <c r="L194" s="735" t="s">
        <v>195</v>
      </c>
      <c r="M194" s="342" t="s">
        <v>16</v>
      </c>
      <c r="N194" s="343" t="s">
        <v>199</v>
      </c>
      <c r="O194" s="100" t="s">
        <v>35</v>
      </c>
      <c r="P194" s="99" t="s">
        <v>58</v>
      </c>
      <c r="Q194" s="348" t="s">
        <v>379</v>
      </c>
      <c r="R194" s="346" t="s">
        <v>379</v>
      </c>
      <c r="S194" s="347"/>
    </row>
    <row r="195" spans="1:19">
      <c r="A195" s="292">
        <v>401</v>
      </c>
      <c r="B195" s="301"/>
      <c r="C195" s="301"/>
      <c r="D195" s="301"/>
      <c r="E195" s="350"/>
      <c r="F195" s="106">
        <v>201.81</v>
      </c>
      <c r="G195" s="106" t="s">
        <v>59</v>
      </c>
      <c r="H195" s="294">
        <v>55.881271362304688</v>
      </c>
      <c r="I195" s="316">
        <v>-2.71</v>
      </c>
      <c r="J195" s="287">
        <v>-1.0783713352680211</v>
      </c>
      <c r="K195" s="737">
        <f t="shared" si="3"/>
        <v>23.910356093318139</v>
      </c>
      <c r="L195" s="735" t="s">
        <v>195</v>
      </c>
      <c r="M195" s="342" t="s">
        <v>16</v>
      </c>
      <c r="N195" s="343" t="s">
        <v>199</v>
      </c>
      <c r="O195" s="100" t="s">
        <v>35</v>
      </c>
      <c r="P195" s="99" t="s">
        <v>58</v>
      </c>
      <c r="Q195" s="348" t="s">
        <v>379</v>
      </c>
      <c r="R195" s="346" t="s">
        <v>379</v>
      </c>
      <c r="S195" s="347"/>
    </row>
    <row r="196" spans="1:19">
      <c r="A196" s="292">
        <v>401</v>
      </c>
      <c r="B196" s="301"/>
      <c r="C196" s="301"/>
      <c r="D196" s="301"/>
      <c r="E196" s="350"/>
      <c r="F196" s="106">
        <v>201.85</v>
      </c>
      <c r="G196" s="106" t="s">
        <v>59</v>
      </c>
      <c r="H196" s="294">
        <v>55.885768890380859</v>
      </c>
      <c r="I196" s="316">
        <v>-2.33</v>
      </c>
      <c r="J196" s="287">
        <v>-1.0783713352680211</v>
      </c>
      <c r="K196" s="737">
        <f t="shared" si="3"/>
        <v>22.048548692650474</v>
      </c>
      <c r="L196" s="735" t="s">
        <v>195</v>
      </c>
      <c r="M196" s="342" t="s">
        <v>16</v>
      </c>
      <c r="N196" s="343" t="s">
        <v>199</v>
      </c>
      <c r="O196" s="100" t="s">
        <v>35</v>
      </c>
      <c r="P196" s="99" t="s">
        <v>58</v>
      </c>
      <c r="Q196" s="348" t="s">
        <v>379</v>
      </c>
      <c r="R196" s="346" t="s">
        <v>379</v>
      </c>
      <c r="S196" s="347"/>
    </row>
    <row r="197" spans="1:19">
      <c r="A197" s="292">
        <v>401</v>
      </c>
      <c r="B197" s="301"/>
      <c r="C197" s="301"/>
      <c r="D197" s="301"/>
      <c r="E197" s="350"/>
      <c r="F197" s="106">
        <v>201.87</v>
      </c>
      <c r="G197" s="106" t="s">
        <v>20</v>
      </c>
      <c r="H197" s="294">
        <v>55.888019561767578</v>
      </c>
      <c r="I197" s="316">
        <v>-2.4700000000000002</v>
      </c>
      <c r="J197" s="287">
        <v>-1.0783713352680211</v>
      </c>
      <c r="K197" s="739">
        <f t="shared" si="3"/>
        <v>22.731453735001718</v>
      </c>
      <c r="L197" s="735" t="s">
        <v>195</v>
      </c>
      <c r="M197" s="342" t="s">
        <v>16</v>
      </c>
      <c r="N197" s="343" t="s">
        <v>199</v>
      </c>
      <c r="O197" s="100" t="s">
        <v>35</v>
      </c>
      <c r="P197" s="99" t="s">
        <v>58</v>
      </c>
      <c r="Q197" s="348" t="s">
        <v>379</v>
      </c>
      <c r="R197" s="346" t="s">
        <v>379</v>
      </c>
      <c r="S197" s="347"/>
    </row>
    <row r="198" spans="1:19">
      <c r="A198" s="292">
        <v>401</v>
      </c>
      <c r="B198" s="301"/>
      <c r="C198" s="301"/>
      <c r="D198" s="301"/>
      <c r="E198" s="350"/>
      <c r="F198" s="106">
        <v>201.92</v>
      </c>
      <c r="G198" s="106" t="s">
        <v>20</v>
      </c>
      <c r="H198" s="294">
        <v>55.893642425537109</v>
      </c>
      <c r="I198" s="316">
        <v>-2.38</v>
      </c>
      <c r="J198" s="287">
        <v>-1.0783713352680211</v>
      </c>
      <c r="K198" s="739">
        <f t="shared" si="3"/>
        <v>22.29203835063306</v>
      </c>
      <c r="L198" s="735" t="s">
        <v>195</v>
      </c>
      <c r="M198" s="342" t="s">
        <v>16</v>
      </c>
      <c r="N198" s="343" t="s">
        <v>199</v>
      </c>
      <c r="O198" s="100" t="s">
        <v>35</v>
      </c>
      <c r="P198" s="99" t="s">
        <v>58</v>
      </c>
      <c r="Q198" s="348" t="s">
        <v>379</v>
      </c>
      <c r="R198" s="346" t="s">
        <v>379</v>
      </c>
      <c r="S198" s="347"/>
    </row>
    <row r="199" spans="1:19">
      <c r="A199" s="292">
        <v>401</v>
      </c>
      <c r="B199" s="301"/>
      <c r="C199" s="301"/>
      <c r="D199" s="301"/>
      <c r="E199" s="350"/>
      <c r="F199" s="106">
        <v>202.02</v>
      </c>
      <c r="G199" s="106" t="s">
        <v>20</v>
      </c>
      <c r="H199" s="294">
        <v>55.904888153076172</v>
      </c>
      <c r="I199" s="316">
        <v>-2.4300000000000002</v>
      </c>
      <c r="J199" s="287">
        <v>-1.0783713352680211</v>
      </c>
      <c r="K199" s="739">
        <f t="shared" si="3"/>
        <v>22.535978008615647</v>
      </c>
      <c r="L199" s="735" t="s">
        <v>195</v>
      </c>
      <c r="M199" s="342" t="s">
        <v>16</v>
      </c>
      <c r="N199" s="343" t="s">
        <v>199</v>
      </c>
      <c r="O199" s="100" t="s">
        <v>35</v>
      </c>
      <c r="P199" s="99" t="s">
        <v>58</v>
      </c>
      <c r="Q199" s="348" t="s">
        <v>379</v>
      </c>
      <c r="R199" s="346" t="s">
        <v>379</v>
      </c>
      <c r="S199" s="347"/>
    </row>
    <row r="200" spans="1:19">
      <c r="A200" s="292">
        <v>401</v>
      </c>
      <c r="B200" s="301"/>
      <c r="C200" s="301"/>
      <c r="D200" s="301"/>
      <c r="E200" s="350"/>
      <c r="F200" s="106">
        <v>202.08</v>
      </c>
      <c r="G200" s="106" t="s">
        <v>20</v>
      </c>
      <c r="H200" s="294">
        <v>55.911636352539063</v>
      </c>
      <c r="I200" s="316">
        <v>-2.54</v>
      </c>
      <c r="J200" s="287">
        <v>-1.0783713352680211</v>
      </c>
      <c r="K200" s="739">
        <f t="shared" si="3"/>
        <v>23.07422925617734</v>
      </c>
      <c r="L200" s="735" t="s">
        <v>195</v>
      </c>
      <c r="M200" s="342" t="s">
        <v>16</v>
      </c>
      <c r="N200" s="343" t="s">
        <v>199</v>
      </c>
      <c r="O200" s="100" t="s">
        <v>35</v>
      </c>
      <c r="P200" s="99" t="s">
        <v>58</v>
      </c>
      <c r="Q200" s="348" t="s">
        <v>379</v>
      </c>
      <c r="R200" s="346" t="s">
        <v>379</v>
      </c>
      <c r="S200" s="347"/>
    </row>
    <row r="201" spans="1:19">
      <c r="A201" s="292">
        <v>401</v>
      </c>
      <c r="B201" s="301"/>
      <c r="C201" s="301"/>
      <c r="D201" s="301"/>
      <c r="E201" s="350"/>
      <c r="F201" s="106">
        <v>202.13</v>
      </c>
      <c r="G201" s="106" t="s">
        <v>20</v>
      </c>
      <c r="H201" s="294">
        <v>55.917263031005859</v>
      </c>
      <c r="I201" s="316">
        <v>-2.74</v>
      </c>
      <c r="J201" s="287">
        <v>-1.0783713352680211</v>
      </c>
      <c r="K201" s="739">
        <f t="shared" si="3"/>
        <v>24.058447888107693</v>
      </c>
      <c r="L201" s="735" t="s">
        <v>195</v>
      </c>
      <c r="M201" s="342" t="s">
        <v>16</v>
      </c>
      <c r="N201" s="343" t="s">
        <v>199</v>
      </c>
      <c r="O201" s="100" t="s">
        <v>35</v>
      </c>
      <c r="P201" s="99" t="s">
        <v>58</v>
      </c>
      <c r="Q201" s="348" t="s">
        <v>379</v>
      </c>
      <c r="R201" s="346" t="s">
        <v>379</v>
      </c>
      <c r="S201" s="347"/>
    </row>
    <row r="202" spans="1:19">
      <c r="A202" s="292">
        <v>401</v>
      </c>
      <c r="B202" s="301"/>
      <c r="C202" s="301"/>
      <c r="D202" s="301"/>
      <c r="E202" s="350"/>
      <c r="F202" s="106">
        <v>202.18</v>
      </c>
      <c r="G202" s="106" t="s">
        <v>20</v>
      </c>
      <c r="H202" s="294">
        <v>55.922882080078125</v>
      </c>
      <c r="I202" s="316">
        <v>-2.35</v>
      </c>
      <c r="J202" s="287">
        <v>-1.0783713352680211</v>
      </c>
      <c r="K202" s="739">
        <f t="shared" si="3"/>
        <v>22.145890555843508</v>
      </c>
      <c r="L202" s="735" t="s">
        <v>195</v>
      </c>
      <c r="M202" s="342" t="s">
        <v>16</v>
      </c>
      <c r="N202" s="343" t="s">
        <v>199</v>
      </c>
      <c r="O202" s="100" t="s">
        <v>35</v>
      </c>
      <c r="P202" s="99" t="s">
        <v>58</v>
      </c>
      <c r="Q202" s="348" t="s">
        <v>379</v>
      </c>
      <c r="R202" s="346" t="s">
        <v>379</v>
      </c>
      <c r="S202" s="347"/>
    </row>
    <row r="203" spans="1:19">
      <c r="A203" s="292">
        <v>401</v>
      </c>
      <c r="B203" s="301"/>
      <c r="C203" s="301"/>
      <c r="D203" s="301"/>
      <c r="E203" s="350"/>
      <c r="F203" s="106">
        <v>202.24</v>
      </c>
      <c r="G203" s="106" t="s">
        <v>20</v>
      </c>
      <c r="H203" s="294">
        <v>55.929634094238281</v>
      </c>
      <c r="I203" s="316">
        <v>-2.71</v>
      </c>
      <c r="J203" s="287">
        <v>-1.0783713352680211</v>
      </c>
      <c r="K203" s="739">
        <f t="shared" si="3"/>
        <v>23.910356093318139</v>
      </c>
      <c r="L203" s="735" t="s">
        <v>195</v>
      </c>
      <c r="M203" s="342" t="s">
        <v>16</v>
      </c>
      <c r="N203" s="343" t="s">
        <v>199</v>
      </c>
      <c r="O203" s="100" t="s">
        <v>35</v>
      </c>
      <c r="P203" s="99" t="s">
        <v>58</v>
      </c>
      <c r="Q203" s="348" t="s">
        <v>379</v>
      </c>
      <c r="R203" s="346" t="s">
        <v>379</v>
      </c>
      <c r="S203" s="347"/>
    </row>
    <row r="204" spans="1:19">
      <c r="A204" s="292">
        <v>401</v>
      </c>
      <c r="B204" s="301"/>
      <c r="C204" s="301"/>
      <c r="D204" s="301"/>
      <c r="E204" s="350"/>
      <c r="F204" s="106">
        <v>202.29</v>
      </c>
      <c r="G204" s="106" t="s">
        <v>20</v>
      </c>
      <c r="H204" s="294">
        <v>55.935256958007813</v>
      </c>
      <c r="I204" s="316">
        <v>-2.61</v>
      </c>
      <c r="J204" s="287">
        <v>-1.0783713352680211</v>
      </c>
      <c r="K204" s="739">
        <f t="shared" si="3"/>
        <v>23.417886777352962</v>
      </c>
      <c r="L204" s="735" t="s">
        <v>195</v>
      </c>
      <c r="M204" s="342" t="s">
        <v>16</v>
      </c>
      <c r="N204" s="343" t="s">
        <v>199</v>
      </c>
      <c r="O204" s="100" t="s">
        <v>35</v>
      </c>
      <c r="P204" s="99" t="s">
        <v>58</v>
      </c>
      <c r="Q204" s="348" t="s">
        <v>379</v>
      </c>
      <c r="R204" s="346" t="s">
        <v>379</v>
      </c>
      <c r="S204" s="347"/>
    </row>
    <row r="205" spans="1:19">
      <c r="A205" s="292">
        <v>401</v>
      </c>
      <c r="B205" s="301"/>
      <c r="C205" s="301"/>
      <c r="D205" s="301"/>
      <c r="E205" s="350"/>
      <c r="F205" s="106">
        <v>202.29</v>
      </c>
      <c r="G205" s="106" t="s">
        <v>20</v>
      </c>
      <c r="H205" s="294">
        <v>55.935256958007813</v>
      </c>
      <c r="I205" s="316">
        <v>-2.52</v>
      </c>
      <c r="J205" s="287">
        <v>-1.0783713352680211</v>
      </c>
      <c r="K205" s="739">
        <f t="shared" si="3"/>
        <v>22.976203392984306</v>
      </c>
      <c r="L205" s="735" t="s">
        <v>195</v>
      </c>
      <c r="M205" s="342" t="s">
        <v>16</v>
      </c>
      <c r="N205" s="343" t="s">
        <v>199</v>
      </c>
      <c r="O205" s="100" t="s">
        <v>35</v>
      </c>
      <c r="P205" s="99" t="s">
        <v>58</v>
      </c>
      <c r="Q205" s="348" t="s">
        <v>379</v>
      </c>
      <c r="R205" s="346" t="s">
        <v>379</v>
      </c>
      <c r="S205" s="347"/>
    </row>
    <row r="206" spans="1:19">
      <c r="A206" s="292">
        <v>401</v>
      </c>
      <c r="B206" s="301"/>
      <c r="C206" s="301"/>
      <c r="D206" s="301"/>
      <c r="E206" s="350"/>
      <c r="F206" s="106">
        <v>202.34</v>
      </c>
      <c r="G206" s="106" t="s">
        <v>20</v>
      </c>
      <c r="H206" s="294">
        <v>55.940879821777344</v>
      </c>
      <c r="I206" s="316">
        <v>-2.74</v>
      </c>
      <c r="J206" s="287">
        <v>-1.0783713352680211</v>
      </c>
      <c r="K206" s="739">
        <f t="shared" si="3"/>
        <v>24.058447888107693</v>
      </c>
      <c r="L206" s="735" t="s">
        <v>195</v>
      </c>
      <c r="M206" s="342" t="s">
        <v>16</v>
      </c>
      <c r="N206" s="343" t="s">
        <v>199</v>
      </c>
      <c r="O206" s="100" t="s">
        <v>35</v>
      </c>
      <c r="P206" s="99" t="s">
        <v>58</v>
      </c>
      <c r="Q206" s="348" t="s">
        <v>379</v>
      </c>
      <c r="R206" s="346" t="s">
        <v>379</v>
      </c>
      <c r="S206" s="347"/>
    </row>
    <row r="207" spans="1:19">
      <c r="A207" s="292">
        <v>401</v>
      </c>
      <c r="B207" s="301"/>
      <c r="C207" s="301"/>
      <c r="D207" s="301"/>
      <c r="E207" s="350"/>
      <c r="F207" s="106">
        <v>202.4</v>
      </c>
      <c r="G207" s="106" t="s">
        <v>20</v>
      </c>
      <c r="H207" s="294">
        <v>55.947628021240234</v>
      </c>
      <c r="I207" s="316">
        <v>-2.5299999999999998</v>
      </c>
      <c r="J207" s="287">
        <v>-1.0783713352680211</v>
      </c>
      <c r="K207" s="739">
        <f t="shared" si="3"/>
        <v>23.025207324580819</v>
      </c>
      <c r="L207" s="735" t="s">
        <v>195</v>
      </c>
      <c r="M207" s="342" t="s">
        <v>16</v>
      </c>
      <c r="N207" s="343" t="s">
        <v>199</v>
      </c>
      <c r="O207" s="100" t="s">
        <v>35</v>
      </c>
      <c r="P207" s="99" t="s">
        <v>58</v>
      </c>
      <c r="Q207" s="348" t="s">
        <v>379</v>
      </c>
      <c r="R207" s="346" t="s">
        <v>379</v>
      </c>
      <c r="S207" s="347"/>
    </row>
    <row r="208" spans="1:19">
      <c r="A208" s="292">
        <v>401</v>
      </c>
      <c r="B208" s="301"/>
      <c r="C208" s="301"/>
      <c r="D208" s="301"/>
      <c r="E208" s="350"/>
      <c r="F208" s="106">
        <v>202.46</v>
      </c>
      <c r="G208" s="106" t="s">
        <v>20</v>
      </c>
      <c r="H208" s="294">
        <v>55.954376220703125</v>
      </c>
      <c r="I208" s="316">
        <v>-2.0299999999999998</v>
      </c>
      <c r="J208" s="287">
        <v>-1.0783713352680211</v>
      </c>
      <c r="K208" s="739">
        <f t="shared" si="3"/>
        <v>20.597060744754941</v>
      </c>
      <c r="L208" s="735" t="s">
        <v>195</v>
      </c>
      <c r="M208" s="342" t="s">
        <v>16</v>
      </c>
      <c r="N208" s="343" t="s">
        <v>199</v>
      </c>
      <c r="O208" s="100" t="s">
        <v>35</v>
      </c>
      <c r="P208" s="99" t="s">
        <v>58</v>
      </c>
      <c r="Q208" s="348" t="s">
        <v>379</v>
      </c>
      <c r="R208" s="346" t="s">
        <v>379</v>
      </c>
      <c r="S208" s="347"/>
    </row>
    <row r="209" spans="1:19">
      <c r="A209" s="292">
        <v>401</v>
      </c>
      <c r="B209" s="301"/>
      <c r="C209" s="301"/>
      <c r="D209" s="301"/>
      <c r="E209" s="350"/>
      <c r="F209" s="106">
        <v>202.48</v>
      </c>
      <c r="G209" s="106" t="s">
        <v>20</v>
      </c>
      <c r="H209" s="294">
        <v>55.956626892089844</v>
      </c>
      <c r="I209" s="316">
        <v>-2.4700000000000002</v>
      </c>
      <c r="J209" s="287">
        <v>-1.0783713352680211</v>
      </c>
      <c r="K209" s="739">
        <f t="shared" si="3"/>
        <v>22.731453735001718</v>
      </c>
      <c r="L209" s="735" t="s">
        <v>195</v>
      </c>
      <c r="M209" s="342" t="s">
        <v>16</v>
      </c>
      <c r="N209" s="343" t="s">
        <v>199</v>
      </c>
      <c r="O209" s="100" t="s">
        <v>35</v>
      </c>
      <c r="P209" s="99" t="s">
        <v>58</v>
      </c>
      <c r="Q209" s="348" t="s">
        <v>379</v>
      </c>
      <c r="R209" s="346" t="s">
        <v>379</v>
      </c>
      <c r="S209" s="347"/>
    </row>
    <row r="210" spans="1:19">
      <c r="A210" s="292">
        <v>401</v>
      </c>
      <c r="B210" s="301"/>
      <c r="C210" s="301"/>
      <c r="D210" s="301"/>
      <c r="E210" s="350"/>
      <c r="F210" s="106">
        <v>202.48</v>
      </c>
      <c r="G210" s="106" t="s">
        <v>20</v>
      </c>
      <c r="H210" s="294">
        <v>55.956626892089844</v>
      </c>
      <c r="I210" s="316">
        <v>-2.42</v>
      </c>
      <c r="J210" s="287">
        <v>-1.0783713352680211</v>
      </c>
      <c r="K210" s="739">
        <f t="shared" si="3"/>
        <v>22.487154077019131</v>
      </c>
      <c r="L210" s="735" t="s">
        <v>195</v>
      </c>
      <c r="M210" s="342" t="s">
        <v>16</v>
      </c>
      <c r="N210" s="343" t="s">
        <v>199</v>
      </c>
      <c r="O210" s="100" t="s">
        <v>35</v>
      </c>
      <c r="P210" s="99" t="s">
        <v>58</v>
      </c>
      <c r="Q210" s="348" t="s">
        <v>379</v>
      </c>
      <c r="R210" s="346" t="s">
        <v>379</v>
      </c>
      <c r="S210" s="347"/>
    </row>
    <row r="211" spans="1:19">
      <c r="A211" s="292">
        <v>401</v>
      </c>
      <c r="B211" s="301"/>
      <c r="C211" s="301"/>
      <c r="D211" s="301"/>
      <c r="E211" s="350"/>
      <c r="F211" s="106">
        <v>202.51</v>
      </c>
      <c r="G211" s="106"/>
      <c r="H211" s="294">
        <v>55.959999084472656</v>
      </c>
      <c r="I211" s="316">
        <v>-2.5499999999999998</v>
      </c>
      <c r="J211" s="287">
        <v>-1.0783713352680211</v>
      </c>
      <c r="K211" s="737">
        <f t="shared" si="3"/>
        <v>23.123269187773857</v>
      </c>
      <c r="L211" s="735" t="s">
        <v>195</v>
      </c>
      <c r="M211" s="342" t="s">
        <v>16</v>
      </c>
      <c r="N211" s="343" t="s">
        <v>199</v>
      </c>
      <c r="O211" s="100" t="s">
        <v>35</v>
      </c>
      <c r="P211" s="99" t="s">
        <v>58</v>
      </c>
      <c r="Q211" s="348" t="s">
        <v>379</v>
      </c>
      <c r="R211" s="346" t="s">
        <v>379</v>
      </c>
      <c r="S211" s="347"/>
    </row>
    <row r="212" spans="1:19">
      <c r="A212" s="292">
        <v>401</v>
      </c>
      <c r="B212" s="301"/>
      <c r="C212" s="301"/>
      <c r="D212" s="301"/>
      <c r="E212" s="350"/>
      <c r="F212" s="106">
        <v>202.51</v>
      </c>
      <c r="G212" s="106"/>
      <c r="H212" s="294">
        <v>55.959999084472656</v>
      </c>
      <c r="I212" s="316">
        <v>-2.1</v>
      </c>
      <c r="J212" s="287">
        <v>-1.0783713352680211</v>
      </c>
      <c r="K212" s="737">
        <f t="shared" si="3"/>
        <v>20.934292265930569</v>
      </c>
      <c r="L212" s="735" t="s">
        <v>195</v>
      </c>
      <c r="M212" s="342" t="s">
        <v>16</v>
      </c>
      <c r="N212" s="343" t="s">
        <v>199</v>
      </c>
      <c r="O212" s="100" t="s">
        <v>35</v>
      </c>
      <c r="P212" s="99" t="s">
        <v>58</v>
      </c>
      <c r="Q212" s="348" t="s">
        <v>379</v>
      </c>
      <c r="R212" s="346" t="s">
        <v>379</v>
      </c>
      <c r="S212" s="347"/>
    </row>
    <row r="213" spans="1:19">
      <c r="A213" s="292">
        <v>401</v>
      </c>
      <c r="B213" s="301"/>
      <c r="C213" s="301"/>
      <c r="D213" s="301"/>
      <c r="E213" s="350"/>
      <c r="F213" s="106">
        <v>202.53</v>
      </c>
      <c r="G213" s="106"/>
      <c r="H213" s="294">
        <v>55.963264465332031</v>
      </c>
      <c r="I213" s="316">
        <v>-1.85</v>
      </c>
      <c r="J213" s="287">
        <v>-1.0783713352680211</v>
      </c>
      <c r="K213" s="737">
        <f t="shared" si="3"/>
        <v>19.733943976017631</v>
      </c>
      <c r="L213" s="735" t="s">
        <v>195</v>
      </c>
      <c r="M213" s="342" t="s">
        <v>16</v>
      </c>
      <c r="N213" s="343" t="s">
        <v>199</v>
      </c>
      <c r="O213" s="100" t="s">
        <v>35</v>
      </c>
      <c r="P213" s="99" t="s">
        <v>58</v>
      </c>
      <c r="Q213" s="348" t="s">
        <v>379</v>
      </c>
      <c r="R213" s="346" t="s">
        <v>379</v>
      </c>
      <c r="S213" s="347"/>
    </row>
    <row r="214" spans="1:19">
      <c r="A214" s="292">
        <v>401</v>
      </c>
      <c r="B214" s="301"/>
      <c r="C214" s="301"/>
      <c r="D214" s="301"/>
      <c r="E214" s="350"/>
      <c r="F214" s="106">
        <v>202.54</v>
      </c>
      <c r="G214" s="106"/>
      <c r="H214" s="294">
        <v>55.964893341064453</v>
      </c>
      <c r="I214" s="316">
        <v>-1.83</v>
      </c>
      <c r="J214" s="287">
        <v>-1.0783713352680211</v>
      </c>
      <c r="K214" s="737">
        <f t="shared" si="3"/>
        <v>19.638402112824593</v>
      </c>
      <c r="L214" s="735" t="s">
        <v>195</v>
      </c>
      <c r="M214" s="342" t="s">
        <v>16</v>
      </c>
      <c r="N214" s="343" t="s">
        <v>199</v>
      </c>
      <c r="O214" s="100" t="s">
        <v>35</v>
      </c>
      <c r="P214" s="99" t="s">
        <v>58</v>
      </c>
      <c r="Q214" s="348" t="s">
        <v>379</v>
      </c>
      <c r="R214" s="346" t="s">
        <v>379</v>
      </c>
      <c r="S214" s="347"/>
    </row>
    <row r="215" spans="1:19">
      <c r="A215" s="292">
        <v>401</v>
      </c>
      <c r="B215" s="301"/>
      <c r="C215" s="301"/>
      <c r="D215" s="301"/>
      <c r="E215" s="350"/>
      <c r="F215" s="106">
        <v>202.58</v>
      </c>
      <c r="G215" s="106"/>
      <c r="H215" s="294">
        <v>55.971424102783203</v>
      </c>
      <c r="I215" s="316">
        <v>-2.17</v>
      </c>
      <c r="J215" s="287">
        <v>-1.0783713352680211</v>
      </c>
      <c r="K215" s="737">
        <f t="shared" si="3"/>
        <v>21.272405787106187</v>
      </c>
      <c r="L215" s="735" t="s">
        <v>195</v>
      </c>
      <c r="M215" s="342" t="s">
        <v>16</v>
      </c>
      <c r="N215" s="343" t="s">
        <v>199</v>
      </c>
      <c r="O215" s="100" t="s">
        <v>35</v>
      </c>
      <c r="P215" s="99" t="s">
        <v>58</v>
      </c>
      <c r="Q215" s="348" t="s">
        <v>379</v>
      </c>
      <c r="R215" s="346" t="s">
        <v>379</v>
      </c>
      <c r="S215" s="347"/>
    </row>
    <row r="216" spans="1:19">
      <c r="A216" s="292">
        <v>401</v>
      </c>
      <c r="B216" s="301"/>
      <c r="C216" s="301"/>
      <c r="D216" s="301"/>
      <c r="E216" s="350"/>
      <c r="F216" s="106">
        <v>202.62</v>
      </c>
      <c r="G216" s="106"/>
      <c r="H216" s="294">
        <v>55.977951049804688</v>
      </c>
      <c r="I216" s="316">
        <v>-1.95</v>
      </c>
      <c r="J216" s="287">
        <v>-1.0783713352680211</v>
      </c>
      <c r="K216" s="737">
        <f t="shared" si="3"/>
        <v>20.212733291982804</v>
      </c>
      <c r="L216" s="735" t="s">
        <v>195</v>
      </c>
      <c r="M216" s="342" t="s">
        <v>16</v>
      </c>
      <c r="N216" s="343" t="s">
        <v>199</v>
      </c>
      <c r="O216" s="100" t="s">
        <v>35</v>
      </c>
      <c r="P216" s="99" t="s">
        <v>58</v>
      </c>
      <c r="Q216" s="348" t="s">
        <v>379</v>
      </c>
      <c r="R216" s="346" t="s">
        <v>379</v>
      </c>
      <c r="S216" s="347"/>
    </row>
    <row r="217" spans="1:19">
      <c r="A217" s="292">
        <v>401</v>
      </c>
      <c r="B217" s="301"/>
      <c r="C217" s="301"/>
      <c r="D217" s="301"/>
      <c r="E217" s="350"/>
      <c r="F217" s="106">
        <v>202.67</v>
      </c>
      <c r="G217" s="106"/>
      <c r="H217" s="294">
        <v>55.986110687255859</v>
      </c>
      <c r="I217" s="316">
        <v>-1.74</v>
      </c>
      <c r="J217" s="287">
        <v>-1.0783713352680211</v>
      </c>
      <c r="K217" s="737">
        <f t="shared" si="3"/>
        <v>19.209354728455935</v>
      </c>
      <c r="L217" s="735" t="s">
        <v>195</v>
      </c>
      <c r="M217" s="342" t="s">
        <v>16</v>
      </c>
      <c r="N217" s="343" t="s">
        <v>199</v>
      </c>
      <c r="O217" s="100" t="s">
        <v>35</v>
      </c>
      <c r="P217" s="99" t="s">
        <v>58</v>
      </c>
      <c r="Q217" s="348" t="s">
        <v>379</v>
      </c>
      <c r="R217" s="346" t="s">
        <v>379</v>
      </c>
      <c r="S217" s="347"/>
    </row>
    <row r="218" spans="1:19">
      <c r="A218" s="292">
        <v>401</v>
      </c>
      <c r="B218" s="301"/>
      <c r="C218" s="301"/>
      <c r="D218" s="301"/>
      <c r="E218" s="350"/>
      <c r="F218" s="106">
        <v>202.72</v>
      </c>
      <c r="G218" s="106"/>
      <c r="H218" s="294">
        <v>55.994270324707031</v>
      </c>
      <c r="I218" s="316">
        <v>-1.84</v>
      </c>
      <c r="J218" s="287">
        <v>-1.0783713352680211</v>
      </c>
      <c r="K218" s="737">
        <f t="shared" ref="K218:K247" si="4">16.1-4.64*($I218-J218)+0.09*($I218-J218)^2</f>
        <v>19.686164044421108</v>
      </c>
      <c r="L218" s="735" t="s">
        <v>195</v>
      </c>
      <c r="M218" s="342" t="s">
        <v>16</v>
      </c>
      <c r="N218" s="343" t="s">
        <v>199</v>
      </c>
      <c r="O218" s="100" t="s">
        <v>35</v>
      </c>
      <c r="P218" s="99" t="s">
        <v>58</v>
      </c>
      <c r="Q218" s="348" t="s">
        <v>379</v>
      </c>
      <c r="R218" s="346" t="s">
        <v>379</v>
      </c>
      <c r="S218" s="347"/>
    </row>
    <row r="219" spans="1:19">
      <c r="A219" s="292">
        <v>401</v>
      </c>
      <c r="B219" s="301"/>
      <c r="C219" s="301"/>
      <c r="D219" s="301"/>
      <c r="E219" s="350"/>
      <c r="F219" s="106">
        <v>202.83</v>
      </c>
      <c r="G219" s="107"/>
      <c r="H219" s="294">
        <v>56.012218475341797</v>
      </c>
      <c r="I219" s="316">
        <v>-1.82</v>
      </c>
      <c r="J219" s="287">
        <v>-1.0783713352680211</v>
      </c>
      <c r="K219" s="737">
        <f t="shared" si="4"/>
        <v>19.590658181228079</v>
      </c>
      <c r="L219" s="735" t="s">
        <v>195</v>
      </c>
      <c r="M219" s="342" t="s">
        <v>16</v>
      </c>
      <c r="N219" s="343" t="s">
        <v>199</v>
      </c>
      <c r="O219" s="100" t="s">
        <v>35</v>
      </c>
      <c r="P219" s="99" t="s">
        <v>58</v>
      </c>
      <c r="Q219" s="348" t="s">
        <v>379</v>
      </c>
      <c r="R219" s="346" t="s">
        <v>379</v>
      </c>
      <c r="S219" s="128"/>
    </row>
    <row r="220" spans="1:19">
      <c r="A220" s="292">
        <v>401</v>
      </c>
      <c r="B220" s="301"/>
      <c r="C220" s="301"/>
      <c r="D220" s="301"/>
      <c r="E220" s="350"/>
      <c r="F220" s="106">
        <v>202.88</v>
      </c>
      <c r="G220" s="107"/>
      <c r="H220" s="294">
        <v>56.020378112792969</v>
      </c>
      <c r="I220" s="316">
        <v>-1.89</v>
      </c>
      <c r="J220" s="287">
        <v>-1.0783713352680211</v>
      </c>
      <c r="K220" s="737">
        <f t="shared" si="4"/>
        <v>19.925243702403698</v>
      </c>
      <c r="L220" s="735" t="s">
        <v>195</v>
      </c>
      <c r="M220" s="342" t="s">
        <v>16</v>
      </c>
      <c r="N220" s="343" t="s">
        <v>199</v>
      </c>
      <c r="O220" s="100" t="s">
        <v>35</v>
      </c>
      <c r="P220" s="99" t="s">
        <v>58</v>
      </c>
      <c r="Q220" s="348" t="s">
        <v>379</v>
      </c>
      <c r="R220" s="346" t="s">
        <v>379</v>
      </c>
      <c r="S220" s="128"/>
    </row>
    <row r="221" spans="1:19">
      <c r="A221" s="292">
        <v>401</v>
      </c>
      <c r="B221" s="301"/>
      <c r="C221" s="301"/>
      <c r="D221" s="301"/>
      <c r="E221" s="350"/>
      <c r="F221" s="106">
        <v>202.93</v>
      </c>
      <c r="G221" s="107"/>
      <c r="H221" s="294">
        <v>56.028537750244141</v>
      </c>
      <c r="I221" s="316">
        <v>-2.0099999999999998</v>
      </c>
      <c r="J221" s="287">
        <v>-1.0783713352680211</v>
      </c>
      <c r="K221" s="737">
        <f t="shared" si="4"/>
        <v>20.500870881561909</v>
      </c>
      <c r="L221" s="735" t="s">
        <v>195</v>
      </c>
      <c r="M221" s="342" t="s">
        <v>16</v>
      </c>
      <c r="N221" s="343" t="s">
        <v>199</v>
      </c>
      <c r="O221" s="100" t="s">
        <v>35</v>
      </c>
      <c r="P221" s="99" t="s">
        <v>58</v>
      </c>
      <c r="Q221" s="348" t="s">
        <v>379</v>
      </c>
      <c r="R221" s="346" t="s">
        <v>379</v>
      </c>
      <c r="S221" s="128"/>
    </row>
    <row r="222" spans="1:19">
      <c r="A222" s="292">
        <v>401</v>
      </c>
      <c r="B222" s="301"/>
      <c r="C222" s="301"/>
      <c r="D222" s="301"/>
      <c r="E222" s="350"/>
      <c r="F222" s="106">
        <v>202.98</v>
      </c>
      <c r="G222" s="107"/>
      <c r="H222" s="294">
        <v>56.036697387695313</v>
      </c>
      <c r="I222" s="316">
        <v>-1.72</v>
      </c>
      <c r="J222" s="287">
        <v>-1.0783713352680211</v>
      </c>
      <c r="K222" s="737">
        <f t="shared" si="4"/>
        <v>19.114208865262899</v>
      </c>
      <c r="L222" s="735" t="s">
        <v>195</v>
      </c>
      <c r="M222" s="342" t="s">
        <v>16</v>
      </c>
      <c r="N222" s="343" t="s">
        <v>199</v>
      </c>
      <c r="O222" s="100" t="s">
        <v>35</v>
      </c>
      <c r="P222" s="99" t="s">
        <v>58</v>
      </c>
      <c r="Q222" s="348" t="s">
        <v>379</v>
      </c>
      <c r="R222" s="346" t="s">
        <v>379</v>
      </c>
      <c r="S222" s="128"/>
    </row>
    <row r="223" spans="1:19">
      <c r="A223" s="292">
        <v>401</v>
      </c>
      <c r="B223" s="301"/>
      <c r="C223" s="301"/>
      <c r="D223" s="301"/>
      <c r="E223" s="350"/>
      <c r="F223" s="106">
        <v>203.22</v>
      </c>
      <c r="G223" s="107"/>
      <c r="H223" s="294">
        <v>56.075862884521484</v>
      </c>
      <c r="I223" s="316">
        <v>-1.35</v>
      </c>
      <c r="J223" s="287">
        <v>-1.0783713352680211</v>
      </c>
      <c r="K223" s="737">
        <f t="shared" si="4"/>
        <v>17.366997396191753</v>
      </c>
      <c r="L223" s="735" t="s">
        <v>195</v>
      </c>
      <c r="M223" s="342" t="s">
        <v>16</v>
      </c>
      <c r="N223" s="343" t="s">
        <v>199</v>
      </c>
      <c r="O223" s="100" t="s">
        <v>35</v>
      </c>
      <c r="P223" s="99" t="s">
        <v>58</v>
      </c>
      <c r="Q223" s="348" t="s">
        <v>379</v>
      </c>
      <c r="R223" s="346" t="s">
        <v>379</v>
      </c>
      <c r="S223" s="128"/>
    </row>
    <row r="224" spans="1:19">
      <c r="A224" s="292">
        <v>401</v>
      </c>
      <c r="B224" s="301"/>
      <c r="C224" s="301"/>
      <c r="D224" s="301"/>
      <c r="E224" s="350"/>
      <c r="F224" s="106">
        <v>203.32</v>
      </c>
      <c r="G224" s="107"/>
      <c r="H224" s="294">
        <v>56.092182159423828</v>
      </c>
      <c r="I224" s="316">
        <v>-1.47</v>
      </c>
      <c r="J224" s="287">
        <v>-1.0783713352680211</v>
      </c>
      <c r="K224" s="737">
        <f t="shared" si="4"/>
        <v>17.93096057534996</v>
      </c>
      <c r="L224" s="735" t="s">
        <v>195</v>
      </c>
      <c r="M224" s="342" t="s">
        <v>16</v>
      </c>
      <c r="N224" s="343" t="s">
        <v>199</v>
      </c>
      <c r="O224" s="100" t="s">
        <v>35</v>
      </c>
      <c r="P224" s="99" t="s">
        <v>58</v>
      </c>
      <c r="Q224" s="348" t="s">
        <v>379</v>
      </c>
      <c r="R224" s="346" t="s">
        <v>379</v>
      </c>
      <c r="S224" s="128"/>
    </row>
    <row r="225" spans="1:19">
      <c r="A225" s="292">
        <v>401</v>
      </c>
      <c r="B225" s="301"/>
      <c r="C225" s="301"/>
      <c r="D225" s="301"/>
      <c r="E225" s="350"/>
      <c r="F225" s="106">
        <v>203.38</v>
      </c>
      <c r="G225" s="107"/>
      <c r="H225" s="294">
        <v>56.101970672607422</v>
      </c>
      <c r="I225" s="316">
        <v>-1.54</v>
      </c>
      <c r="J225" s="287">
        <v>-1.0783713352680211</v>
      </c>
      <c r="K225" s="737">
        <f t="shared" si="4"/>
        <v>18.261136096525583</v>
      </c>
      <c r="L225" s="735" t="s">
        <v>195</v>
      </c>
      <c r="M225" s="342" t="s">
        <v>16</v>
      </c>
      <c r="N225" s="343" t="s">
        <v>199</v>
      </c>
      <c r="O225" s="100" t="s">
        <v>35</v>
      </c>
      <c r="P225" s="99" t="s">
        <v>58</v>
      </c>
      <c r="Q225" s="348" t="s">
        <v>379</v>
      </c>
      <c r="R225" s="346" t="s">
        <v>379</v>
      </c>
      <c r="S225" s="128"/>
    </row>
    <row r="226" spans="1:19">
      <c r="A226" s="292">
        <v>401</v>
      </c>
      <c r="B226" s="301"/>
      <c r="C226" s="301"/>
      <c r="D226" s="301"/>
      <c r="E226" s="350"/>
      <c r="F226" s="106">
        <v>203.38</v>
      </c>
      <c r="G226" s="107"/>
      <c r="H226" s="294">
        <v>56.101970672607422</v>
      </c>
      <c r="I226" s="316">
        <v>-0.92</v>
      </c>
      <c r="J226" s="287">
        <v>-1.0783713352680211</v>
      </c>
      <c r="K226" s="737">
        <f t="shared" si="4"/>
        <v>15.367414337541495</v>
      </c>
      <c r="L226" s="735" t="s">
        <v>195</v>
      </c>
      <c r="M226" s="342" t="s">
        <v>16</v>
      </c>
      <c r="N226" s="343" t="s">
        <v>199</v>
      </c>
      <c r="O226" s="100" t="s">
        <v>35</v>
      </c>
      <c r="P226" s="99" t="s">
        <v>58</v>
      </c>
      <c r="Q226" s="348" t="s">
        <v>379</v>
      </c>
      <c r="R226" s="346" t="s">
        <v>379</v>
      </c>
      <c r="S226" s="128"/>
    </row>
    <row r="227" spans="1:19">
      <c r="A227" s="292">
        <v>401</v>
      </c>
      <c r="B227" s="301"/>
      <c r="C227" s="301"/>
      <c r="D227" s="301"/>
      <c r="E227" s="350"/>
      <c r="F227" s="106">
        <v>203.38</v>
      </c>
      <c r="G227" s="107"/>
      <c r="H227" s="294">
        <v>56.101970672607422</v>
      </c>
      <c r="I227" s="316">
        <v>-0.9</v>
      </c>
      <c r="J227" s="287">
        <v>-1.0783713352680211</v>
      </c>
      <c r="K227" s="737">
        <f t="shared" si="4"/>
        <v>15.27522047434846</v>
      </c>
      <c r="L227" s="735" t="s">
        <v>195</v>
      </c>
      <c r="M227" s="342" t="s">
        <v>16</v>
      </c>
      <c r="N227" s="343" t="s">
        <v>199</v>
      </c>
      <c r="O227" s="100" t="s">
        <v>35</v>
      </c>
      <c r="P227" s="99" t="s">
        <v>58</v>
      </c>
      <c r="Q227" s="348" t="s">
        <v>379</v>
      </c>
      <c r="R227" s="346" t="s">
        <v>379</v>
      </c>
      <c r="S227" s="128"/>
    </row>
    <row r="228" spans="1:19">
      <c r="A228" s="292">
        <v>401</v>
      </c>
      <c r="B228" s="301"/>
      <c r="C228" s="301"/>
      <c r="D228" s="301"/>
      <c r="E228" s="350"/>
      <c r="F228" s="106">
        <v>203.39</v>
      </c>
      <c r="G228" s="107"/>
      <c r="H228" s="294">
        <v>56.103603363037109</v>
      </c>
      <c r="I228" s="316">
        <v>-1.5</v>
      </c>
      <c r="J228" s="287">
        <v>-1.0783713352680211</v>
      </c>
      <c r="K228" s="737">
        <f t="shared" si="4"/>
        <v>18.072356370139513</v>
      </c>
      <c r="L228" s="735" t="s">
        <v>195</v>
      </c>
      <c r="M228" s="342" t="s">
        <v>16</v>
      </c>
      <c r="N228" s="343" t="s">
        <v>199</v>
      </c>
      <c r="O228" s="100" t="s">
        <v>35</v>
      </c>
      <c r="P228" s="99" t="s">
        <v>58</v>
      </c>
      <c r="Q228" s="348" t="s">
        <v>379</v>
      </c>
      <c r="R228" s="346" t="s">
        <v>379</v>
      </c>
      <c r="S228" s="128"/>
    </row>
    <row r="229" spans="1:19">
      <c r="A229" s="292">
        <v>401</v>
      </c>
      <c r="B229" s="301"/>
      <c r="C229" s="301"/>
      <c r="D229" s="301"/>
      <c r="E229" s="350"/>
      <c r="F229" s="106">
        <v>203.55</v>
      </c>
      <c r="G229" s="107" t="s">
        <v>196</v>
      </c>
      <c r="H229" s="294">
        <v>56.129714965820313</v>
      </c>
      <c r="I229" s="316">
        <v>-1.33</v>
      </c>
      <c r="J229" s="287">
        <v>-1.0783713352680211</v>
      </c>
      <c r="K229" s="738">
        <f t="shared" si="4"/>
        <v>17.273255532998714</v>
      </c>
      <c r="L229" s="735" t="s">
        <v>195</v>
      </c>
      <c r="M229" s="342" t="s">
        <v>16</v>
      </c>
      <c r="N229" s="343" t="s">
        <v>199</v>
      </c>
      <c r="O229" s="100" t="s">
        <v>35</v>
      </c>
      <c r="P229" s="99" t="s">
        <v>58</v>
      </c>
      <c r="Q229" s="348" t="s">
        <v>379</v>
      </c>
      <c r="R229" s="346" t="s">
        <v>379</v>
      </c>
      <c r="S229" s="347" t="s">
        <v>779</v>
      </c>
    </row>
    <row r="230" spans="1:19">
      <c r="A230" s="292">
        <v>401</v>
      </c>
      <c r="B230" s="301"/>
      <c r="C230" s="301"/>
      <c r="D230" s="301"/>
      <c r="E230" s="350"/>
      <c r="F230" s="106">
        <v>203.7</v>
      </c>
      <c r="G230" s="107" t="s">
        <v>196</v>
      </c>
      <c r="H230" s="294">
        <v>56.154190063476563</v>
      </c>
      <c r="I230" s="316">
        <v>-1.47</v>
      </c>
      <c r="J230" s="287">
        <v>-1.0783713352680211</v>
      </c>
      <c r="K230" s="738">
        <f t="shared" si="4"/>
        <v>17.93096057534996</v>
      </c>
      <c r="L230" s="735" t="s">
        <v>195</v>
      </c>
      <c r="M230" s="342" t="s">
        <v>16</v>
      </c>
      <c r="N230" s="343" t="s">
        <v>199</v>
      </c>
      <c r="O230" s="100" t="s">
        <v>35</v>
      </c>
      <c r="P230" s="99" t="s">
        <v>58</v>
      </c>
      <c r="Q230" s="348" t="s">
        <v>379</v>
      </c>
      <c r="R230" s="346" t="s">
        <v>379</v>
      </c>
      <c r="S230" s="176" t="s">
        <v>779</v>
      </c>
    </row>
    <row r="231" spans="1:19">
      <c r="A231" s="888">
        <v>401</v>
      </c>
      <c r="B231" s="889"/>
      <c r="C231" s="889"/>
      <c r="D231" s="889"/>
      <c r="E231" s="875"/>
      <c r="F231" s="907">
        <v>203.9</v>
      </c>
      <c r="G231" s="895" t="s">
        <v>196</v>
      </c>
      <c r="H231" s="896">
        <v>56.18682861328125</v>
      </c>
      <c r="I231" s="902">
        <v>-1.36</v>
      </c>
      <c r="J231" s="880">
        <v>-1.0783713352680211</v>
      </c>
      <c r="K231" s="881">
        <f t="shared" si="4"/>
        <v>17.413895327788268</v>
      </c>
      <c r="L231" s="882" t="s">
        <v>195</v>
      </c>
      <c r="M231" s="883" t="s">
        <v>16</v>
      </c>
      <c r="N231" s="884" t="s">
        <v>199</v>
      </c>
      <c r="O231" s="885" t="s">
        <v>35</v>
      </c>
      <c r="P231" s="898" t="s">
        <v>58</v>
      </c>
      <c r="Q231" s="887" t="s">
        <v>379</v>
      </c>
      <c r="R231" s="908" t="s">
        <v>379</v>
      </c>
      <c r="S231" s="903" t="s">
        <v>779</v>
      </c>
    </row>
    <row r="232" spans="1:19">
      <c r="A232" s="292">
        <v>401</v>
      </c>
      <c r="B232" s="107"/>
      <c r="C232" s="107"/>
      <c r="D232" s="107"/>
      <c r="E232" s="353"/>
      <c r="F232" s="107">
        <v>203.95</v>
      </c>
      <c r="G232" s="107" t="s">
        <v>196</v>
      </c>
      <c r="H232" s="294">
        <v>56.194988250000002</v>
      </c>
      <c r="I232" s="251">
        <v>-1.1000000000000001</v>
      </c>
      <c r="J232" s="287">
        <v>-1.0783713352680211</v>
      </c>
      <c r="K232" s="910">
        <f t="shared" si="4"/>
        <v>16.200399106278812</v>
      </c>
      <c r="L232" s="354" t="s">
        <v>195</v>
      </c>
      <c r="M232" s="355" t="s">
        <v>74</v>
      </c>
      <c r="N232" s="355" t="s">
        <v>194</v>
      </c>
      <c r="O232" s="348" t="s">
        <v>35</v>
      </c>
      <c r="P232" s="356" t="s">
        <v>91</v>
      </c>
      <c r="Q232" s="348" t="s">
        <v>377</v>
      </c>
      <c r="R232" s="316" t="s">
        <v>377</v>
      </c>
      <c r="S232" s="176" t="s">
        <v>779</v>
      </c>
    </row>
    <row r="233" spans="1:19">
      <c r="A233" s="292">
        <v>401</v>
      </c>
      <c r="B233" s="107"/>
      <c r="C233" s="107"/>
      <c r="D233" s="107"/>
      <c r="E233" s="353"/>
      <c r="F233" s="107">
        <v>204.2</v>
      </c>
      <c r="G233" s="107" t="s">
        <v>196</v>
      </c>
      <c r="H233" s="294">
        <v>56.235782620000002</v>
      </c>
      <c r="I233" s="251">
        <v>-0.63900000000000001</v>
      </c>
      <c r="J233" s="287">
        <v>-1.0783713352680211</v>
      </c>
      <c r="K233" s="910">
        <f t="shared" si="4"/>
        <v>14.07869124967935</v>
      </c>
      <c r="L233" s="354" t="s">
        <v>195</v>
      </c>
      <c r="M233" s="355" t="s">
        <v>74</v>
      </c>
      <c r="N233" s="355" t="s">
        <v>194</v>
      </c>
      <c r="O233" s="348" t="s">
        <v>35</v>
      </c>
      <c r="P233" s="356" t="s">
        <v>91</v>
      </c>
      <c r="Q233" s="348" t="s">
        <v>377</v>
      </c>
      <c r="R233" s="316" t="s">
        <v>377</v>
      </c>
      <c r="S233" s="347" t="s">
        <v>779</v>
      </c>
    </row>
    <row r="234" spans="1:19">
      <c r="A234" s="292">
        <v>401</v>
      </c>
      <c r="B234" s="107"/>
      <c r="C234" s="107"/>
      <c r="D234" s="107"/>
      <c r="E234" s="353"/>
      <c r="F234" s="107">
        <v>204.2</v>
      </c>
      <c r="G234" s="107" t="s">
        <v>196</v>
      </c>
      <c r="H234" s="294">
        <v>56.235782620000002</v>
      </c>
      <c r="I234" s="251">
        <v>-0.94</v>
      </c>
      <c r="J234" s="287">
        <v>-1.0783713352680211</v>
      </c>
      <c r="K234" s="910">
        <f t="shared" si="4"/>
        <v>15.459680200734532</v>
      </c>
      <c r="L234" s="354" t="s">
        <v>195</v>
      </c>
      <c r="M234" s="355" t="s">
        <v>74</v>
      </c>
      <c r="N234" s="355" t="s">
        <v>194</v>
      </c>
      <c r="O234" s="348" t="s">
        <v>35</v>
      </c>
      <c r="P234" s="356" t="s">
        <v>91</v>
      </c>
      <c r="Q234" s="348" t="s">
        <v>377</v>
      </c>
      <c r="R234" s="316" t="s">
        <v>377</v>
      </c>
      <c r="S234" s="176" t="s">
        <v>779</v>
      </c>
    </row>
    <row r="235" spans="1:19">
      <c r="A235" s="292">
        <v>401</v>
      </c>
      <c r="B235" s="107"/>
      <c r="C235" s="107"/>
      <c r="D235" s="107"/>
      <c r="E235" s="353"/>
      <c r="F235" s="107">
        <v>204.4</v>
      </c>
      <c r="G235" s="107" t="s">
        <v>196</v>
      </c>
      <c r="H235" s="294">
        <v>56.268421170000003</v>
      </c>
      <c r="I235" s="251">
        <v>-1.181</v>
      </c>
      <c r="J235" s="287">
        <v>-1.0783713352680211</v>
      </c>
      <c r="K235" s="910">
        <f t="shared" si="4"/>
        <v>16.577144942210605</v>
      </c>
      <c r="L235" s="354" t="s">
        <v>195</v>
      </c>
      <c r="M235" s="355" t="s">
        <v>74</v>
      </c>
      <c r="N235" s="355" t="s">
        <v>194</v>
      </c>
      <c r="O235" s="348" t="s">
        <v>35</v>
      </c>
      <c r="P235" s="356" t="s">
        <v>91</v>
      </c>
      <c r="Q235" s="348" t="s">
        <v>377</v>
      </c>
      <c r="R235" s="316" t="s">
        <v>377</v>
      </c>
      <c r="S235" s="347" t="s">
        <v>779</v>
      </c>
    </row>
    <row r="236" spans="1:19">
      <c r="A236" s="292">
        <v>401</v>
      </c>
      <c r="B236" s="107"/>
      <c r="C236" s="107"/>
      <c r="D236" s="107"/>
      <c r="E236" s="353"/>
      <c r="F236" s="107">
        <v>204.47</v>
      </c>
      <c r="G236" s="107" t="s">
        <v>196</v>
      </c>
      <c r="H236" s="294">
        <v>56.279842379999998</v>
      </c>
      <c r="I236" s="251">
        <v>-0.81</v>
      </c>
      <c r="J236" s="287">
        <v>-1.0783713352680211</v>
      </c>
      <c r="K236" s="910">
        <f t="shared" si="4"/>
        <v>14.861239089979801</v>
      </c>
      <c r="L236" s="354" t="s">
        <v>195</v>
      </c>
      <c r="M236" s="355" t="s">
        <v>74</v>
      </c>
      <c r="N236" s="355" t="s">
        <v>194</v>
      </c>
      <c r="O236" s="348" t="s">
        <v>35</v>
      </c>
      <c r="P236" s="356" t="s">
        <v>91</v>
      </c>
      <c r="Q236" s="348" t="s">
        <v>377</v>
      </c>
      <c r="R236" s="316" t="s">
        <v>377</v>
      </c>
      <c r="S236" s="176" t="s">
        <v>779</v>
      </c>
    </row>
    <row r="237" spans="1:19">
      <c r="A237" s="292">
        <v>401</v>
      </c>
      <c r="B237" s="107"/>
      <c r="C237" s="107"/>
      <c r="D237" s="107"/>
      <c r="E237" s="353"/>
      <c r="F237" s="107">
        <v>204.5</v>
      </c>
      <c r="G237" s="107" t="s">
        <v>196</v>
      </c>
      <c r="H237" s="294">
        <v>56.284740450000001</v>
      </c>
      <c r="I237" s="251">
        <v>-0.86</v>
      </c>
      <c r="J237" s="287">
        <v>-1.0783713352680211</v>
      </c>
      <c r="K237" s="910">
        <f t="shared" si="4"/>
        <v>15.091048747962391</v>
      </c>
      <c r="L237" s="354" t="s">
        <v>195</v>
      </c>
      <c r="M237" s="355" t="s">
        <v>74</v>
      </c>
      <c r="N237" s="355" t="s">
        <v>194</v>
      </c>
      <c r="O237" s="348" t="s">
        <v>35</v>
      </c>
      <c r="P237" s="356" t="s">
        <v>91</v>
      </c>
      <c r="Q237" s="348" t="s">
        <v>377</v>
      </c>
      <c r="R237" s="316" t="s">
        <v>377</v>
      </c>
      <c r="S237" s="347" t="s">
        <v>779</v>
      </c>
    </row>
    <row r="238" spans="1:19">
      <c r="A238" s="292">
        <v>401</v>
      </c>
      <c r="B238" s="107"/>
      <c r="C238" s="107"/>
      <c r="D238" s="107"/>
      <c r="E238" s="353"/>
      <c r="F238" s="107">
        <v>204.7</v>
      </c>
      <c r="G238" s="107" t="s">
        <v>196</v>
      </c>
      <c r="H238" s="294">
        <v>56.317375179999999</v>
      </c>
      <c r="I238" s="251">
        <v>-0.87</v>
      </c>
      <c r="J238" s="287">
        <v>-1.0783713352680211</v>
      </c>
      <c r="K238" s="910">
        <f t="shared" si="4"/>
        <v>15.137064679558909</v>
      </c>
      <c r="L238" s="354" t="s">
        <v>195</v>
      </c>
      <c r="M238" s="355" t="s">
        <v>74</v>
      </c>
      <c r="N238" s="355" t="s">
        <v>194</v>
      </c>
      <c r="O238" s="348" t="s">
        <v>35</v>
      </c>
      <c r="P238" s="356" t="s">
        <v>91</v>
      </c>
      <c r="Q238" s="348" t="s">
        <v>377</v>
      </c>
      <c r="R238" s="316" t="s">
        <v>377</v>
      </c>
      <c r="S238" s="176" t="s">
        <v>779</v>
      </c>
    </row>
    <row r="239" spans="1:19">
      <c r="A239" s="292">
        <v>401</v>
      </c>
      <c r="B239" s="107"/>
      <c r="C239" s="107"/>
      <c r="D239" s="107"/>
      <c r="E239" s="353"/>
      <c r="F239" s="107">
        <v>204.9</v>
      </c>
      <c r="G239" s="107" t="s">
        <v>196</v>
      </c>
      <c r="H239" s="294">
        <v>56.350013730000001</v>
      </c>
      <c r="I239" s="251">
        <v>-1.1200000000000001</v>
      </c>
      <c r="J239" s="287">
        <v>-1.0783713352680211</v>
      </c>
      <c r="K239" s="910">
        <f t="shared" si="4"/>
        <v>16.293312969471849</v>
      </c>
      <c r="L239" s="354" t="s">
        <v>195</v>
      </c>
      <c r="M239" s="355" t="s">
        <v>74</v>
      </c>
      <c r="N239" s="355" t="s">
        <v>194</v>
      </c>
      <c r="O239" s="348" t="s">
        <v>35</v>
      </c>
      <c r="P239" s="356" t="s">
        <v>91</v>
      </c>
      <c r="Q239" s="348" t="s">
        <v>377</v>
      </c>
      <c r="R239" s="316" t="s">
        <v>377</v>
      </c>
      <c r="S239" s="347" t="s">
        <v>779</v>
      </c>
    </row>
    <row r="240" spans="1:19">
      <c r="A240" s="292">
        <v>401</v>
      </c>
      <c r="B240" s="107"/>
      <c r="C240" s="107"/>
      <c r="D240" s="107"/>
      <c r="E240" s="353"/>
      <c r="F240" s="107">
        <v>204.95</v>
      </c>
      <c r="G240" s="107" t="s">
        <v>196</v>
      </c>
      <c r="H240" s="294">
        <v>56.358173370000003</v>
      </c>
      <c r="I240" s="251">
        <v>-0.79</v>
      </c>
      <c r="J240" s="287">
        <v>-1.0783713352680211</v>
      </c>
      <c r="K240" s="910">
        <f t="shared" si="4"/>
        <v>14.769441226786768</v>
      </c>
      <c r="L240" s="354" t="s">
        <v>195</v>
      </c>
      <c r="M240" s="355" t="s">
        <v>74</v>
      </c>
      <c r="N240" s="355" t="s">
        <v>194</v>
      </c>
      <c r="O240" s="348" t="s">
        <v>35</v>
      </c>
      <c r="P240" s="356" t="s">
        <v>91</v>
      </c>
      <c r="Q240" s="348" t="s">
        <v>377</v>
      </c>
      <c r="R240" s="316" t="s">
        <v>377</v>
      </c>
      <c r="S240" s="176" t="s">
        <v>779</v>
      </c>
    </row>
    <row r="241" spans="1:19">
      <c r="A241" s="292">
        <v>401</v>
      </c>
      <c r="B241" s="107"/>
      <c r="C241" s="107"/>
      <c r="D241" s="107"/>
      <c r="E241" s="353"/>
      <c r="F241" s="107">
        <v>205.18</v>
      </c>
      <c r="G241" s="107" t="s">
        <v>196</v>
      </c>
      <c r="H241" s="294">
        <v>56.395702360000001</v>
      </c>
      <c r="I241" s="251">
        <v>-0.94</v>
      </c>
      <c r="J241" s="287">
        <v>-1.0783713352680211</v>
      </c>
      <c r="K241" s="910">
        <f t="shared" si="4"/>
        <v>15.459680200734532</v>
      </c>
      <c r="L241" s="354" t="s">
        <v>195</v>
      </c>
      <c r="M241" s="355" t="s">
        <v>74</v>
      </c>
      <c r="N241" s="355" t="s">
        <v>194</v>
      </c>
      <c r="O241" s="348" t="s">
        <v>35</v>
      </c>
      <c r="P241" s="356" t="s">
        <v>91</v>
      </c>
      <c r="Q241" s="348" t="s">
        <v>377</v>
      </c>
      <c r="R241" s="316" t="s">
        <v>377</v>
      </c>
      <c r="S241" s="347" t="s">
        <v>779</v>
      </c>
    </row>
    <row r="242" spans="1:19">
      <c r="A242" s="292">
        <v>401</v>
      </c>
      <c r="B242" s="107"/>
      <c r="C242" s="107"/>
      <c r="D242" s="107"/>
      <c r="E242" s="353"/>
      <c r="F242" s="107">
        <v>205.67</v>
      </c>
      <c r="G242" s="107" t="s">
        <v>196</v>
      </c>
      <c r="H242" s="294">
        <v>56.475666050000001</v>
      </c>
      <c r="I242" s="251">
        <v>-0.87</v>
      </c>
      <c r="J242" s="287">
        <v>-1.0783713352680211</v>
      </c>
      <c r="K242" s="910">
        <f t="shared" si="4"/>
        <v>15.137064679558909</v>
      </c>
      <c r="L242" s="354" t="s">
        <v>195</v>
      </c>
      <c r="M242" s="355" t="s">
        <v>74</v>
      </c>
      <c r="N242" s="355" t="s">
        <v>194</v>
      </c>
      <c r="O242" s="348" t="s">
        <v>35</v>
      </c>
      <c r="P242" s="356" t="s">
        <v>91</v>
      </c>
      <c r="Q242" s="348" t="s">
        <v>377</v>
      </c>
      <c r="R242" s="316" t="s">
        <v>377</v>
      </c>
      <c r="S242" s="176" t="s">
        <v>779</v>
      </c>
    </row>
    <row r="243" spans="1:19">
      <c r="A243" s="292">
        <v>401</v>
      </c>
      <c r="B243" s="107"/>
      <c r="C243" s="107"/>
      <c r="D243" s="107"/>
      <c r="E243" s="353"/>
      <c r="F243" s="107">
        <v>205.67</v>
      </c>
      <c r="G243" s="107" t="s">
        <v>196</v>
      </c>
      <c r="H243" s="294">
        <v>56.475666050000001</v>
      </c>
      <c r="I243" s="251">
        <v>-1.1399999999999999</v>
      </c>
      <c r="J243" s="287">
        <v>-1.0783713352680211</v>
      </c>
      <c r="K243" s="910">
        <f t="shared" si="4"/>
        <v>16.386298832664881</v>
      </c>
      <c r="L243" s="354" t="s">
        <v>195</v>
      </c>
      <c r="M243" s="355" t="s">
        <v>74</v>
      </c>
      <c r="N243" s="355" t="s">
        <v>194</v>
      </c>
      <c r="O243" s="348" t="s">
        <v>35</v>
      </c>
      <c r="P243" s="356" t="s">
        <v>91</v>
      </c>
      <c r="Q243" s="348" t="s">
        <v>377</v>
      </c>
      <c r="R243" s="316" t="s">
        <v>377</v>
      </c>
      <c r="S243" s="347" t="s">
        <v>779</v>
      </c>
    </row>
    <row r="244" spans="1:19">
      <c r="A244" s="292">
        <v>401</v>
      </c>
      <c r="B244" s="107"/>
      <c r="C244" s="107"/>
      <c r="D244" s="107"/>
      <c r="E244" s="353"/>
      <c r="F244" s="107">
        <v>205.67</v>
      </c>
      <c r="G244" s="107" t="s">
        <v>196</v>
      </c>
      <c r="H244" s="294">
        <v>56.475666050000001</v>
      </c>
      <c r="I244" s="251">
        <v>-0.98799999999999999</v>
      </c>
      <c r="J244" s="287">
        <v>-1.0783713352680211</v>
      </c>
      <c r="K244" s="910">
        <f t="shared" si="4"/>
        <v>15.681412032397814</v>
      </c>
      <c r="L244" s="354" t="s">
        <v>195</v>
      </c>
      <c r="M244" s="355" t="s">
        <v>74</v>
      </c>
      <c r="N244" s="355" t="s">
        <v>194</v>
      </c>
      <c r="O244" s="348" t="s">
        <v>35</v>
      </c>
      <c r="P244" s="356" t="s">
        <v>91</v>
      </c>
      <c r="Q244" s="348" t="s">
        <v>377</v>
      </c>
      <c r="R244" s="316" t="s">
        <v>377</v>
      </c>
      <c r="S244" s="176" t="s">
        <v>779</v>
      </c>
    </row>
    <row r="245" spans="1:19">
      <c r="A245" s="292">
        <v>401</v>
      </c>
      <c r="B245" s="107"/>
      <c r="C245" s="107"/>
      <c r="D245" s="107"/>
      <c r="E245" s="353"/>
      <c r="F245" s="107">
        <v>208.05</v>
      </c>
      <c r="G245" s="107" t="s">
        <v>196</v>
      </c>
      <c r="H245" s="294">
        <v>56.864047999999997</v>
      </c>
      <c r="I245" s="251">
        <v>-1.54</v>
      </c>
      <c r="J245" s="287">
        <v>-1.0783713352680211</v>
      </c>
      <c r="K245" s="910">
        <f t="shared" si="4"/>
        <v>18.261136096525583</v>
      </c>
      <c r="L245" s="354" t="s">
        <v>195</v>
      </c>
      <c r="M245" s="355" t="s">
        <v>74</v>
      </c>
      <c r="N245" s="355" t="s">
        <v>194</v>
      </c>
      <c r="O245" s="348" t="s">
        <v>35</v>
      </c>
      <c r="P245" s="356" t="s">
        <v>91</v>
      </c>
      <c r="Q245" s="348" t="s">
        <v>377</v>
      </c>
      <c r="R245" s="316" t="s">
        <v>377</v>
      </c>
      <c r="S245" s="347" t="s">
        <v>779</v>
      </c>
    </row>
    <row r="246" spans="1:19">
      <c r="A246" s="292">
        <v>401</v>
      </c>
      <c r="B246" s="107"/>
      <c r="C246" s="107"/>
      <c r="D246" s="107"/>
      <c r="E246" s="353"/>
      <c r="F246" s="107">
        <v>208.9</v>
      </c>
      <c r="G246" s="107" t="s">
        <v>196</v>
      </c>
      <c r="H246" s="294">
        <v>57.002754209999999</v>
      </c>
      <c r="I246" s="251">
        <v>-1.3340000000000001</v>
      </c>
      <c r="J246" s="287">
        <v>-1.0783713352680211</v>
      </c>
      <c r="K246" s="910">
        <f t="shared" si="4"/>
        <v>17.291998145637322</v>
      </c>
      <c r="L246" s="354" t="s">
        <v>195</v>
      </c>
      <c r="M246" s="355" t="s">
        <v>74</v>
      </c>
      <c r="N246" s="355" t="s">
        <v>194</v>
      </c>
      <c r="O246" s="348" t="s">
        <v>35</v>
      </c>
      <c r="P246" s="356" t="s">
        <v>91</v>
      </c>
      <c r="Q246" s="348" t="s">
        <v>377</v>
      </c>
      <c r="R246" s="316" t="s">
        <v>377</v>
      </c>
      <c r="S246" s="176" t="s">
        <v>779</v>
      </c>
    </row>
    <row r="247" spans="1:19">
      <c r="A247" s="888">
        <v>401</v>
      </c>
      <c r="B247" s="895"/>
      <c r="C247" s="895"/>
      <c r="D247" s="895"/>
      <c r="E247" s="892"/>
      <c r="F247" s="895">
        <v>209.55</v>
      </c>
      <c r="G247" s="895" t="s">
        <v>196</v>
      </c>
      <c r="H247" s="896">
        <v>57.108825680000002</v>
      </c>
      <c r="I247" s="901">
        <v>-2.3319999999999999</v>
      </c>
      <c r="J247" s="880">
        <v>-1.0783713352680211</v>
      </c>
      <c r="K247" s="911">
        <f t="shared" si="4"/>
        <v>22.058279638969772</v>
      </c>
      <c r="L247" s="882" t="s">
        <v>195</v>
      </c>
      <c r="M247" s="883" t="s">
        <v>74</v>
      </c>
      <c r="N247" s="883" t="s">
        <v>194</v>
      </c>
      <c r="O247" s="887" t="s">
        <v>35</v>
      </c>
      <c r="P247" s="892" t="s">
        <v>91</v>
      </c>
      <c r="Q247" s="887" t="s">
        <v>377</v>
      </c>
      <c r="R247" s="902" t="s">
        <v>377</v>
      </c>
      <c r="S247" s="903" t="s">
        <v>779</v>
      </c>
    </row>
    <row r="248" spans="1:19">
      <c r="A248" s="318">
        <v>401</v>
      </c>
      <c r="B248" s="351"/>
      <c r="C248" s="107">
        <v>14</v>
      </c>
      <c r="D248" s="107">
        <v>1</v>
      </c>
      <c r="E248" s="107" t="s">
        <v>206</v>
      </c>
      <c r="F248" s="319">
        <v>198.55</v>
      </c>
      <c r="G248" s="107"/>
      <c r="H248" s="294">
        <v>55.514610290527344</v>
      </c>
      <c r="I248" s="320">
        <v>-2.2629999999999999</v>
      </c>
      <c r="J248" s="287">
        <v>-1.0783713352680211</v>
      </c>
      <c r="K248" s="737">
        <f t="shared" ref="K248:K288" si="5">16.1-4.64*($I248-J248)+0.09*($I248-J248)^2</f>
        <v>21.722978060953803</v>
      </c>
      <c r="L248" s="354" t="s">
        <v>195</v>
      </c>
      <c r="M248" s="355" t="s">
        <v>74</v>
      </c>
      <c r="N248" s="355" t="s">
        <v>37</v>
      </c>
      <c r="O248" s="348" t="s">
        <v>35</v>
      </c>
      <c r="P248" s="99" t="s">
        <v>58</v>
      </c>
      <c r="Q248" s="348" t="s">
        <v>379</v>
      </c>
      <c r="R248" s="316" t="s">
        <v>205</v>
      </c>
      <c r="S248" s="128"/>
    </row>
    <row r="249" spans="1:19">
      <c r="A249" s="318">
        <v>401</v>
      </c>
      <c r="B249" s="351"/>
      <c r="C249" s="107">
        <v>14</v>
      </c>
      <c r="D249" s="107">
        <v>1</v>
      </c>
      <c r="E249" s="107" t="s">
        <v>112</v>
      </c>
      <c r="F249" s="319">
        <v>198.81</v>
      </c>
      <c r="G249" s="107"/>
      <c r="H249" s="294">
        <v>55.543853759765625</v>
      </c>
      <c r="I249" s="320">
        <v>-2.141</v>
      </c>
      <c r="J249" s="287">
        <v>-1.0783713352680211</v>
      </c>
      <c r="K249" s="737">
        <f t="shared" si="5"/>
        <v>21.132223175476291</v>
      </c>
      <c r="L249" s="354" t="s">
        <v>195</v>
      </c>
      <c r="M249" s="355" t="s">
        <v>74</v>
      </c>
      <c r="N249" s="355" t="s">
        <v>37</v>
      </c>
      <c r="O249" s="348" t="s">
        <v>35</v>
      </c>
      <c r="P249" s="99" t="s">
        <v>58</v>
      </c>
      <c r="Q249" s="348" t="s">
        <v>379</v>
      </c>
      <c r="R249" s="316" t="s">
        <v>205</v>
      </c>
      <c r="S249" s="128"/>
    </row>
    <row r="250" spans="1:19">
      <c r="A250" s="318">
        <v>401</v>
      </c>
      <c r="B250" s="351"/>
      <c r="C250" s="107">
        <v>14</v>
      </c>
      <c r="D250" s="107">
        <v>1</v>
      </c>
      <c r="E250" s="107" t="s">
        <v>157</v>
      </c>
      <c r="F250" s="319">
        <v>198.96</v>
      </c>
      <c r="G250" s="107"/>
      <c r="H250" s="294">
        <v>55.560726165771484</v>
      </c>
      <c r="I250" s="320">
        <v>-1.954</v>
      </c>
      <c r="J250" s="287">
        <v>-1.0783713352680211</v>
      </c>
      <c r="K250" s="737">
        <f t="shared" si="5"/>
        <v>20.231922304621413</v>
      </c>
      <c r="L250" s="354" t="s">
        <v>195</v>
      </c>
      <c r="M250" s="355" t="s">
        <v>74</v>
      </c>
      <c r="N250" s="355" t="s">
        <v>37</v>
      </c>
      <c r="O250" s="348" t="s">
        <v>35</v>
      </c>
      <c r="P250" s="99" t="s">
        <v>58</v>
      </c>
      <c r="Q250" s="348" t="s">
        <v>379</v>
      </c>
      <c r="R250" s="316" t="s">
        <v>205</v>
      </c>
      <c r="S250" s="128"/>
    </row>
    <row r="251" spans="1:19">
      <c r="A251" s="318">
        <v>401</v>
      </c>
      <c r="B251" s="351"/>
      <c r="C251" s="107">
        <v>14</v>
      </c>
      <c r="D251" s="107">
        <v>1</v>
      </c>
      <c r="E251" s="107" t="s">
        <v>207</v>
      </c>
      <c r="F251" s="319">
        <v>199.42</v>
      </c>
      <c r="G251" s="107"/>
      <c r="H251" s="294">
        <v>55.612461090087891</v>
      </c>
      <c r="I251" s="320">
        <v>-2.1539999999999999</v>
      </c>
      <c r="J251" s="287">
        <v>-1.0783713352680211</v>
      </c>
      <c r="K251" s="737">
        <f t="shared" si="5"/>
        <v>21.195044936551763</v>
      </c>
      <c r="L251" s="354" t="s">
        <v>195</v>
      </c>
      <c r="M251" s="355" t="s">
        <v>74</v>
      </c>
      <c r="N251" s="355" t="s">
        <v>37</v>
      </c>
      <c r="O251" s="348" t="s">
        <v>35</v>
      </c>
      <c r="P251" s="99" t="s">
        <v>58</v>
      </c>
      <c r="Q251" s="348" t="s">
        <v>379</v>
      </c>
      <c r="R251" s="316" t="s">
        <v>205</v>
      </c>
      <c r="S251" s="128"/>
    </row>
    <row r="252" spans="1:19">
      <c r="A252" s="318">
        <v>401</v>
      </c>
      <c r="B252" s="351"/>
      <c r="C252" s="107">
        <v>14</v>
      </c>
      <c r="D252" s="107">
        <v>1</v>
      </c>
      <c r="E252" s="107" t="s">
        <v>208</v>
      </c>
      <c r="F252" s="319">
        <v>199.61500000000001</v>
      </c>
      <c r="G252" s="107"/>
      <c r="H252" s="294">
        <v>55.634395599365234</v>
      </c>
      <c r="I252" s="320">
        <v>-2.1829999999999998</v>
      </c>
      <c r="J252" s="287">
        <v>-1.0783713352680211</v>
      </c>
      <c r="K252" s="737">
        <f t="shared" si="5"/>
        <v>21.335295408181661</v>
      </c>
      <c r="L252" s="354" t="s">
        <v>195</v>
      </c>
      <c r="M252" s="355" t="s">
        <v>74</v>
      </c>
      <c r="N252" s="355" t="s">
        <v>37</v>
      </c>
      <c r="O252" s="348" t="s">
        <v>35</v>
      </c>
      <c r="P252" s="99" t="s">
        <v>58</v>
      </c>
      <c r="Q252" s="348" t="s">
        <v>379</v>
      </c>
      <c r="R252" s="316" t="s">
        <v>205</v>
      </c>
      <c r="S252" s="128"/>
    </row>
    <row r="253" spans="1:19">
      <c r="A253" s="318">
        <v>401</v>
      </c>
      <c r="B253" s="351"/>
      <c r="C253" s="107">
        <v>14</v>
      </c>
      <c r="D253" s="107">
        <v>1</v>
      </c>
      <c r="E253" s="107" t="s">
        <v>107</v>
      </c>
      <c r="F253" s="319">
        <v>199.71</v>
      </c>
      <c r="G253" s="107"/>
      <c r="H253" s="294">
        <v>55.64508056640625</v>
      </c>
      <c r="I253" s="320">
        <v>-2.3010000000000002</v>
      </c>
      <c r="J253" s="287">
        <v>-1.0783713352680211</v>
      </c>
      <c r="K253" s="737">
        <f t="shared" si="5"/>
        <v>21.90753088102057</v>
      </c>
      <c r="L253" s="354" t="s">
        <v>195</v>
      </c>
      <c r="M253" s="355" t="s">
        <v>74</v>
      </c>
      <c r="N253" s="355" t="s">
        <v>37</v>
      </c>
      <c r="O253" s="348" t="s">
        <v>35</v>
      </c>
      <c r="P253" s="99" t="s">
        <v>58</v>
      </c>
      <c r="Q253" s="348" t="s">
        <v>379</v>
      </c>
      <c r="R253" s="316" t="s">
        <v>205</v>
      </c>
      <c r="S253" s="128"/>
    </row>
    <row r="254" spans="1:19">
      <c r="A254" s="318">
        <v>401</v>
      </c>
      <c r="B254" s="351"/>
      <c r="C254" s="107">
        <v>14</v>
      </c>
      <c r="D254" s="107">
        <v>1</v>
      </c>
      <c r="E254" s="107" t="s">
        <v>209</v>
      </c>
      <c r="F254" s="319">
        <v>199.89</v>
      </c>
      <c r="G254" s="107"/>
      <c r="H254" s="294">
        <v>55.665325164794922</v>
      </c>
      <c r="I254" s="320">
        <v>-2.0020000000000002</v>
      </c>
      <c r="J254" s="287">
        <v>-1.0783713352680211</v>
      </c>
      <c r="K254" s="737">
        <f t="shared" si="5"/>
        <v>20.462415096284694</v>
      </c>
      <c r="L254" s="354" t="s">
        <v>195</v>
      </c>
      <c r="M254" s="355" t="s">
        <v>74</v>
      </c>
      <c r="N254" s="355" t="s">
        <v>37</v>
      </c>
      <c r="O254" s="348" t="s">
        <v>35</v>
      </c>
      <c r="P254" s="99" t="s">
        <v>58</v>
      </c>
      <c r="Q254" s="348" t="s">
        <v>379</v>
      </c>
      <c r="R254" s="316" t="s">
        <v>205</v>
      </c>
      <c r="S254" s="128"/>
    </row>
    <row r="255" spans="1:19">
      <c r="A255" s="318">
        <v>401</v>
      </c>
      <c r="B255" s="351"/>
      <c r="C255" s="107">
        <v>14</v>
      </c>
      <c r="D255" s="107">
        <v>2</v>
      </c>
      <c r="E255" s="107" t="s">
        <v>210</v>
      </c>
      <c r="F255" s="319">
        <v>200.09</v>
      </c>
      <c r="G255" s="107"/>
      <c r="H255" s="294">
        <v>55.687816619873047</v>
      </c>
      <c r="I255" s="320">
        <v>-2.1739999999999999</v>
      </c>
      <c r="J255" s="287">
        <v>-1.0783713352680211</v>
      </c>
      <c r="K255" s="737">
        <f t="shared" si="5"/>
        <v>21.291753199744797</v>
      </c>
      <c r="L255" s="354" t="s">
        <v>195</v>
      </c>
      <c r="M255" s="355" t="s">
        <v>74</v>
      </c>
      <c r="N255" s="355" t="s">
        <v>37</v>
      </c>
      <c r="O255" s="348" t="s">
        <v>35</v>
      </c>
      <c r="P255" s="99" t="s">
        <v>58</v>
      </c>
      <c r="Q255" s="348" t="s">
        <v>379</v>
      </c>
      <c r="R255" s="316" t="s">
        <v>205</v>
      </c>
      <c r="S255" s="128"/>
    </row>
    <row r="256" spans="1:19">
      <c r="A256" s="318">
        <v>401</v>
      </c>
      <c r="B256" s="351"/>
      <c r="C256" s="107">
        <v>14</v>
      </c>
      <c r="D256" s="107">
        <v>2</v>
      </c>
      <c r="E256" s="107" t="s">
        <v>211</v>
      </c>
      <c r="F256" s="319">
        <v>200.32</v>
      </c>
      <c r="G256" s="107"/>
      <c r="H256" s="294">
        <v>55.713687896728516</v>
      </c>
      <c r="I256" s="320">
        <v>-2.1549999999999998</v>
      </c>
      <c r="J256" s="287">
        <v>-1.0783713352680211</v>
      </c>
      <c r="K256" s="737">
        <f t="shared" si="5"/>
        <v>21.199878639711415</v>
      </c>
      <c r="L256" s="354" t="s">
        <v>195</v>
      </c>
      <c r="M256" s="355" t="s">
        <v>74</v>
      </c>
      <c r="N256" s="355" t="s">
        <v>37</v>
      </c>
      <c r="O256" s="348" t="s">
        <v>35</v>
      </c>
      <c r="P256" s="99" t="s">
        <v>58</v>
      </c>
      <c r="Q256" s="348" t="s">
        <v>379</v>
      </c>
      <c r="R256" s="316" t="s">
        <v>205</v>
      </c>
      <c r="S256" s="128"/>
    </row>
    <row r="257" spans="1:19">
      <c r="A257" s="318">
        <v>401</v>
      </c>
      <c r="B257" s="351"/>
      <c r="C257" s="107">
        <v>14</v>
      </c>
      <c r="D257" s="107">
        <v>2</v>
      </c>
      <c r="E257" s="107" t="s">
        <v>110</v>
      </c>
      <c r="F257" s="319">
        <v>200.51</v>
      </c>
      <c r="G257" s="107"/>
      <c r="H257" s="294">
        <v>55.735054016113281</v>
      </c>
      <c r="I257" s="320">
        <v>-2.4119999999999999</v>
      </c>
      <c r="J257" s="287">
        <v>-1.0783713352680211</v>
      </c>
      <c r="K257" s="737">
        <f t="shared" si="5"/>
        <v>22.448107891741916</v>
      </c>
      <c r="L257" s="354" t="s">
        <v>195</v>
      </c>
      <c r="M257" s="355" t="s">
        <v>74</v>
      </c>
      <c r="N257" s="355" t="s">
        <v>37</v>
      </c>
      <c r="O257" s="348" t="s">
        <v>35</v>
      </c>
      <c r="P257" s="99" t="s">
        <v>58</v>
      </c>
      <c r="Q257" s="348" t="s">
        <v>379</v>
      </c>
      <c r="R257" s="316" t="s">
        <v>205</v>
      </c>
      <c r="S257" s="128"/>
    </row>
    <row r="258" spans="1:19">
      <c r="A258" s="318">
        <v>401</v>
      </c>
      <c r="B258" s="351"/>
      <c r="C258" s="107">
        <v>14</v>
      </c>
      <c r="D258" s="107">
        <v>2</v>
      </c>
      <c r="E258" s="107" t="s">
        <v>212</v>
      </c>
      <c r="F258" s="319">
        <v>200.73</v>
      </c>
      <c r="G258" s="107"/>
      <c r="H258" s="294">
        <v>55.759799957275391</v>
      </c>
      <c r="I258" s="320">
        <v>-1.9889999999999999</v>
      </c>
      <c r="J258" s="287">
        <v>-1.0783713352680211</v>
      </c>
      <c r="K258" s="737">
        <f t="shared" si="5"/>
        <v>20.39994901520922</v>
      </c>
      <c r="L258" s="354" t="s">
        <v>195</v>
      </c>
      <c r="M258" s="355" t="s">
        <v>74</v>
      </c>
      <c r="N258" s="355" t="s">
        <v>37</v>
      </c>
      <c r="O258" s="348" t="s">
        <v>35</v>
      </c>
      <c r="P258" s="99" t="s">
        <v>58</v>
      </c>
      <c r="Q258" s="348" t="s">
        <v>379</v>
      </c>
      <c r="R258" s="316" t="s">
        <v>205</v>
      </c>
      <c r="S258" s="128"/>
    </row>
    <row r="259" spans="1:19">
      <c r="A259" s="318">
        <v>401</v>
      </c>
      <c r="B259" s="351"/>
      <c r="C259" s="107">
        <v>14</v>
      </c>
      <c r="D259" s="107">
        <v>2</v>
      </c>
      <c r="E259" s="107" t="s">
        <v>207</v>
      </c>
      <c r="F259" s="319">
        <v>200.92</v>
      </c>
      <c r="G259" s="107" t="s">
        <v>380</v>
      </c>
      <c r="H259" s="294">
        <v>55.781169891357422</v>
      </c>
      <c r="I259" s="320">
        <v>-2.1189999999999998</v>
      </c>
      <c r="J259" s="287">
        <v>-1.0783713352680211</v>
      </c>
      <c r="K259" s="737">
        <f t="shared" si="5"/>
        <v>21.025978725963949</v>
      </c>
      <c r="L259" s="354" t="s">
        <v>195</v>
      </c>
      <c r="M259" s="355" t="s">
        <v>74</v>
      </c>
      <c r="N259" s="355" t="s">
        <v>37</v>
      </c>
      <c r="O259" s="348" t="s">
        <v>35</v>
      </c>
      <c r="P259" s="99" t="s">
        <v>58</v>
      </c>
      <c r="Q259" s="348" t="s">
        <v>379</v>
      </c>
      <c r="R259" s="316" t="s">
        <v>205</v>
      </c>
      <c r="S259" s="128"/>
    </row>
    <row r="260" spans="1:19">
      <c r="A260" s="318">
        <v>401</v>
      </c>
      <c r="B260" s="351"/>
      <c r="C260" s="107">
        <v>14</v>
      </c>
      <c r="D260" s="107">
        <v>2</v>
      </c>
      <c r="E260" s="107" t="s">
        <v>108</v>
      </c>
      <c r="F260" s="319">
        <v>201.11</v>
      </c>
      <c r="G260" s="107" t="s">
        <v>59</v>
      </c>
      <c r="H260" s="294">
        <v>55.802539825439453</v>
      </c>
      <c r="I260" s="320">
        <v>-1.9730000000000001</v>
      </c>
      <c r="J260" s="287">
        <v>-1.0783713352680211</v>
      </c>
      <c r="K260" s="737">
        <f t="shared" si="5"/>
        <v>20.323109444654794</v>
      </c>
      <c r="L260" s="354" t="s">
        <v>195</v>
      </c>
      <c r="M260" s="355" t="s">
        <v>74</v>
      </c>
      <c r="N260" s="355" t="s">
        <v>37</v>
      </c>
      <c r="O260" s="348" t="s">
        <v>35</v>
      </c>
      <c r="P260" s="99" t="s">
        <v>58</v>
      </c>
      <c r="Q260" s="348" t="s">
        <v>379</v>
      </c>
      <c r="R260" s="316" t="s">
        <v>205</v>
      </c>
      <c r="S260" s="128"/>
    </row>
    <row r="261" spans="1:19">
      <c r="A261" s="318">
        <v>401</v>
      </c>
      <c r="B261" s="351"/>
      <c r="C261" s="107">
        <v>14</v>
      </c>
      <c r="D261" s="107">
        <v>2</v>
      </c>
      <c r="E261" s="107" t="s">
        <v>213</v>
      </c>
      <c r="F261" s="319">
        <v>201.3</v>
      </c>
      <c r="G261" s="107" t="s">
        <v>59</v>
      </c>
      <c r="H261" s="294">
        <v>55.823909759521484</v>
      </c>
      <c r="I261" s="320">
        <v>-2.2309999999999999</v>
      </c>
      <c r="J261" s="287">
        <v>-1.0783713352680211</v>
      </c>
      <c r="K261" s="737">
        <f t="shared" si="5"/>
        <v>21.567766759844943</v>
      </c>
      <c r="L261" s="354" t="s">
        <v>195</v>
      </c>
      <c r="M261" s="355" t="s">
        <v>74</v>
      </c>
      <c r="N261" s="355" t="s">
        <v>37</v>
      </c>
      <c r="O261" s="348" t="s">
        <v>35</v>
      </c>
      <c r="P261" s="99" t="s">
        <v>58</v>
      </c>
      <c r="Q261" s="348" t="s">
        <v>379</v>
      </c>
      <c r="R261" s="316" t="s">
        <v>205</v>
      </c>
      <c r="S261" s="128"/>
    </row>
    <row r="262" spans="1:19">
      <c r="A262" s="318">
        <v>401</v>
      </c>
      <c r="B262" s="351"/>
      <c r="C262" s="107">
        <v>14</v>
      </c>
      <c r="D262" s="107">
        <v>2</v>
      </c>
      <c r="E262" s="107" t="s">
        <v>164</v>
      </c>
      <c r="F262" s="319">
        <v>201.49</v>
      </c>
      <c r="G262" s="107" t="s">
        <v>59</v>
      </c>
      <c r="H262" s="294">
        <v>55.845279693603516</v>
      </c>
      <c r="I262" s="320">
        <v>-2.004</v>
      </c>
      <c r="J262" s="287">
        <v>-1.0783713352680211</v>
      </c>
      <c r="K262" s="737">
        <f t="shared" si="5"/>
        <v>20.472027962603999</v>
      </c>
      <c r="L262" s="354" t="s">
        <v>195</v>
      </c>
      <c r="M262" s="355" t="s">
        <v>74</v>
      </c>
      <c r="N262" s="355" t="s">
        <v>37</v>
      </c>
      <c r="O262" s="348" t="s">
        <v>35</v>
      </c>
      <c r="P262" s="99" t="s">
        <v>58</v>
      </c>
      <c r="Q262" s="348" t="s">
        <v>379</v>
      </c>
      <c r="R262" s="316" t="s">
        <v>205</v>
      </c>
      <c r="S262" s="128"/>
    </row>
    <row r="263" spans="1:19">
      <c r="A263" s="318">
        <v>401</v>
      </c>
      <c r="B263" s="351"/>
      <c r="C263" s="107">
        <v>14</v>
      </c>
      <c r="D263" s="107">
        <v>3</v>
      </c>
      <c r="E263" s="107" t="s">
        <v>214</v>
      </c>
      <c r="F263" s="319">
        <v>201.62</v>
      </c>
      <c r="G263" s="107" t="s">
        <v>59</v>
      </c>
      <c r="H263" s="294">
        <v>55.859901428222656</v>
      </c>
      <c r="I263" s="321">
        <v>-2.1255794239044197</v>
      </c>
      <c r="J263" s="287">
        <v>-1.0783713352680211</v>
      </c>
      <c r="K263" s="737">
        <f t="shared" si="5"/>
        <v>21.057743561554386</v>
      </c>
      <c r="L263" s="354" t="s">
        <v>195</v>
      </c>
      <c r="M263" s="355" t="s">
        <v>74</v>
      </c>
      <c r="N263" s="355" t="s">
        <v>37</v>
      </c>
      <c r="O263" s="348" t="s">
        <v>35</v>
      </c>
      <c r="P263" s="99" t="s">
        <v>58</v>
      </c>
      <c r="Q263" s="348" t="s">
        <v>379</v>
      </c>
      <c r="R263" s="316" t="s">
        <v>205</v>
      </c>
      <c r="S263" s="128"/>
    </row>
    <row r="264" spans="1:19">
      <c r="A264" s="318">
        <v>401</v>
      </c>
      <c r="B264" s="351"/>
      <c r="C264" s="107">
        <v>14</v>
      </c>
      <c r="D264" s="107">
        <v>3</v>
      </c>
      <c r="E264" s="107" t="s">
        <v>102</v>
      </c>
      <c r="F264" s="319">
        <v>201.67</v>
      </c>
      <c r="G264" s="107" t="s">
        <v>59</v>
      </c>
      <c r="H264" s="294">
        <v>55.865524291992188</v>
      </c>
      <c r="I264" s="320">
        <v>-2.4340000000000002</v>
      </c>
      <c r="J264" s="287">
        <v>-1.0783713352680211</v>
      </c>
      <c r="K264" s="737">
        <f t="shared" si="5"/>
        <v>22.555512621254255</v>
      </c>
      <c r="L264" s="354" t="s">
        <v>195</v>
      </c>
      <c r="M264" s="355" t="s">
        <v>74</v>
      </c>
      <c r="N264" s="355" t="s">
        <v>37</v>
      </c>
      <c r="O264" s="348" t="s">
        <v>35</v>
      </c>
      <c r="P264" s="99" t="s">
        <v>58</v>
      </c>
      <c r="Q264" s="348" t="s">
        <v>379</v>
      </c>
      <c r="R264" s="316" t="s">
        <v>205</v>
      </c>
      <c r="S264" s="128"/>
    </row>
    <row r="265" spans="1:19">
      <c r="A265" s="318">
        <v>401</v>
      </c>
      <c r="B265" s="351"/>
      <c r="C265" s="107">
        <v>14</v>
      </c>
      <c r="D265" s="107">
        <v>3</v>
      </c>
      <c r="E265" s="107" t="s">
        <v>128</v>
      </c>
      <c r="F265" s="319">
        <v>201.72</v>
      </c>
      <c r="G265" s="107" t="s">
        <v>59</v>
      </c>
      <c r="H265" s="294">
        <v>55.871147155761719</v>
      </c>
      <c r="I265" s="321">
        <v>-2.1381340694427498</v>
      </c>
      <c r="J265" s="287">
        <v>-1.0783713352680211</v>
      </c>
      <c r="K265" s="737">
        <f t="shared" si="5"/>
        <v>21.118377821317836</v>
      </c>
      <c r="L265" s="354" t="s">
        <v>195</v>
      </c>
      <c r="M265" s="355" t="s">
        <v>74</v>
      </c>
      <c r="N265" s="355" t="s">
        <v>37</v>
      </c>
      <c r="O265" s="348" t="s">
        <v>35</v>
      </c>
      <c r="P265" s="99" t="s">
        <v>58</v>
      </c>
      <c r="Q265" s="348" t="s">
        <v>379</v>
      </c>
      <c r="R265" s="316" t="s">
        <v>205</v>
      </c>
      <c r="S265" s="128"/>
    </row>
    <row r="266" spans="1:19">
      <c r="A266" s="318">
        <v>401</v>
      </c>
      <c r="B266" s="351"/>
      <c r="C266" s="107">
        <v>14</v>
      </c>
      <c r="D266" s="107">
        <v>3</v>
      </c>
      <c r="E266" s="107" t="s">
        <v>215</v>
      </c>
      <c r="F266" s="319">
        <v>201.76499999999999</v>
      </c>
      <c r="G266" s="107" t="s">
        <v>59</v>
      </c>
      <c r="H266" s="294">
        <v>55.876209259033203</v>
      </c>
      <c r="I266" s="320">
        <v>-2.407</v>
      </c>
      <c r="J266" s="287">
        <v>-1.0783713352680211</v>
      </c>
      <c r="K266" s="737">
        <f t="shared" si="5"/>
        <v>22.423709875943658</v>
      </c>
      <c r="L266" s="354" t="s">
        <v>195</v>
      </c>
      <c r="M266" s="355" t="s">
        <v>74</v>
      </c>
      <c r="N266" s="355" t="s">
        <v>37</v>
      </c>
      <c r="O266" s="348" t="s">
        <v>35</v>
      </c>
      <c r="P266" s="99" t="s">
        <v>58</v>
      </c>
      <c r="Q266" s="348" t="s">
        <v>379</v>
      </c>
      <c r="R266" s="316" t="s">
        <v>205</v>
      </c>
      <c r="S266" s="128"/>
    </row>
    <row r="267" spans="1:19">
      <c r="A267" s="318">
        <v>401</v>
      </c>
      <c r="B267" s="351"/>
      <c r="C267" s="107">
        <v>14</v>
      </c>
      <c r="D267" s="107">
        <v>3</v>
      </c>
      <c r="E267" s="107" t="s">
        <v>216</v>
      </c>
      <c r="F267" s="319">
        <v>201.88</v>
      </c>
      <c r="G267" s="107" t="s">
        <v>20</v>
      </c>
      <c r="H267" s="294">
        <v>55.889144897460938</v>
      </c>
      <c r="I267" s="320">
        <v>-2.4819999999999998</v>
      </c>
      <c r="J267" s="287">
        <v>-1.0783713352680211</v>
      </c>
      <c r="K267" s="739">
        <f t="shared" si="5"/>
        <v>22.790152612917538</v>
      </c>
      <c r="L267" s="354" t="s">
        <v>195</v>
      </c>
      <c r="M267" s="355" t="s">
        <v>74</v>
      </c>
      <c r="N267" s="355" t="s">
        <v>37</v>
      </c>
      <c r="O267" s="348" t="s">
        <v>35</v>
      </c>
      <c r="P267" s="99" t="s">
        <v>58</v>
      </c>
      <c r="Q267" s="348" t="s">
        <v>379</v>
      </c>
      <c r="R267" s="316" t="s">
        <v>205</v>
      </c>
      <c r="S267" s="128"/>
    </row>
    <row r="268" spans="1:19">
      <c r="A268" s="318">
        <v>401</v>
      </c>
      <c r="B268" s="351"/>
      <c r="C268" s="107">
        <v>14</v>
      </c>
      <c r="D268" s="107">
        <v>3</v>
      </c>
      <c r="E268" s="107" t="s">
        <v>217</v>
      </c>
      <c r="F268" s="319">
        <v>201.98</v>
      </c>
      <c r="G268" s="107" t="s">
        <v>20</v>
      </c>
      <c r="H268" s="294">
        <v>55.900390625</v>
      </c>
      <c r="I268" s="320">
        <v>-2.38</v>
      </c>
      <c r="J268" s="287">
        <v>-1.0783713352680211</v>
      </c>
      <c r="K268" s="739">
        <f t="shared" si="5"/>
        <v>22.29203835063306</v>
      </c>
      <c r="L268" s="354" t="s">
        <v>195</v>
      </c>
      <c r="M268" s="355" t="s">
        <v>74</v>
      </c>
      <c r="N268" s="355" t="s">
        <v>37</v>
      </c>
      <c r="O268" s="348" t="s">
        <v>35</v>
      </c>
      <c r="P268" s="99" t="s">
        <v>58</v>
      </c>
      <c r="Q268" s="348" t="s">
        <v>379</v>
      </c>
      <c r="R268" s="316" t="s">
        <v>205</v>
      </c>
      <c r="S268" s="128"/>
    </row>
    <row r="269" spans="1:19">
      <c r="A269" s="318">
        <v>401</v>
      </c>
      <c r="B269" s="351"/>
      <c r="C269" s="107">
        <v>14</v>
      </c>
      <c r="D269" s="107">
        <v>3</v>
      </c>
      <c r="E269" s="107" t="s">
        <v>133</v>
      </c>
      <c r="F269" s="319">
        <v>202.09</v>
      </c>
      <c r="G269" s="107" t="s">
        <v>20</v>
      </c>
      <c r="H269" s="294">
        <v>55.912761688232422</v>
      </c>
      <c r="I269" s="320">
        <v>-2.4670000000000001</v>
      </c>
      <c r="J269" s="287">
        <v>-1.0783713352680211</v>
      </c>
      <c r="K269" s="739">
        <f t="shared" si="5"/>
        <v>22.716783065522765</v>
      </c>
      <c r="L269" s="354" t="s">
        <v>195</v>
      </c>
      <c r="M269" s="355" t="s">
        <v>74</v>
      </c>
      <c r="N269" s="355" t="s">
        <v>37</v>
      </c>
      <c r="O269" s="348" t="s">
        <v>35</v>
      </c>
      <c r="P269" s="99" t="s">
        <v>58</v>
      </c>
      <c r="Q269" s="348" t="s">
        <v>379</v>
      </c>
      <c r="R269" s="316" t="s">
        <v>205</v>
      </c>
      <c r="S269" s="128"/>
    </row>
    <row r="270" spans="1:19">
      <c r="A270" s="318">
        <v>401</v>
      </c>
      <c r="B270" s="351"/>
      <c r="C270" s="107">
        <v>14</v>
      </c>
      <c r="D270" s="107">
        <v>3</v>
      </c>
      <c r="E270" s="107" t="s">
        <v>136</v>
      </c>
      <c r="F270" s="319">
        <v>202.19</v>
      </c>
      <c r="G270" s="107" t="s">
        <v>20</v>
      </c>
      <c r="H270" s="294">
        <v>55.92401123046875</v>
      </c>
      <c r="I270" s="320">
        <v>-2.4340000000000002</v>
      </c>
      <c r="J270" s="287">
        <v>-1.0783713352680211</v>
      </c>
      <c r="K270" s="739">
        <f t="shared" si="5"/>
        <v>22.555512621254255</v>
      </c>
      <c r="L270" s="354" t="s">
        <v>195</v>
      </c>
      <c r="M270" s="355" t="s">
        <v>74</v>
      </c>
      <c r="N270" s="355" t="s">
        <v>37</v>
      </c>
      <c r="O270" s="348" t="s">
        <v>35</v>
      </c>
      <c r="P270" s="99" t="s">
        <v>58</v>
      </c>
      <c r="Q270" s="348" t="s">
        <v>379</v>
      </c>
      <c r="R270" s="316" t="s">
        <v>205</v>
      </c>
      <c r="S270" s="128"/>
    </row>
    <row r="271" spans="1:19">
      <c r="A271" s="318">
        <v>401</v>
      </c>
      <c r="B271" s="351"/>
      <c r="C271" s="107">
        <v>14</v>
      </c>
      <c r="D271" s="107">
        <v>3</v>
      </c>
      <c r="E271" s="107" t="s">
        <v>218</v>
      </c>
      <c r="F271" s="319">
        <v>202.25</v>
      </c>
      <c r="G271" s="107" t="s">
        <v>20</v>
      </c>
      <c r="H271" s="294">
        <v>55.930759429931641</v>
      </c>
      <c r="I271" s="321">
        <v>-2.2829881381988497</v>
      </c>
      <c r="J271" s="287">
        <v>-1.0783713352680211</v>
      </c>
      <c r="K271" s="739">
        <f t="shared" si="5"/>
        <v>21.820021113370341</v>
      </c>
      <c r="L271" s="354" t="s">
        <v>195</v>
      </c>
      <c r="M271" s="355" t="s">
        <v>74</v>
      </c>
      <c r="N271" s="355" t="s">
        <v>37</v>
      </c>
      <c r="O271" s="348" t="s">
        <v>35</v>
      </c>
      <c r="P271" s="99" t="s">
        <v>58</v>
      </c>
      <c r="Q271" s="348" t="s">
        <v>379</v>
      </c>
      <c r="R271" s="316" t="s">
        <v>205</v>
      </c>
      <c r="S271" s="128"/>
    </row>
    <row r="272" spans="1:19">
      <c r="A272" s="318">
        <v>401</v>
      </c>
      <c r="B272" s="351"/>
      <c r="C272" s="107">
        <v>14</v>
      </c>
      <c r="D272" s="107">
        <v>3</v>
      </c>
      <c r="E272" s="107" t="s">
        <v>219</v>
      </c>
      <c r="F272" s="319">
        <v>202.3</v>
      </c>
      <c r="G272" s="107" t="s">
        <v>20</v>
      </c>
      <c r="H272" s="294">
        <v>55.936382293701172</v>
      </c>
      <c r="I272" s="320">
        <v>-2.504</v>
      </c>
      <c r="J272" s="287">
        <v>-1.0783713352680211</v>
      </c>
      <c r="K272" s="739">
        <f t="shared" si="5"/>
        <v>22.897834542429877</v>
      </c>
      <c r="L272" s="354" t="s">
        <v>195</v>
      </c>
      <c r="M272" s="355" t="s">
        <v>74</v>
      </c>
      <c r="N272" s="355" t="s">
        <v>37</v>
      </c>
      <c r="O272" s="348" t="s">
        <v>35</v>
      </c>
      <c r="P272" s="99" t="s">
        <v>58</v>
      </c>
      <c r="Q272" s="348" t="s">
        <v>379</v>
      </c>
      <c r="R272" s="316" t="s">
        <v>205</v>
      </c>
      <c r="S272" s="128"/>
    </row>
    <row r="273" spans="1:19">
      <c r="A273" s="318">
        <v>401</v>
      </c>
      <c r="B273" s="351"/>
      <c r="C273" s="107">
        <v>14</v>
      </c>
      <c r="D273" s="107">
        <v>3</v>
      </c>
      <c r="E273" s="107" t="s">
        <v>220</v>
      </c>
      <c r="F273" s="319">
        <v>202.35</v>
      </c>
      <c r="G273" s="107" t="s">
        <v>20</v>
      </c>
      <c r="H273" s="294">
        <v>55.942005157470703</v>
      </c>
      <c r="I273" s="321">
        <v>-2.3025615882873498</v>
      </c>
      <c r="J273" s="287">
        <v>-1.0783713352680211</v>
      </c>
      <c r="K273" s="739">
        <f t="shared" si="5"/>
        <v>21.915120533812562</v>
      </c>
      <c r="L273" s="354" t="s">
        <v>195</v>
      </c>
      <c r="M273" s="355" t="s">
        <v>74</v>
      </c>
      <c r="N273" s="355" t="s">
        <v>37</v>
      </c>
      <c r="O273" s="348" t="s">
        <v>35</v>
      </c>
      <c r="P273" s="99" t="s">
        <v>58</v>
      </c>
      <c r="Q273" s="348" t="s">
        <v>379</v>
      </c>
      <c r="R273" s="316" t="s">
        <v>205</v>
      </c>
      <c r="S273" s="128"/>
    </row>
    <row r="274" spans="1:19">
      <c r="A274" s="318">
        <v>401</v>
      </c>
      <c r="B274" s="351"/>
      <c r="C274" s="107">
        <v>14</v>
      </c>
      <c r="D274" s="107">
        <v>3</v>
      </c>
      <c r="E274" s="107" t="s">
        <v>105</v>
      </c>
      <c r="F274" s="319">
        <v>202.41</v>
      </c>
      <c r="G274" s="107" t="s">
        <v>20</v>
      </c>
      <c r="H274" s="294">
        <v>55.948753356933594</v>
      </c>
      <c r="I274" s="320">
        <v>-2.5259999999999998</v>
      </c>
      <c r="J274" s="287">
        <v>-1.0783713352680211</v>
      </c>
      <c r="K274" s="739">
        <f t="shared" si="5"/>
        <v>23.005603591942211</v>
      </c>
      <c r="L274" s="354" t="s">
        <v>195</v>
      </c>
      <c r="M274" s="355" t="s">
        <v>74</v>
      </c>
      <c r="N274" s="355" t="s">
        <v>37</v>
      </c>
      <c r="O274" s="348" t="s">
        <v>35</v>
      </c>
      <c r="P274" s="99" t="s">
        <v>58</v>
      </c>
      <c r="Q274" s="348" t="s">
        <v>379</v>
      </c>
      <c r="R274" s="316" t="s">
        <v>205</v>
      </c>
      <c r="S274" s="128"/>
    </row>
    <row r="275" spans="1:19">
      <c r="A275" s="318">
        <v>401</v>
      </c>
      <c r="B275" s="351"/>
      <c r="C275" s="107">
        <v>14</v>
      </c>
      <c r="D275" s="107">
        <v>3</v>
      </c>
      <c r="E275" s="107" t="s">
        <v>221</v>
      </c>
      <c r="F275" s="319">
        <v>202.47</v>
      </c>
      <c r="G275" s="107" t="s">
        <v>20</v>
      </c>
      <c r="H275" s="294">
        <v>55.955501556396484</v>
      </c>
      <c r="I275" s="321">
        <v>-2.5718951892852799</v>
      </c>
      <c r="J275" s="287">
        <v>-1.0783713352680211</v>
      </c>
      <c r="K275" s="739">
        <f t="shared" si="5"/>
        <v>23.230705897866752</v>
      </c>
      <c r="L275" s="354" t="s">
        <v>195</v>
      </c>
      <c r="M275" s="355" t="s">
        <v>74</v>
      </c>
      <c r="N275" s="355" t="s">
        <v>37</v>
      </c>
      <c r="O275" s="348" t="s">
        <v>35</v>
      </c>
      <c r="P275" s="99" t="s">
        <v>58</v>
      </c>
      <c r="Q275" s="348" t="s">
        <v>379</v>
      </c>
      <c r="R275" s="316" t="s">
        <v>205</v>
      </c>
      <c r="S275" s="128"/>
    </row>
    <row r="276" spans="1:19">
      <c r="A276" s="318">
        <v>401</v>
      </c>
      <c r="B276" s="351"/>
      <c r="C276" s="107">
        <v>14</v>
      </c>
      <c r="D276" s="107">
        <v>3</v>
      </c>
      <c r="E276" s="107" t="s">
        <v>222</v>
      </c>
      <c r="F276" s="319">
        <v>202.49</v>
      </c>
      <c r="G276" s="107"/>
      <c r="H276" s="294">
        <v>55.957752227783203</v>
      </c>
      <c r="I276" s="321">
        <v>-2.3738184642791698</v>
      </c>
      <c r="J276" s="287">
        <v>-1.0783713352680211</v>
      </c>
      <c r="K276" s="737">
        <f t="shared" si="5"/>
        <v>22.26191117237742</v>
      </c>
      <c r="L276" s="354" t="s">
        <v>195</v>
      </c>
      <c r="M276" s="355" t="s">
        <v>74</v>
      </c>
      <c r="N276" s="355" t="s">
        <v>37</v>
      </c>
      <c r="O276" s="348" t="s">
        <v>35</v>
      </c>
      <c r="P276" s="99" t="s">
        <v>58</v>
      </c>
      <c r="Q276" s="348" t="s">
        <v>379</v>
      </c>
      <c r="R276" s="316" t="s">
        <v>205</v>
      </c>
      <c r="S276" s="128"/>
    </row>
    <row r="277" spans="1:19">
      <c r="A277" s="318">
        <v>401</v>
      </c>
      <c r="B277" s="351"/>
      <c r="C277" s="107">
        <v>14</v>
      </c>
      <c r="D277" s="107">
        <v>3</v>
      </c>
      <c r="E277" s="107" t="s">
        <v>223</v>
      </c>
      <c r="F277" s="319">
        <v>202.52500000000001</v>
      </c>
      <c r="G277" s="107"/>
      <c r="H277" s="294">
        <v>55.962448120117188</v>
      </c>
      <c r="I277" s="321">
        <v>-1.8929555892944301</v>
      </c>
      <c r="J277" s="287">
        <v>-1.0783713352680211</v>
      </c>
      <c r="K277" s="737">
        <f t="shared" si="5"/>
        <v>19.939390214304236</v>
      </c>
      <c r="L277" s="354" t="s">
        <v>195</v>
      </c>
      <c r="M277" s="355" t="s">
        <v>74</v>
      </c>
      <c r="N277" s="355" t="s">
        <v>37</v>
      </c>
      <c r="O277" s="348" t="s">
        <v>35</v>
      </c>
      <c r="P277" s="99" t="s">
        <v>58</v>
      </c>
      <c r="Q277" s="348" t="s">
        <v>379</v>
      </c>
      <c r="R277" s="316" t="s">
        <v>205</v>
      </c>
      <c r="S277" s="128"/>
    </row>
    <row r="278" spans="1:19">
      <c r="A278" s="318">
        <v>401</v>
      </c>
      <c r="B278" s="351"/>
      <c r="C278" s="107">
        <v>14</v>
      </c>
      <c r="D278" s="107">
        <v>3</v>
      </c>
      <c r="E278" s="107" t="s">
        <v>224</v>
      </c>
      <c r="F278" s="319">
        <v>202.54499999999999</v>
      </c>
      <c r="G278" s="107"/>
      <c r="H278" s="294">
        <v>55.965709686279297</v>
      </c>
      <c r="I278" s="320">
        <v>-1.746</v>
      </c>
      <c r="J278" s="287">
        <v>-1.0783713352680211</v>
      </c>
      <c r="K278" s="737">
        <f t="shared" si="5"/>
        <v>19.237912527413844</v>
      </c>
      <c r="L278" s="354" t="s">
        <v>195</v>
      </c>
      <c r="M278" s="355" t="s">
        <v>74</v>
      </c>
      <c r="N278" s="355" t="s">
        <v>37</v>
      </c>
      <c r="O278" s="348" t="s">
        <v>35</v>
      </c>
      <c r="P278" s="99" t="s">
        <v>58</v>
      </c>
      <c r="Q278" s="348" t="s">
        <v>379</v>
      </c>
      <c r="R278" s="316" t="s">
        <v>205</v>
      </c>
      <c r="S278" s="128"/>
    </row>
    <row r="279" spans="1:19">
      <c r="A279" s="318">
        <v>401</v>
      </c>
      <c r="B279" s="351"/>
      <c r="C279" s="107">
        <v>14</v>
      </c>
      <c r="D279" s="107">
        <v>3</v>
      </c>
      <c r="E279" s="107" t="s">
        <v>225</v>
      </c>
      <c r="F279" s="319">
        <v>202.63</v>
      </c>
      <c r="G279" s="107"/>
      <c r="H279" s="294">
        <v>55.979583740234375</v>
      </c>
      <c r="I279" s="320">
        <v>-1.6910000000000001</v>
      </c>
      <c r="J279" s="287">
        <v>-1.0783713352680211</v>
      </c>
      <c r="K279" s="737">
        <f t="shared" si="5"/>
        <v>18.976375253632998</v>
      </c>
      <c r="L279" s="354" t="s">
        <v>195</v>
      </c>
      <c r="M279" s="355" t="s">
        <v>74</v>
      </c>
      <c r="N279" s="355" t="s">
        <v>37</v>
      </c>
      <c r="O279" s="348" t="s">
        <v>35</v>
      </c>
      <c r="P279" s="99" t="s">
        <v>58</v>
      </c>
      <c r="Q279" s="348" t="s">
        <v>379</v>
      </c>
      <c r="R279" s="316" t="s">
        <v>205</v>
      </c>
      <c r="S279" s="128"/>
    </row>
    <row r="280" spans="1:19">
      <c r="A280" s="318">
        <v>401</v>
      </c>
      <c r="B280" s="351"/>
      <c r="C280" s="107">
        <v>14</v>
      </c>
      <c r="D280" s="107">
        <v>3</v>
      </c>
      <c r="E280" s="107" t="s">
        <v>226</v>
      </c>
      <c r="F280" s="319">
        <v>202.72499999999999</v>
      </c>
      <c r="G280" s="107"/>
      <c r="H280" s="294">
        <v>55.995086669921875</v>
      </c>
      <c r="I280" s="320">
        <v>-1.385</v>
      </c>
      <c r="J280" s="287">
        <v>-1.0783713352680211</v>
      </c>
      <c r="K280" s="737">
        <f t="shared" si="5"/>
        <v>17.531218906779561</v>
      </c>
      <c r="L280" s="354" t="s">
        <v>195</v>
      </c>
      <c r="M280" s="355" t="s">
        <v>74</v>
      </c>
      <c r="N280" s="355" t="s">
        <v>37</v>
      </c>
      <c r="O280" s="348" t="s">
        <v>35</v>
      </c>
      <c r="P280" s="99" t="s">
        <v>58</v>
      </c>
      <c r="Q280" s="348" t="s">
        <v>379</v>
      </c>
      <c r="R280" s="316" t="s">
        <v>205</v>
      </c>
      <c r="S280" s="128"/>
    </row>
    <row r="281" spans="1:19">
      <c r="A281" s="318">
        <v>401</v>
      </c>
      <c r="B281" s="351"/>
      <c r="C281" s="107">
        <v>14</v>
      </c>
      <c r="D281" s="107">
        <v>3</v>
      </c>
      <c r="E281" s="107" t="s">
        <v>227</v>
      </c>
      <c r="F281" s="319">
        <v>202.83500000000001</v>
      </c>
      <c r="G281" s="107"/>
      <c r="H281" s="294">
        <v>56.013034820556641</v>
      </c>
      <c r="I281" s="320">
        <v>-1.5860000000000001</v>
      </c>
      <c r="J281" s="287">
        <v>-1.0783713352680211</v>
      </c>
      <c r="K281" s="737">
        <f t="shared" si="5"/>
        <v>18.478588821869568</v>
      </c>
      <c r="L281" s="354" t="s">
        <v>195</v>
      </c>
      <c r="M281" s="355" t="s">
        <v>74</v>
      </c>
      <c r="N281" s="355" t="s">
        <v>37</v>
      </c>
      <c r="O281" s="348" t="s">
        <v>35</v>
      </c>
      <c r="P281" s="99" t="s">
        <v>58</v>
      </c>
      <c r="Q281" s="348" t="s">
        <v>379</v>
      </c>
      <c r="R281" s="316" t="s">
        <v>205</v>
      </c>
      <c r="S281" s="128"/>
    </row>
    <row r="282" spans="1:19">
      <c r="A282" s="318">
        <v>401</v>
      </c>
      <c r="B282" s="351"/>
      <c r="C282" s="107">
        <v>14</v>
      </c>
      <c r="D282" s="107">
        <v>3</v>
      </c>
      <c r="E282" s="107" t="s">
        <v>228</v>
      </c>
      <c r="F282" s="319">
        <v>202.94</v>
      </c>
      <c r="G282" s="107"/>
      <c r="H282" s="294">
        <v>56.030170440673828</v>
      </c>
      <c r="I282" s="320">
        <v>-1.6339999999999999</v>
      </c>
      <c r="J282" s="287">
        <v>-1.0783713352680211</v>
      </c>
      <c r="K282" s="737">
        <f t="shared" si="5"/>
        <v>18.705902093532849</v>
      </c>
      <c r="L282" s="354" t="s">
        <v>195</v>
      </c>
      <c r="M282" s="355" t="s">
        <v>74</v>
      </c>
      <c r="N282" s="355" t="s">
        <v>37</v>
      </c>
      <c r="O282" s="348" t="s">
        <v>35</v>
      </c>
      <c r="P282" s="99" t="s">
        <v>58</v>
      </c>
      <c r="Q282" s="348" t="s">
        <v>379</v>
      </c>
      <c r="R282" s="316" t="s">
        <v>205</v>
      </c>
      <c r="S282" s="128"/>
    </row>
    <row r="283" spans="1:19">
      <c r="A283" s="318">
        <v>401</v>
      </c>
      <c r="B283" s="351"/>
      <c r="C283" s="107">
        <v>14</v>
      </c>
      <c r="D283" s="107">
        <v>4</v>
      </c>
      <c r="E283" s="107" t="s">
        <v>229</v>
      </c>
      <c r="F283" s="319">
        <v>203.22499999999999</v>
      </c>
      <c r="G283" s="107"/>
      <c r="H283" s="294">
        <v>56.076679229736328</v>
      </c>
      <c r="I283" s="320">
        <v>-1.2030000000000001</v>
      </c>
      <c r="J283" s="287">
        <v>-1.0783713352680211</v>
      </c>
      <c r="K283" s="737">
        <f t="shared" si="5"/>
        <v>16.679674911722945</v>
      </c>
      <c r="L283" s="354" t="s">
        <v>195</v>
      </c>
      <c r="M283" s="355" t="s">
        <v>74</v>
      </c>
      <c r="N283" s="355" t="s">
        <v>37</v>
      </c>
      <c r="O283" s="348" t="s">
        <v>35</v>
      </c>
      <c r="P283" s="99" t="s">
        <v>58</v>
      </c>
      <c r="Q283" s="348" t="s">
        <v>379</v>
      </c>
      <c r="R283" s="316" t="s">
        <v>205</v>
      </c>
      <c r="S283" s="128"/>
    </row>
    <row r="284" spans="1:19">
      <c r="A284" s="357">
        <v>401</v>
      </c>
      <c r="B284" s="351"/>
      <c r="C284" s="107">
        <v>14</v>
      </c>
      <c r="D284" s="107">
        <v>4</v>
      </c>
      <c r="E284" s="107" t="s">
        <v>230</v>
      </c>
      <c r="F284" s="319">
        <v>203.32499999999999</v>
      </c>
      <c r="G284" s="107"/>
      <c r="H284" s="294">
        <v>56.092994689941406</v>
      </c>
      <c r="I284" s="320">
        <v>-1.1819999999999999</v>
      </c>
      <c r="J284" s="287">
        <v>-1.0783713352680211</v>
      </c>
      <c r="K284" s="737">
        <f t="shared" si="5"/>
        <v>16.581803505370253</v>
      </c>
      <c r="L284" s="354" t="s">
        <v>195</v>
      </c>
      <c r="M284" s="355" t="s">
        <v>74</v>
      </c>
      <c r="N284" s="355" t="s">
        <v>37</v>
      </c>
      <c r="O284" s="348" t="s">
        <v>35</v>
      </c>
      <c r="P284" s="99" t="s">
        <v>58</v>
      </c>
      <c r="Q284" s="348" t="s">
        <v>379</v>
      </c>
      <c r="R284" s="316" t="s">
        <v>205</v>
      </c>
      <c r="S284" s="128"/>
    </row>
    <row r="285" spans="1:19">
      <c r="A285" s="357">
        <v>401</v>
      </c>
      <c r="B285" s="351"/>
      <c r="C285" s="107">
        <v>14</v>
      </c>
      <c r="D285" s="107">
        <v>4</v>
      </c>
      <c r="E285" s="107" t="s">
        <v>231</v>
      </c>
      <c r="F285" s="319">
        <v>203.39500000000001</v>
      </c>
      <c r="G285" s="107"/>
      <c r="H285" s="294">
        <v>56.104419708251953</v>
      </c>
      <c r="I285" s="320">
        <v>-1.216</v>
      </c>
      <c r="J285" s="287">
        <v>-1.0783713352680211</v>
      </c>
      <c r="K285" s="737">
        <f t="shared" si="5"/>
        <v>16.740301752798413</v>
      </c>
      <c r="L285" s="354" t="s">
        <v>195</v>
      </c>
      <c r="M285" s="355" t="s">
        <v>74</v>
      </c>
      <c r="N285" s="355" t="s">
        <v>37</v>
      </c>
      <c r="O285" s="348" t="s">
        <v>35</v>
      </c>
      <c r="P285" s="99" t="s">
        <v>58</v>
      </c>
      <c r="Q285" s="348" t="s">
        <v>379</v>
      </c>
      <c r="R285" s="316" t="s">
        <v>205</v>
      </c>
      <c r="S285" s="128"/>
    </row>
    <row r="286" spans="1:19">
      <c r="A286" s="357">
        <v>401</v>
      </c>
      <c r="B286" s="351"/>
      <c r="C286" s="107">
        <v>14</v>
      </c>
      <c r="D286" s="107">
        <v>4</v>
      </c>
      <c r="E286" s="107" t="s">
        <v>232</v>
      </c>
      <c r="F286" s="319">
        <v>203.70500000000001</v>
      </c>
      <c r="G286" s="253" t="s">
        <v>196</v>
      </c>
      <c r="H286" s="294">
        <v>56.155006408691406</v>
      </c>
      <c r="I286" s="320">
        <v>-1.1459999999999999</v>
      </c>
      <c r="J286" s="287">
        <v>-1.0783713352680211</v>
      </c>
      <c r="K286" s="738">
        <f t="shared" si="5"/>
        <v>16.414208631622792</v>
      </c>
      <c r="L286" s="354" t="s">
        <v>195</v>
      </c>
      <c r="M286" s="355" t="s">
        <v>74</v>
      </c>
      <c r="N286" s="355" t="s">
        <v>37</v>
      </c>
      <c r="O286" s="348" t="s">
        <v>35</v>
      </c>
      <c r="P286" s="99" t="s">
        <v>58</v>
      </c>
      <c r="Q286" s="348" t="s">
        <v>379</v>
      </c>
      <c r="R286" s="316" t="s">
        <v>205</v>
      </c>
      <c r="S286" s="347" t="s">
        <v>779</v>
      </c>
    </row>
    <row r="287" spans="1:19">
      <c r="A287" s="357">
        <v>401</v>
      </c>
      <c r="B287" s="351"/>
      <c r="C287" s="107">
        <v>14</v>
      </c>
      <c r="D287" s="107">
        <v>4</v>
      </c>
      <c r="E287" s="107" t="s">
        <v>233</v>
      </c>
      <c r="F287" s="319">
        <v>203.905</v>
      </c>
      <c r="G287" s="253" t="s">
        <v>196</v>
      </c>
      <c r="H287" s="294">
        <v>56.187644958496094</v>
      </c>
      <c r="I287" s="320">
        <v>-1.016</v>
      </c>
      <c r="J287" s="287">
        <v>-1.0783713352680211</v>
      </c>
      <c r="K287" s="738">
        <f t="shared" si="5"/>
        <v>15.810947120868065</v>
      </c>
      <c r="L287" s="354" t="s">
        <v>195</v>
      </c>
      <c r="M287" s="355" t="s">
        <v>74</v>
      </c>
      <c r="N287" s="355" t="s">
        <v>37</v>
      </c>
      <c r="O287" s="348" t="s">
        <v>35</v>
      </c>
      <c r="P287" s="99" t="s">
        <v>58</v>
      </c>
      <c r="Q287" s="348" t="s">
        <v>379</v>
      </c>
      <c r="R287" s="316" t="s">
        <v>205</v>
      </c>
      <c r="S287" s="347" t="s">
        <v>779</v>
      </c>
    </row>
    <row r="288" spans="1:19">
      <c r="A288" s="357">
        <v>401</v>
      </c>
      <c r="B288" s="351"/>
      <c r="C288" s="107">
        <v>14</v>
      </c>
      <c r="D288" s="107">
        <v>5</v>
      </c>
      <c r="E288" s="107" t="s">
        <v>134</v>
      </c>
      <c r="F288" s="319">
        <v>205.15</v>
      </c>
      <c r="G288" s="253" t="s">
        <v>196</v>
      </c>
      <c r="H288" s="294">
        <v>56.39080810546875</v>
      </c>
      <c r="I288" s="320">
        <v>-1.135</v>
      </c>
      <c r="J288" s="287">
        <v>-1.0783713352680211</v>
      </c>
      <c r="K288" s="738">
        <f t="shared" si="5"/>
        <v>16.363045616866621</v>
      </c>
      <c r="L288" s="354" t="s">
        <v>195</v>
      </c>
      <c r="M288" s="355" t="s">
        <v>74</v>
      </c>
      <c r="N288" s="355" t="s">
        <v>37</v>
      </c>
      <c r="O288" s="348" t="s">
        <v>35</v>
      </c>
      <c r="P288" s="99" t="s">
        <v>58</v>
      </c>
      <c r="Q288" s="348" t="s">
        <v>379</v>
      </c>
      <c r="R288" s="316" t="s">
        <v>205</v>
      </c>
      <c r="S288" s="347" t="s">
        <v>779</v>
      </c>
    </row>
    <row r="289" spans="1:19">
      <c r="A289" s="357">
        <v>401</v>
      </c>
      <c r="B289" s="351"/>
      <c r="C289" s="323">
        <v>14</v>
      </c>
      <c r="D289" s="323">
        <v>1</v>
      </c>
      <c r="E289" s="89" t="s">
        <v>345</v>
      </c>
      <c r="F289" s="323">
        <v>198.69</v>
      </c>
      <c r="H289" s="294">
        <v>55.530357360839844</v>
      </c>
      <c r="I289" s="130">
        <v>-1.96</v>
      </c>
      <c r="J289" s="287">
        <v>-1.0783713352680211</v>
      </c>
      <c r="K289" s="737">
        <f t="shared" ref="K289:K314" si="6">16.1-4.64*($I289-J289)+0.09*($I289-J289)^2</f>
        <v>20.260711223579325</v>
      </c>
      <c r="L289" s="354" t="s">
        <v>195</v>
      </c>
      <c r="M289" s="355" t="s">
        <v>74</v>
      </c>
      <c r="N289" s="355"/>
      <c r="O289" s="348" t="s">
        <v>35</v>
      </c>
      <c r="P289" s="99" t="s">
        <v>58</v>
      </c>
      <c r="Q289" s="348" t="s">
        <v>379</v>
      </c>
      <c r="R289" s="316" t="s">
        <v>387</v>
      </c>
      <c r="S289" s="347"/>
    </row>
    <row r="290" spans="1:19">
      <c r="A290" s="357">
        <v>401</v>
      </c>
      <c r="B290" s="351"/>
      <c r="C290" s="323">
        <v>14</v>
      </c>
      <c r="D290" s="323">
        <v>1</v>
      </c>
      <c r="E290" s="89" t="s">
        <v>101</v>
      </c>
      <c r="F290" s="323">
        <v>199.21</v>
      </c>
      <c r="H290" s="294">
        <v>55.588844299316406</v>
      </c>
      <c r="I290" s="130">
        <v>-0.73</v>
      </c>
      <c r="J290" s="287">
        <v>-1.0783713352680211</v>
      </c>
      <c r="K290" s="737">
        <f t="shared" si="6"/>
        <v>14.494479637207661</v>
      </c>
      <c r="L290" s="354" t="s">
        <v>195</v>
      </c>
      <c r="M290" s="355" t="s">
        <v>74</v>
      </c>
      <c r="N290" s="355"/>
      <c r="O290" s="348" t="s">
        <v>35</v>
      </c>
      <c r="P290" s="99" t="s">
        <v>58</v>
      </c>
      <c r="Q290" s="348" t="s">
        <v>379</v>
      </c>
      <c r="R290" s="316" t="s">
        <v>387</v>
      </c>
      <c r="S290" s="347"/>
    </row>
    <row r="291" spans="1:19">
      <c r="A291" s="357">
        <v>401</v>
      </c>
      <c r="B291" s="351"/>
      <c r="C291" s="323">
        <v>14</v>
      </c>
      <c r="D291" s="323">
        <v>1</v>
      </c>
      <c r="E291" s="89" t="s">
        <v>381</v>
      </c>
      <c r="F291" s="323">
        <v>199.7</v>
      </c>
      <c r="H291" s="294">
        <v>55.643951416015625</v>
      </c>
      <c r="I291" s="130">
        <v>-1.81</v>
      </c>
      <c r="J291" s="287">
        <v>-1.0783713352680211</v>
      </c>
      <c r="K291" s="737">
        <f t="shared" si="6"/>
        <v>19.542932249631559</v>
      </c>
      <c r="L291" s="354" t="s">
        <v>195</v>
      </c>
      <c r="M291" s="355" t="s">
        <v>74</v>
      </c>
      <c r="N291" s="355"/>
      <c r="O291" s="348" t="s">
        <v>35</v>
      </c>
      <c r="P291" s="99" t="s">
        <v>58</v>
      </c>
      <c r="Q291" s="348" t="s">
        <v>379</v>
      </c>
      <c r="R291" s="316" t="s">
        <v>387</v>
      </c>
      <c r="S291" s="347"/>
    </row>
    <row r="292" spans="1:19">
      <c r="A292" s="357">
        <v>401</v>
      </c>
      <c r="B292" s="351"/>
      <c r="C292" s="323">
        <v>14</v>
      </c>
      <c r="D292" s="323">
        <v>2</v>
      </c>
      <c r="E292" s="89" t="s">
        <v>106</v>
      </c>
      <c r="F292" s="323">
        <v>200.01</v>
      </c>
      <c r="H292" s="294">
        <v>55.678817749023438</v>
      </c>
      <c r="I292" s="130">
        <v>-1.84</v>
      </c>
      <c r="J292" s="287">
        <v>-1.0783713352680211</v>
      </c>
      <c r="K292" s="737">
        <f t="shared" si="6"/>
        <v>19.686164044421108</v>
      </c>
      <c r="L292" s="354" t="s">
        <v>195</v>
      </c>
      <c r="M292" s="355" t="s">
        <v>74</v>
      </c>
      <c r="N292" s="355"/>
      <c r="O292" s="348" t="s">
        <v>35</v>
      </c>
      <c r="P292" s="99" t="s">
        <v>58</v>
      </c>
      <c r="Q292" s="348" t="s">
        <v>379</v>
      </c>
      <c r="R292" s="316" t="s">
        <v>387</v>
      </c>
      <c r="S292" s="347"/>
    </row>
    <row r="293" spans="1:19">
      <c r="A293" s="357">
        <v>401</v>
      </c>
      <c r="B293" s="351"/>
      <c r="C293" s="323">
        <v>14</v>
      </c>
      <c r="D293" s="323">
        <v>2</v>
      </c>
      <c r="E293" s="89" t="s">
        <v>351</v>
      </c>
      <c r="F293" s="323">
        <v>200.45</v>
      </c>
      <c r="H293" s="294">
        <v>55.728305816650391</v>
      </c>
      <c r="I293" s="130">
        <v>-2.21</v>
      </c>
      <c r="J293" s="287">
        <v>-1.0783713352680211</v>
      </c>
      <c r="K293" s="737">
        <f t="shared" si="6"/>
        <v>21.46600951349226</v>
      </c>
      <c r="L293" s="354" t="s">
        <v>195</v>
      </c>
      <c r="M293" s="355" t="s">
        <v>74</v>
      </c>
      <c r="N293" s="355"/>
      <c r="O293" s="348" t="s">
        <v>35</v>
      </c>
      <c r="P293" s="99" t="s">
        <v>58</v>
      </c>
      <c r="Q293" s="348" t="s">
        <v>379</v>
      </c>
      <c r="R293" s="316" t="s">
        <v>387</v>
      </c>
      <c r="S293" s="347"/>
    </row>
    <row r="294" spans="1:19">
      <c r="A294" s="357">
        <v>401</v>
      </c>
      <c r="B294" s="351"/>
      <c r="C294" s="323">
        <v>14</v>
      </c>
      <c r="D294" s="323">
        <v>2</v>
      </c>
      <c r="E294" s="89" t="s">
        <v>212</v>
      </c>
      <c r="F294" s="323">
        <v>200.73</v>
      </c>
      <c r="H294" s="294">
        <v>55.759799957275391</v>
      </c>
      <c r="I294" s="130">
        <v>-2.09</v>
      </c>
      <c r="J294" s="287">
        <v>-1.0783713352680211</v>
      </c>
      <c r="K294" s="737">
        <f t="shared" si="6"/>
        <v>20.886062334334049</v>
      </c>
      <c r="L294" s="354" t="s">
        <v>195</v>
      </c>
      <c r="M294" s="355" t="s">
        <v>74</v>
      </c>
      <c r="N294" s="355"/>
      <c r="O294" s="348" t="s">
        <v>35</v>
      </c>
      <c r="P294" s="99" t="s">
        <v>58</v>
      </c>
      <c r="Q294" s="348" t="s">
        <v>379</v>
      </c>
      <c r="R294" s="316" t="s">
        <v>387</v>
      </c>
      <c r="S294" s="347"/>
    </row>
    <row r="295" spans="1:19">
      <c r="A295" s="357">
        <v>401</v>
      </c>
      <c r="B295" s="351"/>
      <c r="C295" s="323">
        <v>14</v>
      </c>
      <c r="D295" s="323">
        <v>2</v>
      </c>
      <c r="E295" s="89" t="s">
        <v>382</v>
      </c>
      <c r="F295" s="323">
        <v>200.93</v>
      </c>
      <c r="G295" s="323" t="s">
        <v>380</v>
      </c>
      <c r="H295" s="294">
        <v>55.782295227050781</v>
      </c>
      <c r="I295" s="130">
        <v>-1.72</v>
      </c>
      <c r="J295" s="287">
        <v>-1.0783713352680211</v>
      </c>
      <c r="K295" s="737">
        <f t="shared" si="6"/>
        <v>19.114208865262899</v>
      </c>
      <c r="L295" s="354" t="s">
        <v>195</v>
      </c>
      <c r="M295" s="355" t="s">
        <v>74</v>
      </c>
      <c r="N295" s="355"/>
      <c r="O295" s="348" t="s">
        <v>35</v>
      </c>
      <c r="P295" s="99" t="s">
        <v>58</v>
      </c>
      <c r="Q295" s="348" t="s">
        <v>379</v>
      </c>
      <c r="R295" s="316" t="s">
        <v>387</v>
      </c>
      <c r="S295" s="347"/>
    </row>
    <row r="296" spans="1:19">
      <c r="A296" s="357">
        <v>401</v>
      </c>
      <c r="B296" s="351"/>
      <c r="C296" s="323">
        <v>14</v>
      </c>
      <c r="D296" s="323">
        <v>2</v>
      </c>
      <c r="E296" s="89" t="s">
        <v>381</v>
      </c>
      <c r="F296" s="323">
        <v>201.2</v>
      </c>
      <c r="G296" s="323" t="s">
        <v>59</v>
      </c>
      <c r="H296" s="294">
        <v>55.812660217285156</v>
      </c>
      <c r="I296" s="130">
        <v>-2.1800000000000002</v>
      </c>
      <c r="J296" s="287">
        <v>-1.0783713352680211</v>
      </c>
      <c r="K296" s="737">
        <f t="shared" si="6"/>
        <v>21.320779718702706</v>
      </c>
      <c r="L296" s="354" t="s">
        <v>195</v>
      </c>
      <c r="M296" s="355" t="s">
        <v>74</v>
      </c>
      <c r="N296" s="355"/>
      <c r="O296" s="348" t="s">
        <v>35</v>
      </c>
      <c r="P296" s="99" t="s">
        <v>58</v>
      </c>
      <c r="Q296" s="348" t="s">
        <v>379</v>
      </c>
      <c r="R296" s="316" t="s">
        <v>387</v>
      </c>
      <c r="S296" s="347"/>
    </row>
    <row r="297" spans="1:19">
      <c r="A297" s="357">
        <v>401</v>
      </c>
      <c r="B297" s="351"/>
      <c r="C297" s="323">
        <v>14</v>
      </c>
      <c r="D297" s="323">
        <v>2</v>
      </c>
      <c r="E297" s="89" t="s">
        <v>383</v>
      </c>
      <c r="F297" s="323">
        <v>201.46</v>
      </c>
      <c r="G297" s="323" t="s">
        <v>59</v>
      </c>
      <c r="H297" s="294">
        <v>55.841903686523438</v>
      </c>
      <c r="I297" s="130">
        <v>-2.17</v>
      </c>
      <c r="J297" s="287">
        <v>-1.0783713352680211</v>
      </c>
      <c r="K297" s="737">
        <f t="shared" si="6"/>
        <v>21.272405787106187</v>
      </c>
      <c r="L297" s="354" t="s">
        <v>195</v>
      </c>
      <c r="M297" s="355" t="s">
        <v>74</v>
      </c>
      <c r="N297" s="355"/>
      <c r="O297" s="348" t="s">
        <v>35</v>
      </c>
      <c r="P297" s="99" t="s">
        <v>58</v>
      </c>
      <c r="Q297" s="348" t="s">
        <v>379</v>
      </c>
      <c r="R297" s="316" t="s">
        <v>387</v>
      </c>
      <c r="S297" s="347"/>
    </row>
    <row r="298" spans="1:19">
      <c r="A298" s="357">
        <v>401</v>
      </c>
      <c r="B298" s="351"/>
      <c r="C298" s="323">
        <v>14</v>
      </c>
      <c r="D298" s="323">
        <v>3</v>
      </c>
      <c r="E298" s="89" t="s">
        <v>113</v>
      </c>
      <c r="F298" s="323">
        <v>201.71</v>
      </c>
      <c r="G298" s="323" t="s">
        <v>59</v>
      </c>
      <c r="H298" s="294">
        <v>55.870021820068359</v>
      </c>
      <c r="I298" s="130">
        <v>-2.19</v>
      </c>
      <c r="J298" s="287">
        <v>-1.0783713352680211</v>
      </c>
      <c r="K298" s="737">
        <f t="shared" si="6"/>
        <v>21.369171650299226</v>
      </c>
      <c r="L298" s="354" t="s">
        <v>195</v>
      </c>
      <c r="M298" s="355" t="s">
        <v>74</v>
      </c>
      <c r="N298" s="355"/>
      <c r="O298" s="348" t="s">
        <v>35</v>
      </c>
      <c r="P298" s="99" t="s">
        <v>58</v>
      </c>
      <c r="Q298" s="348" t="s">
        <v>379</v>
      </c>
      <c r="R298" s="316" t="s">
        <v>387</v>
      </c>
      <c r="S298" s="347"/>
    </row>
    <row r="299" spans="1:19">
      <c r="A299" s="357">
        <v>401</v>
      </c>
      <c r="B299" s="351"/>
      <c r="C299" s="323">
        <v>14</v>
      </c>
      <c r="D299" s="323">
        <v>3</v>
      </c>
      <c r="E299" s="89" t="s">
        <v>111</v>
      </c>
      <c r="F299" s="323">
        <v>201.91</v>
      </c>
      <c r="G299" s="323" t="s">
        <v>20</v>
      </c>
      <c r="H299" s="294">
        <v>55.89251708984375</v>
      </c>
      <c r="I299" s="130">
        <v>-2.29</v>
      </c>
      <c r="J299" s="287">
        <v>-1.0783713352680211</v>
      </c>
      <c r="K299" s="739">
        <f t="shared" si="6"/>
        <v>21.854080966264402</v>
      </c>
      <c r="L299" s="354" t="s">
        <v>195</v>
      </c>
      <c r="M299" s="355" t="s">
        <v>74</v>
      </c>
      <c r="N299" s="355"/>
      <c r="O299" s="348" t="s">
        <v>35</v>
      </c>
      <c r="P299" s="99" t="s">
        <v>58</v>
      </c>
      <c r="Q299" s="348" t="s">
        <v>379</v>
      </c>
      <c r="R299" s="316" t="s">
        <v>387</v>
      </c>
      <c r="S299" s="347"/>
    </row>
    <row r="300" spans="1:19">
      <c r="A300" s="357">
        <v>401</v>
      </c>
      <c r="B300" s="351"/>
      <c r="C300" s="323">
        <v>14</v>
      </c>
      <c r="D300" s="323">
        <v>3</v>
      </c>
      <c r="E300" s="89" t="s">
        <v>101</v>
      </c>
      <c r="F300" s="323">
        <v>202.21</v>
      </c>
      <c r="G300" s="323" t="s">
        <v>20</v>
      </c>
      <c r="H300" s="294">
        <v>55.926258087158203</v>
      </c>
      <c r="I300" s="130">
        <v>-2.41</v>
      </c>
      <c r="J300" s="287">
        <v>-1.0783713352680211</v>
      </c>
      <c r="K300" s="739">
        <f t="shared" si="6"/>
        <v>22.438348145422612</v>
      </c>
      <c r="L300" s="354" t="s">
        <v>195</v>
      </c>
      <c r="M300" s="355" t="s">
        <v>74</v>
      </c>
      <c r="N300" s="355"/>
      <c r="O300" s="348" t="s">
        <v>35</v>
      </c>
      <c r="P300" s="99" t="s">
        <v>58</v>
      </c>
      <c r="Q300" s="348" t="s">
        <v>379</v>
      </c>
      <c r="R300" s="316" t="s">
        <v>387</v>
      </c>
      <c r="S300" s="347"/>
    </row>
    <row r="301" spans="1:19">
      <c r="A301" s="357">
        <v>401</v>
      </c>
      <c r="B301" s="351"/>
      <c r="C301" s="323">
        <v>14</v>
      </c>
      <c r="D301" s="323">
        <v>3</v>
      </c>
      <c r="E301" s="89" t="s">
        <v>138</v>
      </c>
      <c r="F301" s="323">
        <v>202.46</v>
      </c>
      <c r="G301" s="323" t="s">
        <v>20</v>
      </c>
      <c r="H301" s="294">
        <v>55.954376220703125</v>
      </c>
      <c r="I301" s="130">
        <v>-2.2400000000000002</v>
      </c>
      <c r="J301" s="287">
        <v>-1.0783713352680211</v>
      </c>
      <c r="K301" s="739">
        <f t="shared" si="6"/>
        <v>21.611401308281813</v>
      </c>
      <c r="L301" s="354" t="s">
        <v>195</v>
      </c>
      <c r="M301" s="355" t="s">
        <v>74</v>
      </c>
      <c r="N301" s="355"/>
      <c r="O301" s="348" t="s">
        <v>35</v>
      </c>
      <c r="P301" s="99" t="s">
        <v>58</v>
      </c>
      <c r="Q301" s="348" t="s">
        <v>379</v>
      </c>
      <c r="R301" s="316" t="s">
        <v>387</v>
      </c>
      <c r="S301" s="347"/>
    </row>
    <row r="302" spans="1:19">
      <c r="A302" s="357">
        <v>401</v>
      </c>
      <c r="B302" s="351"/>
      <c r="C302" s="323">
        <v>14</v>
      </c>
      <c r="D302" s="323">
        <v>3</v>
      </c>
      <c r="E302" s="89" t="s">
        <v>384</v>
      </c>
      <c r="F302" s="323">
        <v>202.73</v>
      </c>
      <c r="H302" s="294">
        <v>55.995899200439453</v>
      </c>
      <c r="I302" s="130">
        <v>-1.29</v>
      </c>
      <c r="J302" s="287">
        <v>-1.0783713352680211</v>
      </c>
      <c r="K302" s="737">
        <f t="shared" si="6"/>
        <v>17.085987806612646</v>
      </c>
      <c r="L302" s="354" t="s">
        <v>195</v>
      </c>
      <c r="M302" s="355" t="s">
        <v>74</v>
      </c>
      <c r="N302" s="355"/>
      <c r="O302" s="348" t="s">
        <v>35</v>
      </c>
      <c r="P302" s="99" t="s">
        <v>58</v>
      </c>
      <c r="Q302" s="348" t="s">
        <v>379</v>
      </c>
      <c r="R302" s="316" t="s">
        <v>387</v>
      </c>
      <c r="S302" s="347"/>
    </row>
    <row r="303" spans="1:19">
      <c r="A303" s="357">
        <v>401</v>
      </c>
      <c r="B303" s="351"/>
      <c r="C303" s="323">
        <v>14</v>
      </c>
      <c r="D303" s="323">
        <v>3</v>
      </c>
      <c r="E303" s="89" t="s">
        <v>228</v>
      </c>
      <c r="F303" s="323">
        <v>202.94</v>
      </c>
      <c r="H303" s="294">
        <v>56.030170440673828</v>
      </c>
      <c r="I303" s="130">
        <v>-1.45</v>
      </c>
      <c r="J303" s="287">
        <v>-1.0783713352680211</v>
      </c>
      <c r="K303" s="737">
        <f t="shared" si="6"/>
        <v>17.836786712156925</v>
      </c>
      <c r="L303" s="354" t="s">
        <v>195</v>
      </c>
      <c r="M303" s="355" t="s">
        <v>74</v>
      </c>
      <c r="N303" s="355"/>
      <c r="O303" s="348" t="s">
        <v>35</v>
      </c>
      <c r="P303" s="99" t="s">
        <v>58</v>
      </c>
      <c r="Q303" s="348" t="s">
        <v>379</v>
      </c>
      <c r="R303" s="316" t="s">
        <v>387</v>
      </c>
      <c r="S303" s="347"/>
    </row>
    <row r="304" spans="1:19">
      <c r="A304" s="357">
        <v>401</v>
      </c>
      <c r="B304" s="351"/>
      <c r="C304" s="323">
        <v>14</v>
      </c>
      <c r="D304" s="323">
        <v>4</v>
      </c>
      <c r="E304" s="89" t="s">
        <v>206</v>
      </c>
      <c r="F304" s="323">
        <v>203.05</v>
      </c>
      <c r="H304" s="294">
        <v>56.048122406005859</v>
      </c>
      <c r="I304" s="130">
        <v>-1.26</v>
      </c>
      <c r="J304" s="287">
        <v>-1.0783713352680211</v>
      </c>
      <c r="K304" s="737">
        <f t="shared" si="6"/>
        <v>16.945726011823094</v>
      </c>
      <c r="L304" s="354" t="s">
        <v>195</v>
      </c>
      <c r="M304" s="355" t="s">
        <v>74</v>
      </c>
      <c r="N304" s="355"/>
      <c r="O304" s="348" t="s">
        <v>35</v>
      </c>
      <c r="P304" s="99" t="s">
        <v>58</v>
      </c>
      <c r="Q304" s="348" t="s">
        <v>379</v>
      </c>
      <c r="R304" s="316" t="s">
        <v>387</v>
      </c>
      <c r="S304" s="347"/>
    </row>
    <row r="305" spans="1:19">
      <c r="A305" s="357">
        <v>401</v>
      </c>
      <c r="B305" s="351"/>
      <c r="C305" s="323">
        <v>14</v>
      </c>
      <c r="D305" s="323">
        <v>4</v>
      </c>
      <c r="E305" s="89" t="s">
        <v>345</v>
      </c>
      <c r="F305" s="323">
        <v>203.19</v>
      </c>
      <c r="H305" s="294">
        <v>56.070964813232422</v>
      </c>
      <c r="I305" s="130">
        <v>-1.45</v>
      </c>
      <c r="J305" s="287">
        <v>-1.0783713352680211</v>
      </c>
      <c r="K305" s="737">
        <f t="shared" si="6"/>
        <v>17.836786712156925</v>
      </c>
      <c r="L305" s="354" t="s">
        <v>195</v>
      </c>
      <c r="M305" s="355" t="s">
        <v>74</v>
      </c>
      <c r="N305" s="355"/>
      <c r="O305" s="348" t="s">
        <v>35</v>
      </c>
      <c r="P305" s="99" t="s">
        <v>58</v>
      </c>
      <c r="Q305" s="348" t="s">
        <v>379</v>
      </c>
      <c r="R305" s="316" t="s">
        <v>387</v>
      </c>
      <c r="S305" s="347"/>
    </row>
    <row r="306" spans="1:19">
      <c r="A306" s="357">
        <v>401</v>
      </c>
      <c r="B306" s="351"/>
      <c r="C306" s="323">
        <v>14</v>
      </c>
      <c r="D306" s="323">
        <v>4</v>
      </c>
      <c r="E306" s="89" t="s">
        <v>217</v>
      </c>
      <c r="F306" s="323">
        <v>203.48</v>
      </c>
      <c r="H306" s="294">
        <v>56.118289947509766</v>
      </c>
      <c r="I306" s="130">
        <v>-1.24</v>
      </c>
      <c r="J306" s="287">
        <v>-1.0783713352680211</v>
      </c>
      <c r="K306" s="737">
        <f t="shared" si="6"/>
        <v>16.852308148630058</v>
      </c>
      <c r="L306" s="354" t="s">
        <v>195</v>
      </c>
      <c r="M306" s="355" t="s">
        <v>74</v>
      </c>
      <c r="N306" s="355"/>
      <c r="O306" s="348" t="s">
        <v>35</v>
      </c>
      <c r="P306" s="99" t="s">
        <v>58</v>
      </c>
      <c r="Q306" s="348" t="s">
        <v>379</v>
      </c>
      <c r="R306" s="316" t="s">
        <v>387</v>
      </c>
      <c r="S306" s="347"/>
    </row>
    <row r="307" spans="1:19">
      <c r="A307" s="357">
        <v>401</v>
      </c>
      <c r="B307" s="351"/>
      <c r="C307" s="323">
        <v>14</v>
      </c>
      <c r="D307" s="323">
        <v>4</v>
      </c>
      <c r="E307" s="89" t="s">
        <v>385</v>
      </c>
      <c r="F307" s="323">
        <v>203.7</v>
      </c>
      <c r="G307" s="253" t="s">
        <v>196</v>
      </c>
      <c r="H307" s="294">
        <v>56.154190063476563</v>
      </c>
      <c r="I307" s="130">
        <v>-1.08</v>
      </c>
      <c r="J307" s="287">
        <v>-1.0783713352680211</v>
      </c>
      <c r="K307" s="738">
        <f t="shared" si="6"/>
        <v>16.107557243085775</v>
      </c>
      <c r="L307" s="354" t="s">
        <v>195</v>
      </c>
      <c r="M307" s="355" t="s">
        <v>74</v>
      </c>
      <c r="N307" s="355"/>
      <c r="O307" s="348" t="s">
        <v>35</v>
      </c>
      <c r="P307" s="99" t="s">
        <v>58</v>
      </c>
      <c r="Q307" s="348" t="s">
        <v>379</v>
      </c>
      <c r="R307" s="316" t="s">
        <v>387</v>
      </c>
      <c r="S307" s="347"/>
    </row>
    <row r="308" spans="1:19">
      <c r="A308" s="357">
        <v>401</v>
      </c>
      <c r="B308" s="351"/>
      <c r="C308" s="323">
        <v>14</v>
      </c>
      <c r="D308" s="323">
        <v>4</v>
      </c>
      <c r="E308" s="89" t="s">
        <v>138</v>
      </c>
      <c r="F308" s="323">
        <v>203.96</v>
      </c>
      <c r="G308" s="253" t="s">
        <v>196</v>
      </c>
      <c r="H308" s="294">
        <v>56.196620941162109</v>
      </c>
      <c r="I308" s="130">
        <v>-1.1000000000000001</v>
      </c>
      <c r="J308" s="287">
        <v>-1.0783713352680211</v>
      </c>
      <c r="K308" s="738">
        <f t="shared" si="6"/>
        <v>16.200399106278812</v>
      </c>
      <c r="L308" s="354" t="s">
        <v>195</v>
      </c>
      <c r="M308" s="355" t="s">
        <v>74</v>
      </c>
      <c r="N308" s="355"/>
      <c r="O308" s="348" t="s">
        <v>35</v>
      </c>
      <c r="P308" s="99" t="s">
        <v>58</v>
      </c>
      <c r="Q308" s="348" t="s">
        <v>379</v>
      </c>
      <c r="R308" s="316" t="s">
        <v>387</v>
      </c>
      <c r="S308" s="347"/>
    </row>
    <row r="309" spans="1:19">
      <c r="A309" s="357">
        <v>401</v>
      </c>
      <c r="B309" s="351"/>
      <c r="C309" s="323">
        <v>14</v>
      </c>
      <c r="D309" s="323">
        <v>4</v>
      </c>
      <c r="E309" s="89" t="s">
        <v>107</v>
      </c>
      <c r="F309" s="323">
        <v>204.21</v>
      </c>
      <c r="G309" s="253" t="s">
        <v>196</v>
      </c>
      <c r="H309" s="294">
        <v>56.237415313720703</v>
      </c>
      <c r="I309" s="130">
        <v>-0.94</v>
      </c>
      <c r="J309" s="287">
        <v>-1.0783713352680211</v>
      </c>
      <c r="K309" s="738">
        <f t="shared" si="6"/>
        <v>15.459680200734532</v>
      </c>
      <c r="L309" s="354" t="s">
        <v>195</v>
      </c>
      <c r="M309" s="355" t="s">
        <v>74</v>
      </c>
      <c r="N309" s="355"/>
      <c r="O309" s="348" t="s">
        <v>35</v>
      </c>
      <c r="P309" s="99" t="s">
        <v>58</v>
      </c>
      <c r="Q309" s="348" t="s">
        <v>379</v>
      </c>
      <c r="R309" s="316" t="s">
        <v>387</v>
      </c>
      <c r="S309" s="347"/>
    </row>
    <row r="310" spans="1:19">
      <c r="A310" s="357">
        <v>401</v>
      </c>
      <c r="B310" s="351"/>
      <c r="C310" s="323">
        <v>14</v>
      </c>
      <c r="D310" s="323">
        <v>4</v>
      </c>
      <c r="E310" s="89" t="s">
        <v>386</v>
      </c>
      <c r="F310" s="323">
        <v>204.48</v>
      </c>
      <c r="G310" s="253" t="s">
        <v>196</v>
      </c>
      <c r="H310" s="294">
        <v>56.281475067138672</v>
      </c>
      <c r="I310" s="130">
        <v>-0.81</v>
      </c>
      <c r="J310" s="287">
        <v>-1.0783713352680211</v>
      </c>
      <c r="K310" s="738">
        <f t="shared" si="6"/>
        <v>14.861239089979801</v>
      </c>
      <c r="L310" s="354" t="s">
        <v>195</v>
      </c>
      <c r="M310" s="355" t="s">
        <v>74</v>
      </c>
      <c r="N310" s="355"/>
      <c r="O310" s="348" t="s">
        <v>35</v>
      </c>
      <c r="P310" s="99" t="s">
        <v>58</v>
      </c>
      <c r="Q310" s="348" t="s">
        <v>379</v>
      </c>
      <c r="R310" s="316" t="s">
        <v>387</v>
      </c>
      <c r="S310" s="347"/>
    </row>
    <row r="311" spans="1:19">
      <c r="A311" s="357">
        <v>401</v>
      </c>
      <c r="B311" s="351"/>
      <c r="C311" s="323">
        <v>14</v>
      </c>
      <c r="D311" s="323">
        <v>5</v>
      </c>
      <c r="E311" s="89" t="s">
        <v>106</v>
      </c>
      <c r="F311" s="323">
        <v>204.51</v>
      </c>
      <c r="G311" s="253" t="s">
        <v>196</v>
      </c>
      <c r="H311" s="294">
        <v>56.286369323730469</v>
      </c>
      <c r="I311" s="130">
        <v>-0.86</v>
      </c>
      <c r="J311" s="287">
        <v>-1.0783713352680211</v>
      </c>
      <c r="K311" s="738">
        <f t="shared" si="6"/>
        <v>15.091048747962391</v>
      </c>
      <c r="L311" s="354" t="s">
        <v>195</v>
      </c>
      <c r="M311" s="355" t="s">
        <v>74</v>
      </c>
      <c r="N311" s="355"/>
      <c r="O311" s="348" t="s">
        <v>35</v>
      </c>
      <c r="P311" s="99" t="s">
        <v>58</v>
      </c>
      <c r="Q311" s="348" t="s">
        <v>379</v>
      </c>
      <c r="R311" s="316" t="s">
        <v>387</v>
      </c>
      <c r="S311" s="347"/>
    </row>
    <row r="312" spans="1:19">
      <c r="A312" s="357">
        <v>401</v>
      </c>
      <c r="B312" s="351"/>
      <c r="C312" s="323">
        <v>14</v>
      </c>
      <c r="D312" s="323">
        <v>5</v>
      </c>
      <c r="E312" s="89" t="s">
        <v>113</v>
      </c>
      <c r="F312" s="323">
        <v>204.71</v>
      </c>
      <c r="G312" s="253" t="s">
        <v>196</v>
      </c>
      <c r="H312" s="294">
        <v>56.319007873535156</v>
      </c>
      <c r="I312" s="130">
        <v>-0.87</v>
      </c>
      <c r="J312" s="287">
        <v>-1.0783713352680211</v>
      </c>
      <c r="K312" s="738">
        <f t="shared" si="6"/>
        <v>15.137064679558909</v>
      </c>
      <c r="L312" s="354" t="s">
        <v>195</v>
      </c>
      <c r="M312" s="355" t="s">
        <v>74</v>
      </c>
      <c r="N312" s="355"/>
      <c r="O312" s="348" t="s">
        <v>35</v>
      </c>
      <c r="P312" s="99" t="s">
        <v>58</v>
      </c>
      <c r="Q312" s="348" t="s">
        <v>379</v>
      </c>
      <c r="R312" s="316" t="s">
        <v>387</v>
      </c>
      <c r="S312" s="347"/>
    </row>
    <row r="313" spans="1:19">
      <c r="A313" s="357">
        <v>401</v>
      </c>
      <c r="B313" s="351"/>
      <c r="C313" s="323">
        <v>14</v>
      </c>
      <c r="D313" s="323">
        <v>5</v>
      </c>
      <c r="E313" s="89" t="s">
        <v>157</v>
      </c>
      <c r="F313" s="323">
        <v>204.96</v>
      </c>
      <c r="G313" s="253" t="s">
        <v>196</v>
      </c>
      <c r="H313" s="294">
        <v>56.359806060791016</v>
      </c>
      <c r="I313" s="130">
        <v>-0.79</v>
      </c>
      <c r="J313" s="287">
        <v>-1.0783713352680211</v>
      </c>
      <c r="K313" s="738">
        <f t="shared" si="6"/>
        <v>14.769441226786768</v>
      </c>
      <c r="L313" s="354" t="s">
        <v>195</v>
      </c>
      <c r="M313" s="355" t="s">
        <v>74</v>
      </c>
      <c r="N313" s="355"/>
      <c r="O313" s="348" t="s">
        <v>35</v>
      </c>
      <c r="P313" s="99" t="s">
        <v>58</v>
      </c>
      <c r="Q313" s="348" t="s">
        <v>379</v>
      </c>
      <c r="R313" s="316" t="s">
        <v>387</v>
      </c>
      <c r="S313" s="347"/>
    </row>
    <row r="314" spans="1:19">
      <c r="A314" s="893">
        <v>401</v>
      </c>
      <c r="B314" s="894"/>
      <c r="C314" s="877">
        <v>14</v>
      </c>
      <c r="D314" s="877">
        <v>5</v>
      </c>
      <c r="E314" s="895" t="s">
        <v>136</v>
      </c>
      <c r="F314" s="877">
        <v>205.19</v>
      </c>
      <c r="G314" s="877" t="s">
        <v>196</v>
      </c>
      <c r="H314" s="896">
        <v>56.3973388671875</v>
      </c>
      <c r="I314" s="897">
        <v>-0.94</v>
      </c>
      <c r="J314" s="880">
        <v>-1.0783713352680211</v>
      </c>
      <c r="K314" s="881">
        <f t="shared" si="6"/>
        <v>15.459680200734532</v>
      </c>
      <c r="L314" s="882" t="s">
        <v>195</v>
      </c>
      <c r="M314" s="883" t="s">
        <v>74</v>
      </c>
      <c r="N314" s="883"/>
      <c r="O314" s="887" t="s">
        <v>35</v>
      </c>
      <c r="P314" s="898" t="s">
        <v>58</v>
      </c>
      <c r="Q314" s="887" t="s">
        <v>379</v>
      </c>
      <c r="R314" s="316" t="s">
        <v>387</v>
      </c>
      <c r="S314" s="347"/>
    </row>
    <row r="315" spans="1:19">
      <c r="A315" s="292">
        <v>401</v>
      </c>
      <c r="B315" s="301"/>
      <c r="C315" s="301"/>
      <c r="D315" s="301"/>
      <c r="E315" s="350"/>
      <c r="F315" s="250">
        <v>180.39</v>
      </c>
      <c r="G315" s="253" t="s">
        <v>21</v>
      </c>
      <c r="H315" s="304">
        <v>51.265995025634766</v>
      </c>
      <c r="I315" s="312">
        <v>-1.345</v>
      </c>
      <c r="J315" s="287">
        <v>-1.0783713352680211</v>
      </c>
      <c r="K315" s="909">
        <f t="shared" ref="K315:K316" si="7">16.1-4.64*($I315-J315)+0.09*($I315-J315)^2</f>
        <v>17.343555180393494</v>
      </c>
      <c r="L315" s="735" t="s">
        <v>201</v>
      </c>
      <c r="M315" s="342" t="s">
        <v>74</v>
      </c>
      <c r="N315" s="343" t="s">
        <v>194</v>
      </c>
      <c r="O315" s="100" t="s">
        <v>35</v>
      </c>
      <c r="P315" s="356" t="s">
        <v>91</v>
      </c>
      <c r="Q315" s="348" t="s">
        <v>377</v>
      </c>
      <c r="R315" s="316" t="s">
        <v>377</v>
      </c>
      <c r="S315" s="347"/>
    </row>
    <row r="316" spans="1:19">
      <c r="A316" s="292">
        <v>401</v>
      </c>
      <c r="B316" s="301"/>
      <c r="C316" s="301"/>
      <c r="D316" s="301"/>
      <c r="E316" s="350"/>
      <c r="F316" s="250">
        <v>184.9</v>
      </c>
      <c r="G316" s="253" t="s">
        <v>21</v>
      </c>
      <c r="H316" s="304">
        <v>52.545406341552734</v>
      </c>
      <c r="I316" s="312">
        <v>-1.26</v>
      </c>
      <c r="J316" s="287">
        <v>-1.0783713352680211</v>
      </c>
      <c r="K316" s="909">
        <f t="shared" si="7"/>
        <v>16.945726011823094</v>
      </c>
      <c r="L316" s="735" t="s">
        <v>201</v>
      </c>
      <c r="M316" s="342" t="s">
        <v>74</v>
      </c>
      <c r="N316" s="343" t="s">
        <v>194</v>
      </c>
      <c r="O316" s="100" t="s">
        <v>35</v>
      </c>
      <c r="P316" s="356" t="s">
        <v>91</v>
      </c>
      <c r="Q316" s="348" t="s">
        <v>377</v>
      </c>
      <c r="R316" s="316" t="s">
        <v>377</v>
      </c>
      <c r="S316" s="347"/>
    </row>
    <row r="317" spans="1:19">
      <c r="A317" s="292">
        <v>401</v>
      </c>
      <c r="B317" s="301"/>
      <c r="C317" s="301"/>
      <c r="D317" s="301"/>
      <c r="E317" s="350"/>
      <c r="F317" s="250">
        <v>186.41</v>
      </c>
      <c r="G317" s="253" t="s">
        <v>21</v>
      </c>
      <c r="H317" s="304">
        <v>52.973770141601563</v>
      </c>
      <c r="I317" s="312">
        <v>-1.3080000000000001</v>
      </c>
      <c r="J317" s="287">
        <v>-1.0783713352680211</v>
      </c>
      <c r="K317" s="909">
        <f t="shared" ref="K317:K318" si="8">16.1-4.64*($I317-J317)+0.09*($I317-J317)^2</f>
        <v>17.170222643486376</v>
      </c>
      <c r="L317" s="735" t="s">
        <v>202</v>
      </c>
      <c r="M317" s="342" t="s">
        <v>74</v>
      </c>
      <c r="N317" s="343" t="s">
        <v>194</v>
      </c>
      <c r="O317" s="100" t="s">
        <v>35</v>
      </c>
      <c r="P317" s="356" t="s">
        <v>91</v>
      </c>
      <c r="Q317" s="348" t="s">
        <v>377</v>
      </c>
      <c r="R317" s="316" t="s">
        <v>377</v>
      </c>
      <c r="S317" s="347"/>
    </row>
    <row r="318" spans="1:19">
      <c r="A318" s="292">
        <v>401</v>
      </c>
      <c r="B318" s="301"/>
      <c r="C318" s="301"/>
      <c r="D318" s="301"/>
      <c r="E318" s="350"/>
      <c r="F318" s="250">
        <v>191.38499999999999</v>
      </c>
      <c r="G318" s="253"/>
      <c r="H318" s="304">
        <v>54.14849853515625</v>
      </c>
      <c r="I318" s="312">
        <v>-1.7170000000000001</v>
      </c>
      <c r="J318" s="287">
        <v>-1.0783713352680211</v>
      </c>
      <c r="K318" s="737">
        <f t="shared" si="8"/>
        <v>19.099943195783947</v>
      </c>
      <c r="L318" s="735" t="s">
        <v>202</v>
      </c>
      <c r="M318" s="342" t="s">
        <v>74</v>
      </c>
      <c r="N318" s="343" t="s">
        <v>194</v>
      </c>
      <c r="O318" s="100" t="s">
        <v>35</v>
      </c>
      <c r="P318" s="356" t="s">
        <v>91</v>
      </c>
      <c r="Q318" s="348" t="s">
        <v>377</v>
      </c>
      <c r="R318" s="316" t="s">
        <v>377</v>
      </c>
      <c r="S318" s="347"/>
    </row>
    <row r="319" spans="1:19">
      <c r="A319" s="292">
        <v>401</v>
      </c>
      <c r="B319" s="301"/>
      <c r="C319" s="301"/>
      <c r="D319" s="301"/>
      <c r="E319" s="350"/>
      <c r="F319" s="250">
        <v>208.45</v>
      </c>
      <c r="G319" s="253" t="s">
        <v>196</v>
      </c>
      <c r="H319" s="304">
        <v>56.9293212890625</v>
      </c>
      <c r="I319" s="312">
        <v>-1.7430000000000001</v>
      </c>
      <c r="J319" s="287">
        <v>-1.0783713352680211</v>
      </c>
      <c r="K319" s="910">
        <f t="shared" ref="K319:K320" si="9">16.1-4.64*($I319-J319)+0.09*($I319-J319)^2</f>
        <v>19.223632817934888</v>
      </c>
      <c r="L319" s="735" t="s">
        <v>79</v>
      </c>
      <c r="M319" s="342" t="s">
        <v>74</v>
      </c>
      <c r="N319" s="343" t="s">
        <v>194</v>
      </c>
      <c r="O319" s="100" t="s">
        <v>35</v>
      </c>
      <c r="P319" s="356" t="s">
        <v>91</v>
      </c>
      <c r="Q319" s="348" t="s">
        <v>377</v>
      </c>
      <c r="R319" s="316" t="s">
        <v>377</v>
      </c>
      <c r="S319" s="347" t="s">
        <v>779</v>
      </c>
    </row>
    <row r="320" spans="1:19">
      <c r="A320" s="292">
        <v>401</v>
      </c>
      <c r="B320" s="301"/>
      <c r="C320" s="301"/>
      <c r="D320" s="301"/>
      <c r="E320" s="350"/>
      <c r="F320" s="250">
        <v>209.87</v>
      </c>
      <c r="G320" s="253" t="s">
        <v>196</v>
      </c>
      <c r="H320" s="304">
        <v>57.161045074462891</v>
      </c>
      <c r="I320" s="312">
        <v>-2.57</v>
      </c>
      <c r="J320" s="287">
        <v>-1.0783713352680211</v>
      </c>
      <c r="K320" s="910">
        <f t="shared" si="9"/>
        <v>23.221403050966892</v>
      </c>
      <c r="L320" s="735" t="s">
        <v>79</v>
      </c>
      <c r="M320" s="342" t="s">
        <v>74</v>
      </c>
      <c r="N320" s="343" t="s">
        <v>194</v>
      </c>
      <c r="O320" s="100" t="s">
        <v>35</v>
      </c>
      <c r="P320" s="356" t="s">
        <v>91</v>
      </c>
      <c r="Q320" s="348" t="s">
        <v>377</v>
      </c>
      <c r="R320" s="316" t="s">
        <v>377</v>
      </c>
      <c r="S320" s="347" t="s">
        <v>779</v>
      </c>
    </row>
    <row r="321" spans="1:19">
      <c r="A321" s="899">
        <v>401</v>
      </c>
      <c r="B321" s="889"/>
      <c r="C321" s="889"/>
      <c r="D321" s="889"/>
      <c r="E321" s="875"/>
      <c r="F321" s="890">
        <v>173.89</v>
      </c>
      <c r="G321" s="877"/>
      <c r="H321" s="878">
        <v>49.422050476074219</v>
      </c>
      <c r="I321" s="891">
        <v>-0.46300000000000002</v>
      </c>
      <c r="J321" s="880">
        <v>-1.0783713352680211</v>
      </c>
      <c r="K321" s="900">
        <f t="shared" ref="K321" si="10">16.1-4.64*($I321-J321)+0.09*($I321-J321)^2</f>
        <v>13.278758373580642</v>
      </c>
      <c r="L321" s="882" t="s">
        <v>203</v>
      </c>
      <c r="M321" s="883" t="s">
        <v>74</v>
      </c>
      <c r="N321" s="884" t="s">
        <v>194</v>
      </c>
      <c r="O321" s="885" t="s">
        <v>35</v>
      </c>
      <c r="P321" s="892" t="s">
        <v>91</v>
      </c>
      <c r="Q321" s="887" t="s">
        <v>377</v>
      </c>
      <c r="R321" s="316" t="s">
        <v>377</v>
      </c>
      <c r="S321" s="347"/>
    </row>
    <row r="322" spans="1:19">
      <c r="A322" s="292">
        <v>401</v>
      </c>
      <c r="B322" s="301"/>
      <c r="C322" s="301"/>
      <c r="D322" s="301"/>
      <c r="E322" s="350"/>
      <c r="F322" s="250">
        <v>185.54</v>
      </c>
      <c r="G322" s="253" t="s">
        <v>21</v>
      </c>
      <c r="H322" s="304">
        <v>52.726963043212891</v>
      </c>
      <c r="I322" s="312">
        <v>-0.97199999999999998</v>
      </c>
      <c r="J322" s="287">
        <v>-1.0783713352680211</v>
      </c>
      <c r="K322" s="909">
        <f t="shared" ref="K322:K385" si="11">16.1-4.64*($I322-J322)+0.09*($I322-J322)^2</f>
        <v>15.607455341843387</v>
      </c>
      <c r="L322" s="735" t="s">
        <v>33</v>
      </c>
      <c r="M322" s="342" t="s">
        <v>16</v>
      </c>
      <c r="N322" s="355" t="s">
        <v>194</v>
      </c>
      <c r="O322" s="348" t="s">
        <v>35</v>
      </c>
      <c r="P322" s="356" t="s">
        <v>91</v>
      </c>
      <c r="Q322" s="348" t="s">
        <v>377</v>
      </c>
      <c r="R322" s="316" t="s">
        <v>377</v>
      </c>
      <c r="S322" s="347"/>
    </row>
    <row r="323" spans="1:19">
      <c r="A323" s="292">
        <v>401</v>
      </c>
      <c r="B323" s="301"/>
      <c r="C323" s="301"/>
      <c r="D323" s="301"/>
      <c r="E323" s="350"/>
      <c r="F323" s="250">
        <v>185.94</v>
      </c>
      <c r="G323" s="253" t="s">
        <v>21</v>
      </c>
      <c r="H323" s="304">
        <v>52.840438842773438</v>
      </c>
      <c r="I323" s="312">
        <v>-1.0469999999999999</v>
      </c>
      <c r="J323" s="287">
        <v>-1.0783713352680211</v>
      </c>
      <c r="K323" s="909">
        <f t="shared" si="11"/>
        <v>15.954525578817266</v>
      </c>
      <c r="L323" s="735" t="s">
        <v>33</v>
      </c>
      <c r="M323" s="342" t="s">
        <v>16</v>
      </c>
      <c r="N323" s="355" t="s">
        <v>194</v>
      </c>
      <c r="O323" s="348" t="s">
        <v>35</v>
      </c>
      <c r="P323" s="356" t="s">
        <v>91</v>
      </c>
      <c r="Q323" s="348" t="s">
        <v>377</v>
      </c>
      <c r="R323" s="316" t="s">
        <v>377</v>
      </c>
      <c r="S323" s="347"/>
    </row>
    <row r="324" spans="1:19">
      <c r="A324" s="292">
        <v>401</v>
      </c>
      <c r="B324" s="301"/>
      <c r="C324" s="301"/>
      <c r="D324" s="301"/>
      <c r="E324" s="350"/>
      <c r="F324" s="250">
        <v>189.05</v>
      </c>
      <c r="G324" s="253"/>
      <c r="H324" s="304">
        <v>53.732624053955078</v>
      </c>
      <c r="I324" s="312">
        <v>-1.2649999999999999</v>
      </c>
      <c r="J324" s="287">
        <v>-1.0783713352680211</v>
      </c>
      <c r="K324" s="737">
        <f t="shared" si="11"/>
        <v>16.96909172762135</v>
      </c>
      <c r="L324" s="735" t="s">
        <v>33</v>
      </c>
      <c r="M324" s="342" t="s">
        <v>16</v>
      </c>
      <c r="N324" s="355" t="s">
        <v>194</v>
      </c>
      <c r="O324" s="348" t="s">
        <v>35</v>
      </c>
      <c r="P324" s="356" t="s">
        <v>91</v>
      </c>
      <c r="Q324" s="348" t="s">
        <v>377</v>
      </c>
      <c r="R324" s="316" t="s">
        <v>377</v>
      </c>
      <c r="S324" s="347"/>
    </row>
    <row r="325" spans="1:19">
      <c r="A325" s="292">
        <v>401</v>
      </c>
      <c r="B325" s="301"/>
      <c r="C325" s="301"/>
      <c r="D325" s="301"/>
      <c r="E325" s="350"/>
      <c r="F325" s="250">
        <v>189.7</v>
      </c>
      <c r="G325" s="253"/>
      <c r="H325" s="304">
        <v>53.997669219970703</v>
      </c>
      <c r="I325" s="312">
        <v>-0.89100000000000001</v>
      </c>
      <c r="J325" s="287">
        <v>-1.0783713352680211</v>
      </c>
      <c r="K325" s="737">
        <f t="shared" si="11"/>
        <v>15.233756725911594</v>
      </c>
      <c r="L325" s="735" t="s">
        <v>33</v>
      </c>
      <c r="M325" s="342" t="s">
        <v>16</v>
      </c>
      <c r="N325" s="355" t="s">
        <v>194</v>
      </c>
      <c r="O325" s="348" t="s">
        <v>35</v>
      </c>
      <c r="P325" s="356" t="s">
        <v>91</v>
      </c>
      <c r="Q325" s="348" t="s">
        <v>377</v>
      </c>
      <c r="R325" s="316" t="s">
        <v>377</v>
      </c>
      <c r="S325" s="347"/>
    </row>
    <row r="326" spans="1:19">
      <c r="A326" s="292">
        <v>401</v>
      </c>
      <c r="B326" s="301"/>
      <c r="C326" s="301"/>
      <c r="D326" s="301"/>
      <c r="E326" s="350"/>
      <c r="F326" s="250">
        <v>189.75</v>
      </c>
      <c r="G326" s="253"/>
      <c r="H326" s="304">
        <v>54.018058776855469</v>
      </c>
      <c r="I326" s="312">
        <v>-1.2210000000000001</v>
      </c>
      <c r="J326" s="287">
        <v>-1.0783713352680211</v>
      </c>
      <c r="K326" s="737">
        <f t="shared" si="11"/>
        <v>16.763627868596675</v>
      </c>
      <c r="L326" s="735" t="s">
        <v>33</v>
      </c>
      <c r="M326" s="342" t="s">
        <v>16</v>
      </c>
      <c r="N326" s="355" t="s">
        <v>194</v>
      </c>
      <c r="O326" s="348" t="s">
        <v>35</v>
      </c>
      <c r="P326" s="356" t="s">
        <v>91</v>
      </c>
      <c r="Q326" s="348" t="s">
        <v>377</v>
      </c>
      <c r="R326" s="316" t="s">
        <v>377</v>
      </c>
      <c r="S326" s="347"/>
    </row>
    <row r="327" spans="1:19">
      <c r="A327" s="292">
        <v>401</v>
      </c>
      <c r="B327" s="301"/>
      <c r="C327" s="301"/>
      <c r="D327" s="301"/>
      <c r="E327" s="350"/>
      <c r="F327" s="250">
        <v>189.845</v>
      </c>
      <c r="G327" s="253"/>
      <c r="H327" s="304">
        <v>54.056797027587891</v>
      </c>
      <c r="I327" s="312">
        <v>-1.365</v>
      </c>
      <c r="J327" s="287">
        <v>-1.0783713352680211</v>
      </c>
      <c r="K327" s="737">
        <f t="shared" si="11"/>
        <v>17.437351043586524</v>
      </c>
      <c r="L327" s="735" t="s">
        <v>33</v>
      </c>
      <c r="M327" s="342" t="s">
        <v>16</v>
      </c>
      <c r="N327" s="355" t="s">
        <v>194</v>
      </c>
      <c r="O327" s="348" t="s">
        <v>35</v>
      </c>
      <c r="P327" s="356" t="s">
        <v>91</v>
      </c>
      <c r="Q327" s="348" t="s">
        <v>377</v>
      </c>
      <c r="R327" s="316" t="s">
        <v>377</v>
      </c>
      <c r="S327" s="347"/>
    </row>
    <row r="328" spans="1:19">
      <c r="A328" s="292">
        <v>401</v>
      </c>
      <c r="B328" s="301"/>
      <c r="C328" s="301"/>
      <c r="D328" s="301"/>
      <c r="E328" s="350"/>
      <c r="F328" s="250">
        <v>189.88499999999999</v>
      </c>
      <c r="G328" s="253"/>
      <c r="H328" s="304">
        <v>54.073104858398438</v>
      </c>
      <c r="I328" s="312">
        <v>-1.774</v>
      </c>
      <c r="J328" s="287">
        <v>-1.0783713352680211</v>
      </c>
      <c r="K328" s="737">
        <f t="shared" si="11"/>
        <v>19.371267935884095</v>
      </c>
      <c r="L328" s="735" t="s">
        <v>33</v>
      </c>
      <c r="M328" s="342" t="s">
        <v>16</v>
      </c>
      <c r="N328" s="355" t="s">
        <v>194</v>
      </c>
      <c r="O328" s="348" t="s">
        <v>35</v>
      </c>
      <c r="P328" s="356" t="s">
        <v>91</v>
      </c>
      <c r="Q328" s="348" t="s">
        <v>377</v>
      </c>
      <c r="R328" s="316" t="s">
        <v>377</v>
      </c>
      <c r="S328" s="347"/>
    </row>
    <row r="329" spans="1:19">
      <c r="A329" s="292">
        <v>401</v>
      </c>
      <c r="B329" s="301"/>
      <c r="C329" s="301"/>
      <c r="D329" s="301"/>
      <c r="E329" s="350"/>
      <c r="F329" s="250">
        <v>189.88499999999999</v>
      </c>
      <c r="G329" s="253"/>
      <c r="H329" s="304">
        <v>54.073104858398438</v>
      </c>
      <c r="I329" s="312">
        <v>-1.6080000000000001</v>
      </c>
      <c r="J329" s="287">
        <v>-1.0783713352680211</v>
      </c>
      <c r="K329" s="737">
        <f t="shared" si="11"/>
        <v>18.582722591381902</v>
      </c>
      <c r="L329" s="735" t="s">
        <v>33</v>
      </c>
      <c r="M329" s="342" t="s">
        <v>16</v>
      </c>
      <c r="N329" s="355" t="s">
        <v>194</v>
      </c>
      <c r="O329" s="348" t="s">
        <v>35</v>
      </c>
      <c r="P329" s="356" t="s">
        <v>91</v>
      </c>
      <c r="Q329" s="348" t="s">
        <v>377</v>
      </c>
      <c r="R329" s="316" t="s">
        <v>377</v>
      </c>
      <c r="S329" s="347"/>
    </row>
    <row r="330" spans="1:19">
      <c r="A330" s="292">
        <v>401</v>
      </c>
      <c r="B330" s="301"/>
      <c r="C330" s="301"/>
      <c r="D330" s="301"/>
      <c r="E330" s="350"/>
      <c r="F330" s="250">
        <v>189.91499999999999</v>
      </c>
      <c r="G330" s="253"/>
      <c r="H330" s="304">
        <v>54.085338592529297</v>
      </c>
      <c r="I330" s="312">
        <v>-1.698</v>
      </c>
      <c r="J330" s="287">
        <v>-1.0783713352680211</v>
      </c>
      <c r="K330" s="737">
        <f t="shared" si="11"/>
        <v>19.009631575750561</v>
      </c>
      <c r="L330" s="735" t="s">
        <v>33</v>
      </c>
      <c r="M330" s="342" t="s">
        <v>16</v>
      </c>
      <c r="N330" s="355" t="s">
        <v>194</v>
      </c>
      <c r="O330" s="348" t="s">
        <v>35</v>
      </c>
      <c r="P330" s="356" t="s">
        <v>91</v>
      </c>
      <c r="Q330" s="348" t="s">
        <v>377</v>
      </c>
      <c r="R330" s="316" t="s">
        <v>377</v>
      </c>
      <c r="S330" s="347"/>
    </row>
    <row r="331" spans="1:19">
      <c r="A331" s="292">
        <v>401</v>
      </c>
      <c r="B331" s="301"/>
      <c r="C331" s="301"/>
      <c r="D331" s="301"/>
      <c r="E331" s="350"/>
      <c r="F331" s="250">
        <v>189.91499999999999</v>
      </c>
      <c r="G331" s="253"/>
      <c r="H331" s="304">
        <v>54.085338592529297</v>
      </c>
      <c r="I331" s="312">
        <v>-1.7150000000000001</v>
      </c>
      <c r="J331" s="287">
        <v>-1.0783713352680211</v>
      </c>
      <c r="K331" s="737">
        <f t="shared" si="11"/>
        <v>19.090433649464643</v>
      </c>
      <c r="L331" s="735" t="s">
        <v>33</v>
      </c>
      <c r="M331" s="342" t="s">
        <v>16</v>
      </c>
      <c r="N331" s="355" t="s">
        <v>194</v>
      </c>
      <c r="O331" s="348" t="s">
        <v>35</v>
      </c>
      <c r="P331" s="356" t="s">
        <v>91</v>
      </c>
      <c r="Q331" s="348" t="s">
        <v>377</v>
      </c>
      <c r="R331" s="316" t="s">
        <v>377</v>
      </c>
      <c r="S331" s="347"/>
    </row>
    <row r="332" spans="1:19">
      <c r="A332" s="292">
        <v>401</v>
      </c>
      <c r="B332" s="301"/>
      <c r="C332" s="301"/>
      <c r="D332" s="301"/>
      <c r="E332" s="350"/>
      <c r="F332" s="250">
        <v>189.98</v>
      </c>
      <c r="G332" s="253"/>
      <c r="H332" s="304">
        <v>54.111843109130859</v>
      </c>
      <c r="I332" s="312">
        <v>-1.7</v>
      </c>
      <c r="J332" s="287">
        <v>-1.0783713352680211</v>
      </c>
      <c r="K332" s="737">
        <f t="shared" si="11"/>
        <v>19.019135002069866</v>
      </c>
      <c r="L332" s="735" t="s">
        <v>33</v>
      </c>
      <c r="M332" s="342" t="s">
        <v>16</v>
      </c>
      <c r="N332" s="355" t="s">
        <v>194</v>
      </c>
      <c r="O332" s="348" t="s">
        <v>35</v>
      </c>
      <c r="P332" s="356" t="s">
        <v>91</v>
      </c>
      <c r="Q332" s="348" t="s">
        <v>377</v>
      </c>
      <c r="R332" s="316" t="s">
        <v>377</v>
      </c>
      <c r="S332" s="347"/>
    </row>
    <row r="333" spans="1:19">
      <c r="A333" s="292">
        <v>401</v>
      </c>
      <c r="B333" s="301"/>
      <c r="C333" s="301"/>
      <c r="D333" s="301"/>
      <c r="E333" s="350"/>
      <c r="F333" s="250">
        <v>190.08</v>
      </c>
      <c r="G333" s="253"/>
      <c r="H333" s="304">
        <v>54.121646881103516</v>
      </c>
      <c r="I333" s="312">
        <v>-1.776</v>
      </c>
      <c r="J333" s="287">
        <v>-1.0783713352680211</v>
      </c>
      <c r="K333" s="737">
        <f t="shared" si="11"/>
        <v>19.380798722203398</v>
      </c>
      <c r="L333" s="735" t="s">
        <v>33</v>
      </c>
      <c r="M333" s="342" t="s">
        <v>16</v>
      </c>
      <c r="N333" s="355" t="s">
        <v>194</v>
      </c>
      <c r="O333" s="348" t="s">
        <v>35</v>
      </c>
      <c r="P333" s="356" t="s">
        <v>91</v>
      </c>
      <c r="Q333" s="348" t="s">
        <v>377</v>
      </c>
      <c r="R333" s="316" t="s">
        <v>377</v>
      </c>
      <c r="S333" s="347"/>
    </row>
    <row r="334" spans="1:19">
      <c r="A334" s="292">
        <v>401</v>
      </c>
      <c r="B334" s="301"/>
      <c r="C334" s="301"/>
      <c r="D334" s="301"/>
      <c r="E334" s="350"/>
      <c r="F334" s="250">
        <v>190.08</v>
      </c>
      <c r="G334" s="253"/>
      <c r="H334" s="304">
        <v>54.121646881103516</v>
      </c>
      <c r="I334" s="312">
        <v>-1.6279999999999999</v>
      </c>
      <c r="J334" s="287">
        <v>-1.0783713352680211</v>
      </c>
      <c r="K334" s="737">
        <f t="shared" si="11"/>
        <v>18.677465254574937</v>
      </c>
      <c r="L334" s="735" t="s">
        <v>33</v>
      </c>
      <c r="M334" s="342" t="s">
        <v>16</v>
      </c>
      <c r="N334" s="355" t="s">
        <v>194</v>
      </c>
      <c r="O334" s="348" t="s">
        <v>35</v>
      </c>
      <c r="P334" s="356" t="s">
        <v>91</v>
      </c>
      <c r="Q334" s="348" t="s">
        <v>377</v>
      </c>
      <c r="R334" s="316" t="s">
        <v>377</v>
      </c>
      <c r="S334" s="347"/>
    </row>
    <row r="335" spans="1:19">
      <c r="A335" s="292">
        <v>401</v>
      </c>
      <c r="B335" s="301"/>
      <c r="C335" s="301"/>
      <c r="D335" s="301"/>
      <c r="E335" s="350"/>
      <c r="F335" s="250">
        <v>190.125</v>
      </c>
      <c r="G335" s="253"/>
      <c r="H335" s="304">
        <v>54.122573852539063</v>
      </c>
      <c r="I335" s="312">
        <v>-1.702</v>
      </c>
      <c r="J335" s="287">
        <v>-1.0783713352680211</v>
      </c>
      <c r="K335" s="737">
        <f t="shared" si="11"/>
        <v>19.028639148389168</v>
      </c>
      <c r="L335" s="735" t="s">
        <v>33</v>
      </c>
      <c r="M335" s="342" t="s">
        <v>16</v>
      </c>
      <c r="N335" s="355" t="s">
        <v>194</v>
      </c>
      <c r="O335" s="348" t="s">
        <v>35</v>
      </c>
      <c r="P335" s="356" t="s">
        <v>91</v>
      </c>
      <c r="Q335" s="348" t="s">
        <v>377</v>
      </c>
      <c r="R335" s="316" t="s">
        <v>377</v>
      </c>
      <c r="S335" s="347"/>
    </row>
    <row r="336" spans="1:19">
      <c r="A336" s="292">
        <v>401</v>
      </c>
      <c r="B336" s="301"/>
      <c r="C336" s="301"/>
      <c r="D336" s="301"/>
      <c r="E336" s="350"/>
      <c r="F336" s="250">
        <v>190.25</v>
      </c>
      <c r="G336" s="253"/>
      <c r="H336" s="304">
        <v>54.125144958496094</v>
      </c>
      <c r="I336" s="312">
        <v>-1.5489999999999999</v>
      </c>
      <c r="J336" s="287">
        <v>-1.0783713352680211</v>
      </c>
      <c r="K336" s="737">
        <f t="shared" si="11"/>
        <v>18.303651224962451</v>
      </c>
      <c r="L336" s="735" t="s">
        <v>33</v>
      </c>
      <c r="M336" s="342" t="s">
        <v>16</v>
      </c>
      <c r="N336" s="355" t="s">
        <v>194</v>
      </c>
      <c r="O336" s="348" t="s">
        <v>35</v>
      </c>
      <c r="P336" s="356" t="s">
        <v>91</v>
      </c>
      <c r="Q336" s="348" t="s">
        <v>377</v>
      </c>
      <c r="R336" s="316" t="s">
        <v>377</v>
      </c>
      <c r="S336" s="347"/>
    </row>
    <row r="337" spans="1:19">
      <c r="A337" s="292">
        <v>401</v>
      </c>
      <c r="B337" s="301"/>
      <c r="C337" s="301"/>
      <c r="D337" s="301"/>
      <c r="E337" s="350"/>
      <c r="F337" s="250">
        <v>190.34</v>
      </c>
      <c r="G337" s="253"/>
      <c r="H337" s="304">
        <v>54.126995086669922</v>
      </c>
      <c r="I337" s="312">
        <v>-1.661</v>
      </c>
      <c r="J337" s="287">
        <v>-1.0783713352680211</v>
      </c>
      <c r="K337" s="737">
        <f t="shared" si="11"/>
        <v>18.833948058843447</v>
      </c>
      <c r="L337" s="735" t="s">
        <v>33</v>
      </c>
      <c r="M337" s="342" t="s">
        <v>16</v>
      </c>
      <c r="N337" s="355" t="s">
        <v>194</v>
      </c>
      <c r="O337" s="348" t="s">
        <v>35</v>
      </c>
      <c r="P337" s="356" t="s">
        <v>91</v>
      </c>
      <c r="Q337" s="348" t="s">
        <v>377</v>
      </c>
      <c r="R337" s="316" t="s">
        <v>377</v>
      </c>
      <c r="S337" s="347"/>
    </row>
    <row r="338" spans="1:19">
      <c r="A338" s="292">
        <v>401</v>
      </c>
      <c r="B338" s="301"/>
      <c r="C338" s="301"/>
      <c r="D338" s="301"/>
      <c r="E338" s="350"/>
      <c r="F338" s="250">
        <v>190.6</v>
      </c>
      <c r="G338" s="253"/>
      <c r="H338" s="304">
        <v>54.132347106933594</v>
      </c>
      <c r="I338" s="312">
        <v>-1.135</v>
      </c>
      <c r="J338" s="287">
        <v>-1.0783713352680211</v>
      </c>
      <c r="K338" s="737">
        <f t="shared" si="11"/>
        <v>16.363045616866621</v>
      </c>
      <c r="L338" s="735" t="s">
        <v>33</v>
      </c>
      <c r="M338" s="342" t="s">
        <v>16</v>
      </c>
      <c r="N338" s="355" t="s">
        <v>194</v>
      </c>
      <c r="O338" s="348" t="s">
        <v>35</v>
      </c>
      <c r="P338" s="356" t="s">
        <v>91</v>
      </c>
      <c r="Q338" s="348" t="s">
        <v>377</v>
      </c>
      <c r="R338" s="316" t="s">
        <v>377</v>
      </c>
      <c r="S338" s="347"/>
    </row>
    <row r="339" spans="1:19">
      <c r="A339" s="292">
        <v>401</v>
      </c>
      <c r="B339" s="301"/>
      <c r="C339" s="301"/>
      <c r="D339" s="301"/>
      <c r="E339" s="350"/>
      <c r="F339" s="250">
        <v>190.93</v>
      </c>
      <c r="G339" s="253"/>
      <c r="H339" s="304">
        <v>54.139137268066406</v>
      </c>
      <c r="I339" s="312">
        <v>-1.2250000000000001</v>
      </c>
      <c r="J339" s="287">
        <v>-1.0783713352680211</v>
      </c>
      <c r="K339" s="737">
        <f t="shared" si="11"/>
        <v>16.78229200123528</v>
      </c>
      <c r="L339" s="735" t="s">
        <v>33</v>
      </c>
      <c r="M339" s="342" t="s">
        <v>16</v>
      </c>
      <c r="N339" s="355" t="s">
        <v>194</v>
      </c>
      <c r="O339" s="348" t="s">
        <v>35</v>
      </c>
      <c r="P339" s="356" t="s">
        <v>91</v>
      </c>
      <c r="Q339" s="348" t="s">
        <v>377</v>
      </c>
      <c r="R339" s="316" t="s">
        <v>377</v>
      </c>
      <c r="S339" s="347"/>
    </row>
    <row r="340" spans="1:19">
      <c r="A340" s="292">
        <v>401</v>
      </c>
      <c r="B340" s="301"/>
      <c r="C340" s="301"/>
      <c r="D340" s="301"/>
      <c r="E340" s="350"/>
      <c r="F340" s="250">
        <v>191.38499999999999</v>
      </c>
      <c r="G340" s="253"/>
      <c r="H340" s="304">
        <v>54.14849853515625</v>
      </c>
      <c r="I340" s="312">
        <v>-1.37</v>
      </c>
      <c r="J340" s="287">
        <v>-1.0783713352680211</v>
      </c>
      <c r="K340" s="737">
        <f t="shared" si="11"/>
        <v>17.460811259384787</v>
      </c>
      <c r="L340" s="735" t="s">
        <v>33</v>
      </c>
      <c r="M340" s="342" t="s">
        <v>16</v>
      </c>
      <c r="N340" s="355" t="s">
        <v>194</v>
      </c>
      <c r="O340" s="348" t="s">
        <v>35</v>
      </c>
      <c r="P340" s="356" t="s">
        <v>91</v>
      </c>
      <c r="Q340" s="348" t="s">
        <v>377</v>
      </c>
      <c r="R340" s="316" t="s">
        <v>377</v>
      </c>
      <c r="S340" s="347"/>
    </row>
    <row r="341" spans="1:19">
      <c r="A341" s="292">
        <v>401</v>
      </c>
      <c r="B341" s="301"/>
      <c r="C341" s="301"/>
      <c r="D341" s="301"/>
      <c r="E341" s="350"/>
      <c r="F341" s="250">
        <v>191.8</v>
      </c>
      <c r="G341" s="253"/>
      <c r="H341" s="304">
        <v>54.157035827636719</v>
      </c>
      <c r="I341" s="312">
        <v>-1.1830000000000001</v>
      </c>
      <c r="J341" s="287">
        <v>-1.0783713352680211</v>
      </c>
      <c r="K341" s="737">
        <f t="shared" si="11"/>
        <v>16.586462248529909</v>
      </c>
      <c r="L341" s="735" t="s">
        <v>33</v>
      </c>
      <c r="M341" s="342" t="s">
        <v>16</v>
      </c>
      <c r="N341" s="355" t="s">
        <v>194</v>
      </c>
      <c r="O341" s="348" t="s">
        <v>35</v>
      </c>
      <c r="P341" s="356" t="s">
        <v>91</v>
      </c>
      <c r="Q341" s="348" t="s">
        <v>377</v>
      </c>
      <c r="R341" s="316" t="s">
        <v>377</v>
      </c>
      <c r="S341" s="347"/>
    </row>
    <row r="342" spans="1:19">
      <c r="A342" s="292">
        <v>401</v>
      </c>
      <c r="B342" s="301"/>
      <c r="C342" s="301"/>
      <c r="D342" s="301"/>
      <c r="E342" s="350"/>
      <c r="F342" s="250">
        <v>192.14500000000001</v>
      </c>
      <c r="G342" s="253"/>
      <c r="H342" s="304">
        <v>54.164134979248047</v>
      </c>
      <c r="I342" s="312">
        <v>-1.095</v>
      </c>
      <c r="J342" s="287">
        <v>-1.0783713352680211</v>
      </c>
      <c r="K342" s="737">
        <f t="shared" si="11"/>
        <v>16.177181890480554</v>
      </c>
      <c r="L342" s="735" t="s">
        <v>33</v>
      </c>
      <c r="M342" s="342" t="s">
        <v>16</v>
      </c>
      <c r="N342" s="355" t="s">
        <v>194</v>
      </c>
      <c r="O342" s="348" t="s">
        <v>35</v>
      </c>
      <c r="P342" s="356" t="s">
        <v>91</v>
      </c>
      <c r="Q342" s="348" t="s">
        <v>377</v>
      </c>
      <c r="R342" s="316" t="s">
        <v>377</v>
      </c>
      <c r="S342" s="347"/>
    </row>
    <row r="343" spans="1:19">
      <c r="A343" s="292">
        <v>401</v>
      </c>
      <c r="B343" s="301"/>
      <c r="C343" s="301"/>
      <c r="D343" s="301"/>
      <c r="E343" s="350"/>
      <c r="F343" s="303">
        <v>192.9</v>
      </c>
      <c r="G343" s="303"/>
      <c r="H343" s="304">
        <v>54.503269195556641</v>
      </c>
      <c r="I343" s="305">
        <v>-0.95</v>
      </c>
      <c r="J343" s="287">
        <v>-1.0783713352680211</v>
      </c>
      <c r="K343" s="737">
        <f t="shared" si="11"/>
        <v>15.505840132331047</v>
      </c>
      <c r="L343" s="735" t="s">
        <v>33</v>
      </c>
      <c r="M343" s="342" t="s">
        <v>16</v>
      </c>
      <c r="N343" s="343" t="s">
        <v>199</v>
      </c>
      <c r="O343" s="100" t="s">
        <v>35</v>
      </c>
      <c r="P343" s="352" t="s">
        <v>58</v>
      </c>
      <c r="Q343" s="348" t="s">
        <v>379</v>
      </c>
      <c r="R343" s="316" t="s">
        <v>379</v>
      </c>
      <c r="S343" s="347"/>
    </row>
    <row r="344" spans="1:19">
      <c r="A344" s="292">
        <v>401</v>
      </c>
      <c r="B344" s="301"/>
      <c r="C344" s="301"/>
      <c r="D344" s="301"/>
      <c r="E344" s="350"/>
      <c r="F344" s="303">
        <v>199.18</v>
      </c>
      <c r="G344" s="303"/>
      <c r="H344" s="304">
        <v>55.585468292236328</v>
      </c>
      <c r="I344" s="305">
        <v>-2.4510000000000001</v>
      </c>
      <c r="J344" s="287">
        <v>-1.0783713352680211</v>
      </c>
      <c r="K344" s="737">
        <f t="shared" si="11"/>
        <v>22.638566854968332</v>
      </c>
      <c r="L344" s="735" t="s">
        <v>33</v>
      </c>
      <c r="M344" s="342" t="s">
        <v>16</v>
      </c>
      <c r="N344" s="343" t="s">
        <v>199</v>
      </c>
      <c r="O344" s="100" t="s">
        <v>35</v>
      </c>
      <c r="P344" s="352" t="s">
        <v>58</v>
      </c>
      <c r="Q344" s="348" t="s">
        <v>379</v>
      </c>
      <c r="R344" s="316" t="s">
        <v>379</v>
      </c>
      <c r="S344" s="347"/>
    </row>
    <row r="345" spans="1:19">
      <c r="A345" s="292">
        <v>401</v>
      </c>
      <c r="B345" s="301"/>
      <c r="C345" s="301"/>
      <c r="D345" s="301"/>
      <c r="E345" s="350"/>
      <c r="F345" s="303">
        <v>199.31</v>
      </c>
      <c r="G345" s="303"/>
      <c r="H345" s="304">
        <v>55.600090026855469</v>
      </c>
      <c r="I345" s="305">
        <v>-2.3820000000000001</v>
      </c>
      <c r="J345" s="287">
        <v>-1.0783713352680211</v>
      </c>
      <c r="K345" s="737">
        <f t="shared" si="11"/>
        <v>22.301787296952362</v>
      </c>
      <c r="L345" s="735" t="s">
        <v>33</v>
      </c>
      <c r="M345" s="342" t="s">
        <v>16</v>
      </c>
      <c r="N345" s="343" t="s">
        <v>199</v>
      </c>
      <c r="O345" s="100" t="s">
        <v>35</v>
      </c>
      <c r="P345" s="352" t="s">
        <v>58</v>
      </c>
      <c r="Q345" s="348" t="s">
        <v>379</v>
      </c>
      <c r="R345" s="316" t="s">
        <v>379</v>
      </c>
      <c r="S345" s="347"/>
    </row>
    <row r="346" spans="1:19">
      <c r="A346" s="292">
        <v>401</v>
      </c>
      <c r="B346" s="301"/>
      <c r="C346" s="301"/>
      <c r="D346" s="301"/>
      <c r="E346" s="350"/>
      <c r="F346" s="303">
        <v>199.41</v>
      </c>
      <c r="G346" s="303"/>
      <c r="H346" s="304">
        <v>55.611335754394531</v>
      </c>
      <c r="I346" s="305">
        <v>-2.3530000000000002</v>
      </c>
      <c r="J346" s="287">
        <v>-1.0783713352680211</v>
      </c>
      <c r="K346" s="737">
        <f t="shared" si="11"/>
        <v>22.160498045322463</v>
      </c>
      <c r="L346" s="735" t="s">
        <v>33</v>
      </c>
      <c r="M346" s="342" t="s">
        <v>16</v>
      </c>
      <c r="N346" s="343" t="s">
        <v>199</v>
      </c>
      <c r="O346" s="100" t="s">
        <v>35</v>
      </c>
      <c r="P346" s="352" t="s">
        <v>58</v>
      </c>
      <c r="Q346" s="348" t="s">
        <v>379</v>
      </c>
      <c r="R346" s="316" t="s">
        <v>379</v>
      </c>
      <c r="S346" s="347"/>
    </row>
    <row r="347" spans="1:19">
      <c r="A347" s="292">
        <v>401</v>
      </c>
      <c r="B347" s="301"/>
      <c r="C347" s="301"/>
      <c r="D347" s="301"/>
      <c r="E347" s="350"/>
      <c r="F347" s="303">
        <v>199.6</v>
      </c>
      <c r="G347" s="303"/>
      <c r="H347" s="304">
        <v>55.632705688476563</v>
      </c>
      <c r="I347" s="305">
        <v>-1.9770000000000001</v>
      </c>
      <c r="J347" s="287">
        <v>-1.0783713352680211</v>
      </c>
      <c r="K347" s="737">
        <f t="shared" si="11"/>
        <v>20.342315017293402</v>
      </c>
      <c r="L347" s="735" t="s">
        <v>33</v>
      </c>
      <c r="M347" s="342" t="s">
        <v>16</v>
      </c>
      <c r="N347" s="343" t="s">
        <v>199</v>
      </c>
      <c r="O347" s="100" t="s">
        <v>35</v>
      </c>
      <c r="P347" s="352" t="s">
        <v>58</v>
      </c>
      <c r="Q347" s="348" t="s">
        <v>379</v>
      </c>
      <c r="R347" s="316" t="s">
        <v>379</v>
      </c>
      <c r="S347" s="347"/>
    </row>
    <row r="348" spans="1:19">
      <c r="A348" s="292">
        <v>401</v>
      </c>
      <c r="B348" s="301"/>
      <c r="C348" s="301"/>
      <c r="D348" s="301"/>
      <c r="E348" s="350"/>
      <c r="F348" s="303">
        <v>199.7</v>
      </c>
      <c r="G348" s="303"/>
      <c r="H348" s="304">
        <v>55.643951416015625</v>
      </c>
      <c r="I348" s="305">
        <v>-2.0920000000000001</v>
      </c>
      <c r="J348" s="287">
        <v>-1.0783713352680211</v>
      </c>
      <c r="K348" s="737">
        <f t="shared" si="11"/>
        <v>20.895706880653353</v>
      </c>
      <c r="L348" s="735" t="s">
        <v>33</v>
      </c>
      <c r="M348" s="342" t="s">
        <v>16</v>
      </c>
      <c r="N348" s="343" t="s">
        <v>199</v>
      </c>
      <c r="O348" s="100" t="s">
        <v>35</v>
      </c>
      <c r="P348" s="352" t="s">
        <v>58</v>
      </c>
      <c r="Q348" s="348" t="s">
        <v>379</v>
      </c>
      <c r="R348" s="316" t="s">
        <v>379</v>
      </c>
      <c r="S348" s="347"/>
    </row>
    <row r="349" spans="1:19">
      <c r="A349" s="292">
        <v>401</v>
      </c>
      <c r="B349" s="301"/>
      <c r="C349" s="301"/>
      <c r="D349" s="301"/>
      <c r="E349" s="350"/>
      <c r="F349" s="303">
        <v>199.78</v>
      </c>
      <c r="G349" s="303"/>
      <c r="H349" s="304">
        <v>55.652950286865234</v>
      </c>
      <c r="I349" s="305">
        <v>-2.5590000000000002</v>
      </c>
      <c r="J349" s="287">
        <v>-1.0783713352680211</v>
      </c>
      <c r="K349" s="737">
        <f t="shared" si="11"/>
        <v>23.167420516210722</v>
      </c>
      <c r="L349" s="735" t="s">
        <v>33</v>
      </c>
      <c r="M349" s="342" t="s">
        <v>16</v>
      </c>
      <c r="N349" s="343" t="s">
        <v>199</v>
      </c>
      <c r="O349" s="100" t="s">
        <v>35</v>
      </c>
      <c r="P349" s="352" t="s">
        <v>58</v>
      </c>
      <c r="Q349" s="348" t="s">
        <v>379</v>
      </c>
      <c r="R349" s="316" t="s">
        <v>379</v>
      </c>
      <c r="S349" s="347"/>
    </row>
    <row r="350" spans="1:19">
      <c r="A350" s="292">
        <v>401</v>
      </c>
      <c r="B350" s="301"/>
      <c r="C350" s="301"/>
      <c r="D350" s="301"/>
      <c r="E350" s="350"/>
      <c r="F350" s="303">
        <v>199.88</v>
      </c>
      <c r="G350" s="303"/>
      <c r="H350" s="304">
        <v>55.664199829101563</v>
      </c>
      <c r="I350" s="305">
        <v>-1.593</v>
      </c>
      <c r="J350" s="287">
        <v>-1.0783713352680211</v>
      </c>
      <c r="K350" s="737">
        <f t="shared" si="11"/>
        <v>18.51171284398713</v>
      </c>
      <c r="L350" s="735" t="s">
        <v>33</v>
      </c>
      <c r="M350" s="342" t="s">
        <v>16</v>
      </c>
      <c r="N350" s="343" t="s">
        <v>199</v>
      </c>
      <c r="O350" s="100" t="s">
        <v>35</v>
      </c>
      <c r="P350" s="352" t="s">
        <v>58</v>
      </c>
      <c r="Q350" s="348" t="s">
        <v>379</v>
      </c>
      <c r="R350" s="316" t="s">
        <v>379</v>
      </c>
      <c r="S350" s="347"/>
    </row>
    <row r="351" spans="1:19">
      <c r="A351" s="292">
        <v>401</v>
      </c>
      <c r="B351" s="301"/>
      <c r="C351" s="301"/>
      <c r="D351" s="301"/>
      <c r="E351" s="350"/>
      <c r="F351" s="303">
        <v>199.98</v>
      </c>
      <c r="G351" s="303"/>
      <c r="H351" s="304">
        <v>55.675445556640625</v>
      </c>
      <c r="I351" s="305">
        <v>-1.9390000000000001</v>
      </c>
      <c r="J351" s="287">
        <v>-1.0783713352680211</v>
      </c>
      <c r="K351" s="737">
        <f t="shared" si="11"/>
        <v>20.159978357226635</v>
      </c>
      <c r="L351" s="735" t="s">
        <v>33</v>
      </c>
      <c r="M351" s="342" t="s">
        <v>16</v>
      </c>
      <c r="N351" s="343" t="s">
        <v>199</v>
      </c>
      <c r="O351" s="100" t="s">
        <v>35</v>
      </c>
      <c r="P351" s="352" t="s">
        <v>58</v>
      </c>
      <c r="Q351" s="348" t="s">
        <v>379</v>
      </c>
      <c r="R351" s="316" t="s">
        <v>379</v>
      </c>
      <c r="S351" s="347"/>
    </row>
    <row r="352" spans="1:19">
      <c r="A352" s="292">
        <v>401</v>
      </c>
      <c r="B352" s="301"/>
      <c r="C352" s="301"/>
      <c r="D352" s="301"/>
      <c r="E352" s="350"/>
      <c r="F352" s="303">
        <v>200.21</v>
      </c>
      <c r="G352" s="303"/>
      <c r="H352" s="304">
        <v>55.701316833496094</v>
      </c>
      <c r="I352" s="305">
        <v>-2.2679999999999998</v>
      </c>
      <c r="J352" s="287">
        <v>-1.0783713352680211</v>
      </c>
      <c r="K352" s="737">
        <f t="shared" si="11"/>
        <v>21.747246476752061</v>
      </c>
      <c r="L352" s="735" t="s">
        <v>33</v>
      </c>
      <c r="M352" s="342" t="s">
        <v>16</v>
      </c>
      <c r="N352" s="343" t="s">
        <v>199</v>
      </c>
      <c r="O352" s="100" t="s">
        <v>35</v>
      </c>
      <c r="P352" s="352" t="s">
        <v>58</v>
      </c>
      <c r="Q352" s="348" t="s">
        <v>379</v>
      </c>
      <c r="R352" s="316" t="s">
        <v>379</v>
      </c>
      <c r="S352" s="347"/>
    </row>
    <row r="353" spans="1:19">
      <c r="A353" s="292">
        <v>401</v>
      </c>
      <c r="B353" s="301"/>
      <c r="C353" s="301"/>
      <c r="D353" s="301"/>
      <c r="E353" s="350"/>
      <c r="F353" s="303">
        <v>200.31</v>
      </c>
      <c r="G353" s="303"/>
      <c r="H353" s="304">
        <v>55.712562561035156</v>
      </c>
      <c r="I353" s="305">
        <v>-1.7829999999999999</v>
      </c>
      <c r="J353" s="287">
        <v>-1.0783713352680211</v>
      </c>
      <c r="K353" s="737">
        <f t="shared" si="11"/>
        <v>19.414162144320962</v>
      </c>
      <c r="L353" s="735" t="s">
        <v>33</v>
      </c>
      <c r="M353" s="342" t="s">
        <v>16</v>
      </c>
      <c r="N353" s="343" t="s">
        <v>199</v>
      </c>
      <c r="O353" s="100" t="s">
        <v>35</v>
      </c>
      <c r="P353" s="352" t="s">
        <v>58</v>
      </c>
      <c r="Q353" s="348" t="s">
        <v>379</v>
      </c>
      <c r="R353" s="316" t="s">
        <v>379</v>
      </c>
      <c r="S353" s="347"/>
    </row>
    <row r="354" spans="1:19">
      <c r="A354" s="292">
        <v>401</v>
      </c>
      <c r="B354" s="301"/>
      <c r="C354" s="301"/>
      <c r="D354" s="301"/>
      <c r="E354" s="350"/>
      <c r="F354" s="303">
        <v>200.37</v>
      </c>
      <c r="G354" s="303"/>
      <c r="H354" s="304">
        <v>55.719310760498047</v>
      </c>
      <c r="I354" s="305">
        <v>-1.407</v>
      </c>
      <c r="J354" s="287">
        <v>-1.0783713352680211</v>
      </c>
      <c r="K354" s="737">
        <f t="shared" si="11"/>
        <v>17.6345567162919</v>
      </c>
      <c r="L354" s="735" t="s">
        <v>33</v>
      </c>
      <c r="M354" s="342" t="s">
        <v>16</v>
      </c>
      <c r="N354" s="343" t="s">
        <v>199</v>
      </c>
      <c r="O354" s="100" t="s">
        <v>35</v>
      </c>
      <c r="P354" s="352" t="s">
        <v>58</v>
      </c>
      <c r="Q354" s="348" t="s">
        <v>379</v>
      </c>
      <c r="R354" s="316" t="s">
        <v>379</v>
      </c>
      <c r="S354" s="347"/>
    </row>
    <row r="355" spans="1:19">
      <c r="A355" s="292">
        <v>401</v>
      </c>
      <c r="B355" s="301"/>
      <c r="C355" s="301"/>
      <c r="D355" s="301"/>
      <c r="E355" s="350"/>
      <c r="F355" s="303">
        <v>200.4</v>
      </c>
      <c r="G355" s="303"/>
      <c r="H355" s="304">
        <v>55.722682952880859</v>
      </c>
      <c r="I355" s="305">
        <v>-2.282</v>
      </c>
      <c r="J355" s="287">
        <v>-1.0783713352680211</v>
      </c>
      <c r="K355" s="737">
        <f t="shared" si="11"/>
        <v>21.815221980987186</v>
      </c>
      <c r="L355" s="735" t="s">
        <v>33</v>
      </c>
      <c r="M355" s="342" t="s">
        <v>16</v>
      </c>
      <c r="N355" s="343" t="s">
        <v>199</v>
      </c>
      <c r="O355" s="100" t="s">
        <v>35</v>
      </c>
      <c r="P355" s="352" t="s">
        <v>58</v>
      </c>
      <c r="Q355" s="348" t="s">
        <v>379</v>
      </c>
      <c r="R355" s="316" t="s">
        <v>379</v>
      </c>
      <c r="S355" s="347"/>
    </row>
    <row r="356" spans="1:19">
      <c r="A356" s="292">
        <v>401</v>
      </c>
      <c r="B356" s="301"/>
      <c r="C356" s="301"/>
      <c r="D356" s="301"/>
      <c r="E356" s="350"/>
      <c r="F356" s="303">
        <v>200.63</v>
      </c>
      <c r="G356" s="303" t="s">
        <v>380</v>
      </c>
      <c r="H356" s="304">
        <v>55.748554229736328</v>
      </c>
      <c r="I356" s="305">
        <v>-2.38</v>
      </c>
      <c r="J356" s="287">
        <v>-1.0783713352680211</v>
      </c>
      <c r="K356" s="737">
        <f t="shared" si="11"/>
        <v>22.29203835063306</v>
      </c>
      <c r="L356" s="735" t="s">
        <v>33</v>
      </c>
      <c r="M356" s="342" t="s">
        <v>16</v>
      </c>
      <c r="N356" s="343" t="s">
        <v>199</v>
      </c>
      <c r="O356" s="100" t="s">
        <v>35</v>
      </c>
      <c r="P356" s="352" t="s">
        <v>58</v>
      </c>
      <c r="Q356" s="348" t="s">
        <v>379</v>
      </c>
      <c r="R356" s="316" t="s">
        <v>379</v>
      </c>
      <c r="S356" s="347"/>
    </row>
    <row r="357" spans="1:19">
      <c r="A357" s="292">
        <v>401</v>
      </c>
      <c r="B357" s="301"/>
      <c r="C357" s="301"/>
      <c r="D357" s="301"/>
      <c r="E357" s="350"/>
      <c r="F357" s="303">
        <v>200.83</v>
      </c>
      <c r="G357" s="303" t="s">
        <v>380</v>
      </c>
      <c r="H357" s="304">
        <v>55.771045684814453</v>
      </c>
      <c r="I357" s="305">
        <v>-2.2519999999999998</v>
      </c>
      <c r="J357" s="287">
        <v>-1.0783713352680211</v>
      </c>
      <c r="K357" s="737">
        <f t="shared" si="11"/>
        <v>21.669603386197632</v>
      </c>
      <c r="L357" s="735" t="s">
        <v>33</v>
      </c>
      <c r="M357" s="342" t="s">
        <v>16</v>
      </c>
      <c r="N357" s="343" t="s">
        <v>199</v>
      </c>
      <c r="O357" s="100" t="s">
        <v>35</v>
      </c>
      <c r="P357" s="352" t="s">
        <v>58</v>
      </c>
      <c r="Q357" s="348" t="s">
        <v>379</v>
      </c>
      <c r="R357" s="316" t="s">
        <v>379</v>
      </c>
      <c r="S357" s="347"/>
    </row>
    <row r="358" spans="1:19">
      <c r="A358" s="292">
        <v>401</v>
      </c>
      <c r="B358" s="301"/>
      <c r="C358" s="301"/>
      <c r="D358" s="301"/>
      <c r="E358" s="350"/>
      <c r="F358" s="303">
        <v>200.91</v>
      </c>
      <c r="G358" s="303" t="s">
        <v>380</v>
      </c>
      <c r="H358" s="304">
        <v>55.780044555664063</v>
      </c>
      <c r="I358" s="305">
        <v>-2.1659999999999999</v>
      </c>
      <c r="J358" s="287">
        <v>-1.0783713352680211</v>
      </c>
      <c r="K358" s="737">
        <f t="shared" si="11"/>
        <v>21.253061254467582</v>
      </c>
      <c r="L358" s="735" t="s">
        <v>33</v>
      </c>
      <c r="M358" s="342" t="s">
        <v>16</v>
      </c>
      <c r="N358" s="343" t="s">
        <v>199</v>
      </c>
      <c r="O358" s="100" t="s">
        <v>35</v>
      </c>
      <c r="P358" s="352" t="s">
        <v>58</v>
      </c>
      <c r="Q358" s="348" t="s">
        <v>379</v>
      </c>
      <c r="R358" s="316" t="s">
        <v>379</v>
      </c>
      <c r="S358" s="347"/>
    </row>
    <row r="359" spans="1:19">
      <c r="A359" s="292">
        <v>401</v>
      </c>
      <c r="B359" s="301"/>
      <c r="C359" s="301"/>
      <c r="D359" s="301"/>
      <c r="E359" s="350"/>
      <c r="F359" s="303">
        <v>201</v>
      </c>
      <c r="G359" s="303" t="s">
        <v>59</v>
      </c>
      <c r="H359" s="304">
        <v>55.790168762207031</v>
      </c>
      <c r="I359" s="305">
        <v>-2.0310000000000001</v>
      </c>
      <c r="J359" s="287">
        <v>-1.0783713352680211</v>
      </c>
      <c r="K359" s="737">
        <f t="shared" si="11"/>
        <v>20.601872127914596</v>
      </c>
      <c r="L359" s="735" t="s">
        <v>33</v>
      </c>
      <c r="M359" s="342" t="s">
        <v>16</v>
      </c>
      <c r="N359" s="343" t="s">
        <v>199</v>
      </c>
      <c r="O359" s="100" t="s">
        <v>35</v>
      </c>
      <c r="P359" s="352" t="s">
        <v>58</v>
      </c>
      <c r="Q359" s="348" t="s">
        <v>379</v>
      </c>
      <c r="R359" s="316" t="s">
        <v>379</v>
      </c>
      <c r="S359" s="347"/>
    </row>
    <row r="360" spans="1:19">
      <c r="A360" s="292">
        <v>401</v>
      </c>
      <c r="B360" s="301"/>
      <c r="C360" s="301"/>
      <c r="D360" s="301"/>
      <c r="E360" s="350"/>
      <c r="F360" s="303">
        <v>201.1</v>
      </c>
      <c r="G360" s="303" t="s">
        <v>59</v>
      </c>
      <c r="H360" s="304">
        <v>55.801414489746094</v>
      </c>
      <c r="I360" s="305">
        <v>-1.833</v>
      </c>
      <c r="J360" s="287">
        <v>-1.0783713352680211</v>
      </c>
      <c r="K360" s="737">
        <f t="shared" si="11"/>
        <v>19.65272880230355</v>
      </c>
      <c r="L360" s="735" t="s">
        <v>33</v>
      </c>
      <c r="M360" s="342" t="s">
        <v>16</v>
      </c>
      <c r="N360" s="343" t="s">
        <v>199</v>
      </c>
      <c r="O360" s="100" t="s">
        <v>35</v>
      </c>
      <c r="P360" s="352" t="s">
        <v>58</v>
      </c>
      <c r="Q360" s="348" t="s">
        <v>379</v>
      </c>
      <c r="R360" s="316" t="s">
        <v>379</v>
      </c>
      <c r="S360" s="347"/>
    </row>
    <row r="361" spans="1:19">
      <c r="A361" s="292">
        <v>401</v>
      </c>
      <c r="B361" s="301"/>
      <c r="C361" s="301"/>
      <c r="D361" s="301"/>
      <c r="E361" s="350"/>
      <c r="F361" s="303">
        <v>201.2</v>
      </c>
      <c r="G361" s="303" t="s">
        <v>59</v>
      </c>
      <c r="H361" s="304">
        <v>55.812660217285156</v>
      </c>
      <c r="I361" s="305">
        <v>-1.8080000000000001</v>
      </c>
      <c r="J361" s="287">
        <v>-1.0783713352680211</v>
      </c>
      <c r="K361" s="737">
        <f t="shared" si="11"/>
        <v>19.533389223312255</v>
      </c>
      <c r="L361" s="735" t="s">
        <v>33</v>
      </c>
      <c r="M361" s="342" t="s">
        <v>16</v>
      </c>
      <c r="N361" s="343" t="s">
        <v>199</v>
      </c>
      <c r="O361" s="100" t="s">
        <v>35</v>
      </c>
      <c r="P361" s="352" t="s">
        <v>58</v>
      </c>
      <c r="Q361" s="348" t="s">
        <v>379</v>
      </c>
      <c r="R361" s="316" t="s">
        <v>379</v>
      </c>
      <c r="S361" s="347"/>
    </row>
    <row r="362" spans="1:19">
      <c r="A362" s="292">
        <v>401</v>
      </c>
      <c r="B362" s="301"/>
      <c r="C362" s="301"/>
      <c r="D362" s="301"/>
      <c r="E362" s="350"/>
      <c r="F362" s="303">
        <v>201.29</v>
      </c>
      <c r="G362" s="303" t="s">
        <v>59</v>
      </c>
      <c r="H362" s="304">
        <v>55.822784423828125</v>
      </c>
      <c r="I362" s="305">
        <v>-1.8129999999999999</v>
      </c>
      <c r="J362" s="287">
        <v>-1.0783713352680211</v>
      </c>
      <c r="K362" s="737">
        <f t="shared" si="11"/>
        <v>19.557248139110513</v>
      </c>
      <c r="L362" s="735" t="s">
        <v>33</v>
      </c>
      <c r="M362" s="342" t="s">
        <v>16</v>
      </c>
      <c r="N362" s="343" t="s">
        <v>199</v>
      </c>
      <c r="O362" s="100" t="s">
        <v>35</v>
      </c>
      <c r="P362" s="352" t="s">
        <v>58</v>
      </c>
      <c r="Q362" s="348" t="s">
        <v>379</v>
      </c>
      <c r="R362" s="316" t="s">
        <v>379</v>
      </c>
      <c r="S362" s="347"/>
    </row>
    <row r="363" spans="1:19">
      <c r="A363" s="292">
        <v>401</v>
      </c>
      <c r="B363" s="301"/>
      <c r="C363" s="301"/>
      <c r="D363" s="301"/>
      <c r="E363" s="350"/>
      <c r="F363" s="303">
        <v>201.4</v>
      </c>
      <c r="G363" s="303" t="s">
        <v>59</v>
      </c>
      <c r="H363" s="304">
        <v>55.835155487060547</v>
      </c>
      <c r="I363" s="305">
        <v>-2.0409999999999999</v>
      </c>
      <c r="J363" s="287">
        <v>-1.0783713352680211</v>
      </c>
      <c r="K363" s="737">
        <f t="shared" si="11"/>
        <v>20.649995859511112</v>
      </c>
      <c r="L363" s="735" t="s">
        <v>33</v>
      </c>
      <c r="M363" s="342" t="s">
        <v>16</v>
      </c>
      <c r="N363" s="343" t="s">
        <v>199</v>
      </c>
      <c r="O363" s="100" t="s">
        <v>35</v>
      </c>
      <c r="P363" s="352" t="s">
        <v>58</v>
      </c>
      <c r="Q363" s="348" t="s">
        <v>379</v>
      </c>
      <c r="R363" s="316" t="s">
        <v>379</v>
      </c>
      <c r="S363" s="347"/>
    </row>
    <row r="364" spans="1:19">
      <c r="A364" s="292">
        <v>401</v>
      </c>
      <c r="B364" s="301"/>
      <c r="C364" s="301"/>
      <c r="D364" s="301"/>
      <c r="E364" s="350"/>
      <c r="F364" s="303">
        <v>201.48</v>
      </c>
      <c r="G364" s="303" t="s">
        <v>59</v>
      </c>
      <c r="H364" s="304">
        <v>55.844154357910156</v>
      </c>
      <c r="I364" s="305">
        <v>-2.0369999999999999</v>
      </c>
      <c r="J364" s="287">
        <v>-1.0783713352680211</v>
      </c>
      <c r="K364" s="737">
        <f t="shared" si="11"/>
        <v>20.630744206872503</v>
      </c>
      <c r="L364" s="735" t="s">
        <v>33</v>
      </c>
      <c r="M364" s="342" t="s">
        <v>16</v>
      </c>
      <c r="N364" s="343" t="s">
        <v>199</v>
      </c>
      <c r="O364" s="100" t="s">
        <v>35</v>
      </c>
      <c r="P364" s="352" t="s">
        <v>58</v>
      </c>
      <c r="Q364" s="348" t="s">
        <v>379</v>
      </c>
      <c r="R364" s="316" t="s">
        <v>379</v>
      </c>
      <c r="S364" s="347"/>
    </row>
    <row r="365" spans="1:19">
      <c r="A365" s="292">
        <v>401</v>
      </c>
      <c r="B365" s="301"/>
      <c r="C365" s="301"/>
      <c r="D365" s="301"/>
      <c r="E365" s="350"/>
      <c r="F365" s="303">
        <v>201.66</v>
      </c>
      <c r="G365" s="303" t="s">
        <v>59</v>
      </c>
      <c r="H365" s="304">
        <v>55.864398956298828</v>
      </c>
      <c r="I365" s="305">
        <v>-1.538</v>
      </c>
      <c r="J365" s="287">
        <v>-1.0783713352680211</v>
      </c>
      <c r="K365" s="737">
        <f t="shared" si="11"/>
        <v>18.251690270206279</v>
      </c>
      <c r="L365" s="735" t="s">
        <v>33</v>
      </c>
      <c r="M365" s="342" t="s">
        <v>16</v>
      </c>
      <c r="N365" s="343" t="s">
        <v>199</v>
      </c>
      <c r="O365" s="100" t="s">
        <v>35</v>
      </c>
      <c r="P365" s="352" t="s">
        <v>58</v>
      </c>
      <c r="Q365" s="348" t="s">
        <v>379</v>
      </c>
      <c r="R365" s="316" t="s">
        <v>379</v>
      </c>
      <c r="S365" s="347"/>
    </row>
    <row r="366" spans="1:19">
      <c r="A366" s="292">
        <v>401</v>
      </c>
      <c r="B366" s="301"/>
      <c r="C366" s="301"/>
      <c r="D366" s="301"/>
      <c r="E366" s="350"/>
      <c r="F366" s="303">
        <v>201.71</v>
      </c>
      <c r="G366" s="303" t="s">
        <v>59</v>
      </c>
      <c r="H366" s="304">
        <v>55.870021820068359</v>
      </c>
      <c r="I366" s="305">
        <v>-2.44</v>
      </c>
      <c r="J366" s="287">
        <v>-1.0783713352680211</v>
      </c>
      <c r="K366" s="737">
        <f t="shared" si="11"/>
        <v>22.584819940212164</v>
      </c>
      <c r="L366" s="735" t="s">
        <v>33</v>
      </c>
      <c r="M366" s="342" t="s">
        <v>16</v>
      </c>
      <c r="N366" s="343" t="s">
        <v>199</v>
      </c>
      <c r="O366" s="100" t="s">
        <v>35</v>
      </c>
      <c r="P366" s="352" t="s">
        <v>58</v>
      </c>
      <c r="Q366" s="348" t="s">
        <v>379</v>
      </c>
      <c r="R366" s="316" t="s">
        <v>379</v>
      </c>
      <c r="S366" s="347"/>
    </row>
    <row r="367" spans="1:19">
      <c r="A367" s="292">
        <v>401</v>
      </c>
      <c r="B367" s="301"/>
      <c r="C367" s="301"/>
      <c r="D367" s="301"/>
      <c r="E367" s="350"/>
      <c r="F367" s="303">
        <v>201.81</v>
      </c>
      <c r="G367" s="303" t="s">
        <v>59</v>
      </c>
      <c r="H367" s="304">
        <v>55.881271362304688</v>
      </c>
      <c r="I367" s="305">
        <v>-1.909</v>
      </c>
      <c r="J367" s="287">
        <v>-1.0783713352680211</v>
      </c>
      <c r="K367" s="737">
        <f t="shared" si="11"/>
        <v>20.016211962437083</v>
      </c>
      <c r="L367" s="735" t="s">
        <v>33</v>
      </c>
      <c r="M367" s="342" t="s">
        <v>16</v>
      </c>
      <c r="N367" s="343" t="s">
        <v>199</v>
      </c>
      <c r="O367" s="100" t="s">
        <v>35</v>
      </c>
      <c r="P367" s="352" t="s">
        <v>58</v>
      </c>
      <c r="Q367" s="348" t="s">
        <v>379</v>
      </c>
      <c r="R367" s="316" t="s">
        <v>379</v>
      </c>
      <c r="S367" s="347"/>
    </row>
    <row r="368" spans="1:19">
      <c r="A368" s="292">
        <v>401</v>
      </c>
      <c r="B368" s="301"/>
      <c r="C368" s="301"/>
      <c r="D368" s="301"/>
      <c r="E368" s="350"/>
      <c r="F368" s="303">
        <v>201.87</v>
      </c>
      <c r="G368" s="303" t="s">
        <v>20</v>
      </c>
      <c r="H368" s="304">
        <v>55.888019561767578</v>
      </c>
      <c r="I368" s="305">
        <v>-2.0135999999999998</v>
      </c>
      <c r="J368" s="287">
        <v>-1.0783713352680211</v>
      </c>
      <c r="K368" s="739">
        <f t="shared" si="11"/>
        <v>20.518179743336653</v>
      </c>
      <c r="L368" s="735" t="s">
        <v>33</v>
      </c>
      <c r="M368" s="342" t="s">
        <v>16</v>
      </c>
      <c r="N368" s="343" t="s">
        <v>199</v>
      </c>
      <c r="O368" s="100" t="s">
        <v>35</v>
      </c>
      <c r="P368" s="352" t="s">
        <v>58</v>
      </c>
      <c r="Q368" s="348" t="s">
        <v>379</v>
      </c>
      <c r="R368" s="316" t="s">
        <v>379</v>
      </c>
      <c r="S368" s="347"/>
    </row>
    <row r="369" spans="1:19">
      <c r="A369" s="292">
        <v>401</v>
      </c>
      <c r="B369" s="301"/>
      <c r="C369" s="301"/>
      <c r="D369" s="301"/>
      <c r="E369" s="350"/>
      <c r="F369" s="303">
        <v>202.02</v>
      </c>
      <c r="G369" s="303" t="s">
        <v>20</v>
      </c>
      <c r="H369" s="304">
        <v>55.904888153076172</v>
      </c>
      <c r="I369" s="305">
        <v>-1.5405</v>
      </c>
      <c r="J369" s="287">
        <v>-1.0783713352680211</v>
      </c>
      <c r="K369" s="739">
        <f t="shared" si="11"/>
        <v>18.26349766560541</v>
      </c>
      <c r="L369" s="735" t="s">
        <v>33</v>
      </c>
      <c r="M369" s="342" t="s">
        <v>16</v>
      </c>
      <c r="N369" s="343" t="s">
        <v>199</v>
      </c>
      <c r="O369" s="100" t="s">
        <v>35</v>
      </c>
      <c r="P369" s="352" t="s">
        <v>58</v>
      </c>
      <c r="Q369" s="348" t="s">
        <v>379</v>
      </c>
      <c r="R369" s="316" t="s">
        <v>379</v>
      </c>
      <c r="S369" s="347"/>
    </row>
    <row r="370" spans="1:19">
      <c r="A370" s="292">
        <v>401</v>
      </c>
      <c r="B370" s="301"/>
      <c r="C370" s="301"/>
      <c r="D370" s="301"/>
      <c r="E370" s="350"/>
      <c r="F370" s="303">
        <v>202.08</v>
      </c>
      <c r="G370" s="303" t="s">
        <v>20</v>
      </c>
      <c r="H370" s="304">
        <v>55.911636352539063</v>
      </c>
      <c r="I370" s="305">
        <v>-1.7156</v>
      </c>
      <c r="J370" s="287">
        <v>-1.0783713352680211</v>
      </c>
      <c r="K370" s="739">
        <f t="shared" si="11"/>
        <v>19.093286437760433</v>
      </c>
      <c r="L370" s="735" t="s">
        <v>33</v>
      </c>
      <c r="M370" s="342" t="s">
        <v>16</v>
      </c>
      <c r="N370" s="343" t="s">
        <v>199</v>
      </c>
      <c r="O370" s="100" t="s">
        <v>35</v>
      </c>
      <c r="P370" s="352" t="s">
        <v>58</v>
      </c>
      <c r="Q370" s="348" t="s">
        <v>379</v>
      </c>
      <c r="R370" s="316" t="s">
        <v>379</v>
      </c>
      <c r="S370" s="347"/>
    </row>
    <row r="371" spans="1:19">
      <c r="A371" s="292">
        <v>401</v>
      </c>
      <c r="B371" s="301"/>
      <c r="C371" s="301"/>
      <c r="D371" s="301"/>
      <c r="E371" s="350"/>
      <c r="F371" s="303">
        <v>202.13</v>
      </c>
      <c r="G371" s="303" t="s">
        <v>20</v>
      </c>
      <c r="H371" s="304">
        <v>55.917263031005859</v>
      </c>
      <c r="I371" s="305">
        <v>-1.7005999999999999</v>
      </c>
      <c r="J371" s="287">
        <v>-1.0783713352680211</v>
      </c>
      <c r="K371" s="739">
        <f t="shared" si="11"/>
        <v>19.021986170365654</v>
      </c>
      <c r="L371" s="735" t="s">
        <v>33</v>
      </c>
      <c r="M371" s="342" t="s">
        <v>16</v>
      </c>
      <c r="N371" s="343" t="s">
        <v>199</v>
      </c>
      <c r="O371" s="100" t="s">
        <v>35</v>
      </c>
      <c r="P371" s="352" t="s">
        <v>58</v>
      </c>
      <c r="Q371" s="348" t="s">
        <v>379</v>
      </c>
      <c r="R371" s="316" t="s">
        <v>379</v>
      </c>
      <c r="S371" s="347"/>
    </row>
    <row r="372" spans="1:19">
      <c r="A372" s="292">
        <v>401</v>
      </c>
      <c r="B372" s="301"/>
      <c r="C372" s="301"/>
      <c r="D372" s="301"/>
      <c r="E372" s="350"/>
      <c r="F372" s="303">
        <v>202.18</v>
      </c>
      <c r="G372" s="303" t="s">
        <v>20</v>
      </c>
      <c r="H372" s="304">
        <v>55.922882080078125</v>
      </c>
      <c r="I372" s="305">
        <v>-1.5786</v>
      </c>
      <c r="J372" s="287">
        <v>-1.0783713352680211</v>
      </c>
      <c r="K372" s="739">
        <f t="shared" si="11"/>
        <v>18.44358158888814</v>
      </c>
      <c r="L372" s="735" t="s">
        <v>33</v>
      </c>
      <c r="M372" s="342" t="s">
        <v>16</v>
      </c>
      <c r="N372" s="343" t="s">
        <v>199</v>
      </c>
      <c r="O372" s="100" t="s">
        <v>35</v>
      </c>
      <c r="P372" s="352" t="s">
        <v>58</v>
      </c>
      <c r="Q372" s="348" t="s">
        <v>379</v>
      </c>
      <c r="R372" s="316" t="s">
        <v>379</v>
      </c>
      <c r="S372" s="347"/>
    </row>
    <row r="373" spans="1:19">
      <c r="A373" s="292">
        <v>401</v>
      </c>
      <c r="B373" s="301"/>
      <c r="C373" s="301"/>
      <c r="D373" s="301"/>
      <c r="E373" s="350"/>
      <c r="F373" s="303">
        <v>202.24</v>
      </c>
      <c r="G373" s="303" t="s">
        <v>20</v>
      </c>
      <c r="H373" s="304">
        <v>55.929634094238281</v>
      </c>
      <c r="I373" s="305">
        <v>-1.5854999999999999</v>
      </c>
      <c r="J373" s="287">
        <v>-1.0783713352680211</v>
      </c>
      <c r="K373" s="739">
        <f t="shared" si="11"/>
        <v>18.47622315778974</v>
      </c>
      <c r="L373" s="735" t="s">
        <v>33</v>
      </c>
      <c r="M373" s="342" t="s">
        <v>16</v>
      </c>
      <c r="N373" s="343" t="s">
        <v>199</v>
      </c>
      <c r="O373" s="100" t="s">
        <v>35</v>
      </c>
      <c r="P373" s="352" t="s">
        <v>58</v>
      </c>
      <c r="Q373" s="348" t="s">
        <v>379</v>
      </c>
      <c r="R373" s="316" t="s">
        <v>379</v>
      </c>
      <c r="S373" s="347"/>
    </row>
    <row r="374" spans="1:19">
      <c r="A374" s="292">
        <v>401</v>
      </c>
      <c r="B374" s="301"/>
      <c r="C374" s="301"/>
      <c r="D374" s="301"/>
      <c r="E374" s="350"/>
      <c r="F374" s="303">
        <v>202.29</v>
      </c>
      <c r="G374" s="303" t="s">
        <v>20</v>
      </c>
      <c r="H374" s="304">
        <v>55.935256958007813</v>
      </c>
      <c r="I374" s="305">
        <v>-1.538</v>
      </c>
      <c r="J374" s="287">
        <v>-1.0783713352680211</v>
      </c>
      <c r="K374" s="739">
        <f t="shared" si="11"/>
        <v>18.251690270206279</v>
      </c>
      <c r="L374" s="735" t="s">
        <v>33</v>
      </c>
      <c r="M374" s="342" t="s">
        <v>16</v>
      </c>
      <c r="N374" s="343" t="s">
        <v>199</v>
      </c>
      <c r="O374" s="100" t="s">
        <v>35</v>
      </c>
      <c r="P374" s="352" t="s">
        <v>58</v>
      </c>
      <c r="Q374" s="348" t="s">
        <v>379</v>
      </c>
      <c r="R374" s="316" t="s">
        <v>379</v>
      </c>
      <c r="S374" s="347"/>
    </row>
    <row r="375" spans="1:19">
      <c r="A375" s="292">
        <v>401</v>
      </c>
      <c r="B375" s="301"/>
      <c r="C375" s="301"/>
      <c r="D375" s="301"/>
      <c r="E375" s="350"/>
      <c r="F375" s="303">
        <v>202.29249999999999</v>
      </c>
      <c r="G375" s="303" t="s">
        <v>20</v>
      </c>
      <c r="H375" s="304">
        <v>55.935539245605469</v>
      </c>
      <c r="I375" s="305">
        <v>-1.5844</v>
      </c>
      <c r="J375" s="287">
        <v>-1.0783713352680211</v>
      </c>
      <c r="K375" s="739">
        <f t="shared" si="11"/>
        <v>18.471018855214123</v>
      </c>
      <c r="L375" s="735" t="s">
        <v>33</v>
      </c>
      <c r="M375" s="342" t="s">
        <v>16</v>
      </c>
      <c r="N375" s="343" t="s">
        <v>199</v>
      </c>
      <c r="O375" s="100" t="s">
        <v>35</v>
      </c>
      <c r="P375" s="352" t="s">
        <v>58</v>
      </c>
      <c r="Q375" s="348" t="s">
        <v>379</v>
      </c>
      <c r="R375" s="316" t="s">
        <v>379</v>
      </c>
      <c r="S375" s="347"/>
    </row>
    <row r="376" spans="1:19">
      <c r="A376" s="292">
        <v>401</v>
      </c>
      <c r="B376" s="301"/>
      <c r="C376" s="301"/>
      <c r="D376" s="301"/>
      <c r="E376" s="350"/>
      <c r="F376" s="303">
        <v>202.34</v>
      </c>
      <c r="G376" s="303" t="s">
        <v>20</v>
      </c>
      <c r="H376" s="304">
        <v>55.940879821777344</v>
      </c>
      <c r="I376" s="305">
        <v>-1.5254000000000001</v>
      </c>
      <c r="J376" s="287">
        <v>-1.0783713352680211</v>
      </c>
      <c r="K376" s="739">
        <f t="shared" si="11"/>
        <v>18.192198120794668</v>
      </c>
      <c r="L376" s="735" t="s">
        <v>33</v>
      </c>
      <c r="M376" s="342" t="s">
        <v>16</v>
      </c>
      <c r="N376" s="343" t="s">
        <v>199</v>
      </c>
      <c r="O376" s="100" t="s">
        <v>35</v>
      </c>
      <c r="P376" s="352" t="s">
        <v>58</v>
      </c>
      <c r="Q376" s="348" t="s">
        <v>379</v>
      </c>
      <c r="R376" s="316" t="s">
        <v>379</v>
      </c>
      <c r="S376" s="347"/>
    </row>
    <row r="377" spans="1:19">
      <c r="A377" s="292">
        <v>401</v>
      </c>
      <c r="B377" s="301"/>
      <c r="C377" s="301"/>
      <c r="D377" s="301"/>
      <c r="E377" s="350"/>
      <c r="F377" s="303">
        <v>202.4</v>
      </c>
      <c r="G377" s="303" t="s">
        <v>20</v>
      </c>
      <c r="H377" s="304">
        <v>55.947628021240234</v>
      </c>
      <c r="I377" s="305">
        <v>-1.6006</v>
      </c>
      <c r="J377" s="287">
        <v>-1.0783713352680211</v>
      </c>
      <c r="K377" s="739">
        <f t="shared" si="11"/>
        <v>18.547686054400479</v>
      </c>
      <c r="L377" s="735" t="s">
        <v>33</v>
      </c>
      <c r="M377" s="342" t="s">
        <v>16</v>
      </c>
      <c r="N377" s="343" t="s">
        <v>199</v>
      </c>
      <c r="O377" s="100" t="s">
        <v>35</v>
      </c>
      <c r="P377" s="352" t="s">
        <v>58</v>
      </c>
      <c r="Q377" s="348" t="s">
        <v>379</v>
      </c>
      <c r="R377" s="316" t="s">
        <v>379</v>
      </c>
      <c r="S377" s="347"/>
    </row>
    <row r="378" spans="1:19">
      <c r="A378" s="292">
        <v>401</v>
      </c>
      <c r="B378" s="301"/>
      <c r="C378" s="301"/>
      <c r="D378" s="301"/>
      <c r="E378" s="350"/>
      <c r="F378" s="303">
        <v>202.48</v>
      </c>
      <c r="G378" s="303" t="s">
        <v>20</v>
      </c>
      <c r="H378" s="304">
        <v>55.956626892089844</v>
      </c>
      <c r="I378" s="305">
        <v>-2.4779999999999998</v>
      </c>
      <c r="J378" s="287">
        <v>-1.0783713352680211</v>
      </c>
      <c r="K378" s="739">
        <f t="shared" si="11"/>
        <v>22.77058344027893</v>
      </c>
      <c r="L378" s="735" t="s">
        <v>33</v>
      </c>
      <c r="M378" s="342" t="s">
        <v>16</v>
      </c>
      <c r="N378" s="343" t="s">
        <v>199</v>
      </c>
      <c r="O378" s="100" t="s">
        <v>35</v>
      </c>
      <c r="P378" s="352" t="s">
        <v>58</v>
      </c>
      <c r="Q378" s="348" t="s">
        <v>379</v>
      </c>
      <c r="R378" s="316" t="s">
        <v>379</v>
      </c>
      <c r="S378" s="347"/>
    </row>
    <row r="379" spans="1:19">
      <c r="A379" s="292">
        <v>401</v>
      </c>
      <c r="B379" s="301"/>
      <c r="C379" s="301"/>
      <c r="D379" s="301"/>
      <c r="E379" s="350"/>
      <c r="F379" s="303">
        <v>202.51</v>
      </c>
      <c r="G379" s="324" t="s">
        <v>20</v>
      </c>
      <c r="H379" s="304">
        <v>55.959999084472656</v>
      </c>
      <c r="I379" s="305">
        <v>-2.266</v>
      </c>
      <c r="J379" s="287">
        <v>-1.0783713352680211</v>
      </c>
      <c r="K379" s="739">
        <f t="shared" si="11"/>
        <v>21.737538570432758</v>
      </c>
      <c r="L379" s="735" t="s">
        <v>33</v>
      </c>
      <c r="M379" s="342" t="s">
        <v>16</v>
      </c>
      <c r="N379" s="343" t="s">
        <v>199</v>
      </c>
      <c r="O379" s="100" t="s">
        <v>35</v>
      </c>
      <c r="P379" s="352" t="s">
        <v>58</v>
      </c>
      <c r="Q379" s="348" t="s">
        <v>379</v>
      </c>
      <c r="R379" s="316" t="s">
        <v>379</v>
      </c>
      <c r="S379" s="347"/>
    </row>
    <row r="380" spans="1:19">
      <c r="A380" s="292">
        <v>401</v>
      </c>
      <c r="B380" s="301"/>
      <c r="C380" s="301"/>
      <c r="D380" s="301"/>
      <c r="E380" s="350"/>
      <c r="F380" s="303">
        <v>202.53</v>
      </c>
      <c r="G380" s="324"/>
      <c r="H380" s="304">
        <v>55.963264465332031</v>
      </c>
      <c r="I380" s="305">
        <v>-1.2150000000000001</v>
      </c>
      <c r="J380" s="287">
        <v>-1.0783713352680211</v>
      </c>
      <c r="K380" s="737">
        <f t="shared" si="11"/>
        <v>16.735637069638763</v>
      </c>
      <c r="L380" s="735" t="s">
        <v>33</v>
      </c>
      <c r="M380" s="342" t="s">
        <v>16</v>
      </c>
      <c r="N380" s="343" t="s">
        <v>199</v>
      </c>
      <c r="O380" s="100" t="s">
        <v>35</v>
      </c>
      <c r="P380" s="352" t="s">
        <v>58</v>
      </c>
      <c r="Q380" s="348" t="s">
        <v>379</v>
      </c>
      <c r="R380" s="316" t="s">
        <v>379</v>
      </c>
      <c r="S380" s="347"/>
    </row>
    <row r="381" spans="1:19">
      <c r="A381" s="292">
        <v>401</v>
      </c>
      <c r="B381" s="301"/>
      <c r="C381" s="301"/>
      <c r="D381" s="301"/>
      <c r="E381" s="350"/>
      <c r="F381" s="303">
        <v>202.535</v>
      </c>
      <c r="G381" s="324"/>
      <c r="H381" s="304">
        <v>55.964080810546875</v>
      </c>
      <c r="I381" s="305">
        <v>-1.7025999999999999</v>
      </c>
      <c r="J381" s="287">
        <v>-1.0783713352680211</v>
      </c>
      <c r="K381" s="737">
        <f t="shared" si="11"/>
        <v>19.031490532684959</v>
      </c>
      <c r="L381" s="735" t="s">
        <v>33</v>
      </c>
      <c r="M381" s="342" t="s">
        <v>16</v>
      </c>
      <c r="N381" s="343" t="s">
        <v>199</v>
      </c>
      <c r="O381" s="100" t="s">
        <v>35</v>
      </c>
      <c r="P381" s="352" t="s">
        <v>58</v>
      </c>
      <c r="Q381" s="348" t="s">
        <v>379</v>
      </c>
      <c r="R381" s="316" t="s">
        <v>379</v>
      </c>
      <c r="S381" s="347"/>
    </row>
    <row r="382" spans="1:19">
      <c r="A382" s="292">
        <v>401</v>
      </c>
      <c r="B382" s="301"/>
      <c r="C382" s="301"/>
      <c r="D382" s="301"/>
      <c r="E382" s="350"/>
      <c r="F382" s="303">
        <v>202.58</v>
      </c>
      <c r="G382" s="303" t="s">
        <v>19</v>
      </c>
      <c r="H382" s="304">
        <v>55.971424102783203</v>
      </c>
      <c r="I382" s="305">
        <v>-1.5246</v>
      </c>
      <c r="J382" s="287">
        <v>-1.0783713352680211</v>
      </c>
      <c r="K382" s="738">
        <f t="shared" si="11"/>
        <v>18.188421806266945</v>
      </c>
      <c r="L382" s="735" t="s">
        <v>33</v>
      </c>
      <c r="M382" s="342" t="s">
        <v>16</v>
      </c>
      <c r="N382" s="343" t="s">
        <v>199</v>
      </c>
      <c r="O382" s="100" t="s">
        <v>35</v>
      </c>
      <c r="P382" s="352" t="s">
        <v>58</v>
      </c>
      <c r="Q382" s="348" t="s">
        <v>379</v>
      </c>
      <c r="R382" s="316" t="s">
        <v>379</v>
      </c>
      <c r="S382" s="347"/>
    </row>
    <row r="383" spans="1:19">
      <c r="A383" s="292">
        <v>401</v>
      </c>
      <c r="B383" s="301"/>
      <c r="C383" s="301"/>
      <c r="D383" s="301"/>
      <c r="E383" s="350"/>
      <c r="F383" s="303">
        <v>202.62</v>
      </c>
      <c r="G383" s="303" t="s">
        <v>19</v>
      </c>
      <c r="H383" s="304">
        <v>55.977951049804688</v>
      </c>
      <c r="I383" s="305">
        <v>-1.6214999999999999</v>
      </c>
      <c r="J383" s="287">
        <v>-1.0783713352680211</v>
      </c>
      <c r="K383" s="738">
        <f t="shared" si="11"/>
        <v>18.646665991537201</v>
      </c>
      <c r="L383" s="735" t="s">
        <v>33</v>
      </c>
      <c r="M383" s="342" t="s">
        <v>16</v>
      </c>
      <c r="N383" s="343" t="s">
        <v>199</v>
      </c>
      <c r="O383" s="100" t="s">
        <v>35</v>
      </c>
      <c r="P383" s="352" t="s">
        <v>58</v>
      </c>
      <c r="Q383" s="348" t="s">
        <v>379</v>
      </c>
      <c r="R383" s="316" t="s">
        <v>379</v>
      </c>
      <c r="S383" s="347"/>
    </row>
    <row r="384" spans="1:19">
      <c r="A384" s="292">
        <v>401</v>
      </c>
      <c r="B384" s="301"/>
      <c r="C384" s="301"/>
      <c r="D384" s="301"/>
      <c r="E384" s="350"/>
      <c r="F384" s="303">
        <v>202.67</v>
      </c>
      <c r="G384" s="303" t="s">
        <v>19</v>
      </c>
      <c r="H384" s="304">
        <v>55.986110687255859</v>
      </c>
      <c r="I384" s="305">
        <v>-2.1107</v>
      </c>
      <c r="J384" s="287">
        <v>-1.0783713352680211</v>
      </c>
      <c r="K384" s="738">
        <f t="shared" si="11"/>
        <v>20.985918226838841</v>
      </c>
      <c r="L384" s="735" t="s">
        <v>33</v>
      </c>
      <c r="M384" s="342" t="s">
        <v>16</v>
      </c>
      <c r="N384" s="343" t="s">
        <v>199</v>
      </c>
      <c r="O384" s="100" t="s">
        <v>35</v>
      </c>
      <c r="P384" s="352" t="s">
        <v>58</v>
      </c>
      <c r="Q384" s="348" t="s">
        <v>379</v>
      </c>
      <c r="R384" s="316" t="s">
        <v>379</v>
      </c>
      <c r="S384" s="347"/>
    </row>
    <row r="385" spans="1:19">
      <c r="A385" s="292">
        <v>401</v>
      </c>
      <c r="B385" s="301"/>
      <c r="C385" s="301"/>
      <c r="D385" s="301"/>
      <c r="E385" s="350"/>
      <c r="F385" s="303">
        <v>202.72</v>
      </c>
      <c r="G385" s="303" t="s">
        <v>19</v>
      </c>
      <c r="H385" s="304">
        <v>55.994270324707031</v>
      </c>
      <c r="I385" s="305">
        <v>-1.8885000000000001</v>
      </c>
      <c r="J385" s="287">
        <v>-1.0783713352680211</v>
      </c>
      <c r="K385" s="738">
        <f t="shared" si="11"/>
        <v>19.918064765164221</v>
      </c>
      <c r="L385" s="735" t="s">
        <v>33</v>
      </c>
      <c r="M385" s="342" t="s">
        <v>16</v>
      </c>
      <c r="N385" s="343" t="s">
        <v>199</v>
      </c>
      <c r="O385" s="100" t="s">
        <v>35</v>
      </c>
      <c r="P385" s="352" t="s">
        <v>58</v>
      </c>
      <c r="Q385" s="348" t="s">
        <v>379</v>
      </c>
      <c r="R385" s="316" t="s">
        <v>379</v>
      </c>
      <c r="S385" s="347"/>
    </row>
    <row r="386" spans="1:19">
      <c r="A386" s="292">
        <v>401</v>
      </c>
      <c r="B386" s="301"/>
      <c r="C386" s="301"/>
      <c r="D386" s="301"/>
      <c r="E386" s="350"/>
      <c r="F386" s="303">
        <v>202.83</v>
      </c>
      <c r="G386" s="303" t="s">
        <v>19</v>
      </c>
      <c r="H386" s="304">
        <v>56.012218475341797</v>
      </c>
      <c r="I386" s="305">
        <v>-1.7175</v>
      </c>
      <c r="J386" s="287">
        <v>-1.0783713352680211</v>
      </c>
      <c r="K386" s="738">
        <f t="shared" ref="K386:K396" si="12">16.1-4.64*($I386-J386)+0.09*($I386-J386)^2</f>
        <v>19.102320694863771</v>
      </c>
      <c r="L386" s="735" t="s">
        <v>33</v>
      </c>
      <c r="M386" s="342" t="s">
        <v>16</v>
      </c>
      <c r="N386" s="343" t="s">
        <v>199</v>
      </c>
      <c r="O386" s="100" t="s">
        <v>35</v>
      </c>
      <c r="P386" s="352" t="s">
        <v>58</v>
      </c>
      <c r="Q386" s="348" t="s">
        <v>379</v>
      </c>
      <c r="R386" s="316" t="s">
        <v>379</v>
      </c>
      <c r="S386" s="347"/>
    </row>
    <row r="387" spans="1:19">
      <c r="A387" s="292">
        <v>401</v>
      </c>
      <c r="B387" s="301"/>
      <c r="C387" s="301"/>
      <c r="D387" s="301"/>
      <c r="E387" s="350"/>
      <c r="F387" s="303">
        <v>202.88</v>
      </c>
      <c r="G387" s="303" t="s">
        <v>19</v>
      </c>
      <c r="H387" s="304">
        <v>56.020378112792969</v>
      </c>
      <c r="I387" s="305">
        <v>-1.8196000000000001</v>
      </c>
      <c r="J387" s="287">
        <v>-1.0783713352680211</v>
      </c>
      <c r="K387" s="738">
        <f t="shared" si="12"/>
        <v>19.588748798364215</v>
      </c>
      <c r="L387" s="735" t="s">
        <v>33</v>
      </c>
      <c r="M387" s="342" t="s">
        <v>16</v>
      </c>
      <c r="N387" s="343" t="s">
        <v>199</v>
      </c>
      <c r="O387" s="100" t="s">
        <v>35</v>
      </c>
      <c r="P387" s="352" t="s">
        <v>58</v>
      </c>
      <c r="Q387" s="348" t="s">
        <v>379</v>
      </c>
      <c r="R387" s="316" t="s">
        <v>379</v>
      </c>
      <c r="S387" s="347"/>
    </row>
    <row r="388" spans="1:19">
      <c r="A388" s="292">
        <v>401</v>
      </c>
      <c r="B388" s="301"/>
      <c r="C388" s="301"/>
      <c r="D388" s="301"/>
      <c r="E388" s="350"/>
      <c r="F388" s="303">
        <v>202.93</v>
      </c>
      <c r="G388" s="303" t="s">
        <v>19</v>
      </c>
      <c r="H388" s="304">
        <v>56.028537750244141</v>
      </c>
      <c r="I388" s="305">
        <v>-1.7456</v>
      </c>
      <c r="J388" s="287">
        <v>-1.0783713352680211</v>
      </c>
      <c r="K388" s="738">
        <f t="shared" si="12"/>
        <v>19.236008472549987</v>
      </c>
      <c r="L388" s="735" t="s">
        <v>33</v>
      </c>
      <c r="M388" s="342" t="s">
        <v>16</v>
      </c>
      <c r="N388" s="343" t="s">
        <v>199</v>
      </c>
      <c r="O388" s="100" t="s">
        <v>35</v>
      </c>
      <c r="P388" s="352" t="s">
        <v>58</v>
      </c>
      <c r="Q388" s="348" t="s">
        <v>379</v>
      </c>
      <c r="R388" s="316" t="s">
        <v>379</v>
      </c>
      <c r="S388" s="347"/>
    </row>
    <row r="389" spans="1:19">
      <c r="A389" s="292">
        <v>401</v>
      </c>
      <c r="B389" s="301"/>
      <c r="C389" s="301"/>
      <c r="D389" s="301"/>
      <c r="E389" s="350"/>
      <c r="F389" s="303">
        <v>202.98</v>
      </c>
      <c r="G389" s="303" t="s">
        <v>19</v>
      </c>
      <c r="H389" s="304">
        <v>56.036697387695313</v>
      </c>
      <c r="I389" s="305">
        <v>-1.9977</v>
      </c>
      <c r="J389" s="287">
        <v>-1.0783713352680211</v>
      </c>
      <c r="K389" s="738">
        <f t="shared" si="12"/>
        <v>20.441749871798191</v>
      </c>
      <c r="L389" s="735" t="s">
        <v>33</v>
      </c>
      <c r="M389" s="342" t="s">
        <v>16</v>
      </c>
      <c r="N389" s="343" t="s">
        <v>199</v>
      </c>
      <c r="O389" s="100" t="s">
        <v>35</v>
      </c>
      <c r="P389" s="352" t="s">
        <v>58</v>
      </c>
      <c r="Q389" s="348" t="s">
        <v>379</v>
      </c>
      <c r="R389" s="316" t="s">
        <v>379</v>
      </c>
      <c r="S389" s="347"/>
    </row>
    <row r="390" spans="1:19">
      <c r="A390" s="292">
        <v>401</v>
      </c>
      <c r="B390" s="301"/>
      <c r="C390" s="301"/>
      <c r="D390" s="301"/>
      <c r="E390" s="350"/>
      <c r="F390" s="303">
        <v>203.28</v>
      </c>
      <c r="G390" s="303" t="s">
        <v>19</v>
      </c>
      <c r="H390" s="304">
        <v>56.085651397705078</v>
      </c>
      <c r="I390" s="305">
        <v>-1.615</v>
      </c>
      <c r="J390" s="287">
        <v>-1.0783713352680211</v>
      </c>
      <c r="K390" s="738">
        <f t="shared" si="12"/>
        <v>18.615874333499466</v>
      </c>
      <c r="L390" s="735" t="s">
        <v>33</v>
      </c>
      <c r="M390" s="342" t="s">
        <v>16</v>
      </c>
      <c r="N390" s="343" t="s">
        <v>199</v>
      </c>
      <c r="O390" s="100" t="s">
        <v>35</v>
      </c>
      <c r="P390" s="352" t="s">
        <v>58</v>
      </c>
      <c r="Q390" s="348" t="s">
        <v>379</v>
      </c>
      <c r="R390" s="316" t="s">
        <v>379</v>
      </c>
      <c r="S390" s="347"/>
    </row>
    <row r="391" spans="1:19">
      <c r="A391" s="292">
        <v>401</v>
      </c>
      <c r="B391" s="301"/>
      <c r="C391" s="301"/>
      <c r="D391" s="301"/>
      <c r="E391" s="350"/>
      <c r="F391" s="303">
        <v>203.32</v>
      </c>
      <c r="G391" s="303" t="s">
        <v>19</v>
      </c>
      <c r="H391" s="304">
        <v>56.092182159423828</v>
      </c>
      <c r="I391" s="305">
        <v>-1.3109999999999999</v>
      </c>
      <c r="J391" s="287">
        <v>-1.0783713352680211</v>
      </c>
      <c r="K391" s="738">
        <f t="shared" si="12"/>
        <v>17.184267452965329</v>
      </c>
      <c r="L391" s="735" t="s">
        <v>33</v>
      </c>
      <c r="M391" s="342" t="s">
        <v>16</v>
      </c>
      <c r="N391" s="343" t="s">
        <v>199</v>
      </c>
      <c r="O391" s="100" t="s">
        <v>35</v>
      </c>
      <c r="P391" s="352" t="s">
        <v>58</v>
      </c>
      <c r="Q391" s="348" t="s">
        <v>379</v>
      </c>
      <c r="R391" s="316" t="s">
        <v>379</v>
      </c>
      <c r="S391" s="347"/>
    </row>
    <row r="392" spans="1:19">
      <c r="A392" s="292">
        <v>401</v>
      </c>
      <c r="B392" s="301"/>
      <c r="C392" s="301"/>
      <c r="D392" s="301"/>
      <c r="E392" s="350"/>
      <c r="F392" s="303">
        <v>203.35</v>
      </c>
      <c r="G392" s="303" t="s">
        <v>19</v>
      </c>
      <c r="H392" s="304">
        <v>56.097076416015625</v>
      </c>
      <c r="I392" s="305">
        <v>-1.232</v>
      </c>
      <c r="J392" s="287">
        <v>-1.0783713352680211</v>
      </c>
      <c r="K392" s="738">
        <f t="shared" si="12"/>
        <v>16.814961163352841</v>
      </c>
      <c r="L392" s="735" t="s">
        <v>33</v>
      </c>
      <c r="M392" s="342" t="s">
        <v>16</v>
      </c>
      <c r="N392" s="343" t="s">
        <v>199</v>
      </c>
      <c r="O392" s="100" t="s">
        <v>35</v>
      </c>
      <c r="P392" s="352" t="s">
        <v>58</v>
      </c>
      <c r="Q392" s="348" t="s">
        <v>379</v>
      </c>
      <c r="R392" s="316" t="s">
        <v>379</v>
      </c>
      <c r="S392" s="347"/>
    </row>
    <row r="393" spans="1:19">
      <c r="A393" s="292">
        <v>401</v>
      </c>
      <c r="B393" s="301"/>
      <c r="C393" s="301"/>
      <c r="D393" s="301"/>
      <c r="E393" s="350"/>
      <c r="F393" s="303">
        <v>203.55</v>
      </c>
      <c r="G393" s="253" t="s">
        <v>196</v>
      </c>
      <c r="H393" s="304">
        <v>56.129714965820313</v>
      </c>
      <c r="I393" s="305">
        <v>-1.022</v>
      </c>
      <c r="J393" s="287">
        <v>-1.0783713352680211</v>
      </c>
      <c r="K393" s="738">
        <f t="shared" si="12"/>
        <v>15.838722999825976</v>
      </c>
      <c r="L393" s="735" t="s">
        <v>33</v>
      </c>
      <c r="M393" s="342" t="s">
        <v>16</v>
      </c>
      <c r="N393" s="343" t="s">
        <v>199</v>
      </c>
      <c r="O393" s="100" t="s">
        <v>35</v>
      </c>
      <c r="P393" s="352" t="s">
        <v>58</v>
      </c>
      <c r="Q393" s="348" t="s">
        <v>379</v>
      </c>
      <c r="R393" s="316" t="s">
        <v>379</v>
      </c>
      <c r="S393" s="347" t="s">
        <v>779</v>
      </c>
    </row>
    <row r="394" spans="1:19">
      <c r="A394" s="292">
        <v>401</v>
      </c>
      <c r="B394" s="301"/>
      <c r="C394" s="301"/>
      <c r="D394" s="301"/>
      <c r="E394" s="350"/>
      <c r="F394" s="303">
        <v>203.7</v>
      </c>
      <c r="G394" s="253" t="s">
        <v>196</v>
      </c>
      <c r="H394" s="304">
        <v>56.154190063476563</v>
      </c>
      <c r="I394" s="305">
        <v>-0.89400000000000002</v>
      </c>
      <c r="J394" s="287">
        <v>-1.0783713352680211</v>
      </c>
      <c r="K394" s="738">
        <f t="shared" si="12"/>
        <v>15.247576355390549</v>
      </c>
      <c r="L394" s="735" t="s">
        <v>33</v>
      </c>
      <c r="M394" s="342" t="s">
        <v>16</v>
      </c>
      <c r="N394" s="343" t="s">
        <v>199</v>
      </c>
      <c r="O394" s="100" t="s">
        <v>35</v>
      </c>
      <c r="P394" s="352" t="s">
        <v>58</v>
      </c>
      <c r="Q394" s="348" t="s">
        <v>379</v>
      </c>
      <c r="R394" s="316" t="s">
        <v>379</v>
      </c>
      <c r="S394" s="347" t="s">
        <v>779</v>
      </c>
    </row>
    <row r="395" spans="1:19">
      <c r="A395" s="292">
        <v>401</v>
      </c>
      <c r="B395" s="301"/>
      <c r="C395" s="301"/>
      <c r="D395" s="301"/>
      <c r="E395" s="350"/>
      <c r="F395" s="303">
        <v>203.9</v>
      </c>
      <c r="G395" s="253" t="s">
        <v>196</v>
      </c>
      <c r="H395" s="304">
        <v>56.18682861328125</v>
      </c>
      <c r="I395" s="305">
        <v>-0.94600000000000006</v>
      </c>
      <c r="J395" s="287">
        <v>-1.0783713352680211</v>
      </c>
      <c r="K395" s="738">
        <f t="shared" si="12"/>
        <v>15.487373999692441</v>
      </c>
      <c r="L395" s="735" t="s">
        <v>33</v>
      </c>
      <c r="M395" s="342" t="s">
        <v>16</v>
      </c>
      <c r="N395" s="343" t="s">
        <v>199</v>
      </c>
      <c r="O395" s="100" t="s">
        <v>35</v>
      </c>
      <c r="P395" s="352" t="s">
        <v>58</v>
      </c>
      <c r="Q395" s="348" t="s">
        <v>379</v>
      </c>
      <c r="R395" s="316" t="s">
        <v>379</v>
      </c>
      <c r="S395" s="347" t="s">
        <v>779</v>
      </c>
    </row>
    <row r="396" spans="1:19">
      <c r="A396" s="888">
        <v>401</v>
      </c>
      <c r="B396" s="889"/>
      <c r="C396" s="889"/>
      <c r="D396" s="889"/>
      <c r="E396" s="875"/>
      <c r="F396" s="876">
        <v>204.2</v>
      </c>
      <c r="G396" s="877" t="s">
        <v>196</v>
      </c>
      <c r="H396" s="878">
        <v>56.235782623291016</v>
      </c>
      <c r="I396" s="879">
        <v>-1.083</v>
      </c>
      <c r="J396" s="880">
        <v>-1.0783713352680211</v>
      </c>
      <c r="K396" s="881">
        <f t="shared" si="12"/>
        <v>16.121478932564731</v>
      </c>
      <c r="L396" s="882" t="s">
        <v>33</v>
      </c>
      <c r="M396" s="883" t="s">
        <v>16</v>
      </c>
      <c r="N396" s="884" t="s">
        <v>199</v>
      </c>
      <c r="O396" s="885" t="s">
        <v>35</v>
      </c>
      <c r="P396" s="886" t="s">
        <v>58</v>
      </c>
      <c r="Q396" s="887" t="s">
        <v>379</v>
      </c>
      <c r="R396" s="316" t="s">
        <v>379</v>
      </c>
      <c r="S396" s="347" t="s">
        <v>779</v>
      </c>
    </row>
    <row r="397" spans="1:19">
      <c r="A397" s="292">
        <v>401</v>
      </c>
      <c r="B397" s="301"/>
      <c r="C397" s="301"/>
      <c r="D397" s="301"/>
      <c r="E397" s="350"/>
      <c r="F397" s="250">
        <v>176.595</v>
      </c>
      <c r="G397" s="253" t="s">
        <v>21</v>
      </c>
      <c r="H397" s="304">
        <v>50.189414978027344</v>
      </c>
      <c r="I397" s="312">
        <v>-1.5329999999999999</v>
      </c>
      <c r="J397" s="287">
        <v>-1.0783713352680211</v>
      </c>
      <c r="K397" s="909">
        <f t="shared" ref="K397:K402" si="13">16.1-4.64*($I397-J397)+0.09*($I397-J397)^2</f>
        <v>18.228078854408022</v>
      </c>
      <c r="L397" s="735" t="s">
        <v>671</v>
      </c>
      <c r="M397" s="342" t="s">
        <v>74</v>
      </c>
      <c r="N397" s="343" t="s">
        <v>194</v>
      </c>
      <c r="O397" s="100" t="s">
        <v>35</v>
      </c>
      <c r="P397" s="356" t="s">
        <v>91</v>
      </c>
      <c r="Q397" s="348" t="s">
        <v>377</v>
      </c>
      <c r="R397" s="316" t="s">
        <v>377</v>
      </c>
      <c r="S397" s="347" t="s">
        <v>779</v>
      </c>
    </row>
    <row r="398" spans="1:19">
      <c r="A398" s="292">
        <v>401</v>
      </c>
      <c r="B398" s="301"/>
      <c r="C398" s="301"/>
      <c r="D398" s="301"/>
      <c r="E398" s="350"/>
      <c r="F398" s="250">
        <v>186.8</v>
      </c>
      <c r="G398" s="253" t="s">
        <v>21</v>
      </c>
      <c r="H398" s="304">
        <v>53.084407806396484</v>
      </c>
      <c r="I398" s="312">
        <v>-1.0069999999999999</v>
      </c>
      <c r="J398" s="287">
        <v>-1.0783713352680211</v>
      </c>
      <c r="K398" s="909">
        <f t="shared" si="13"/>
        <v>15.769295452431198</v>
      </c>
      <c r="L398" s="735" t="s">
        <v>671</v>
      </c>
      <c r="M398" s="342" t="s">
        <v>74</v>
      </c>
      <c r="N398" s="343" t="s">
        <v>194</v>
      </c>
      <c r="O398" s="100" t="s">
        <v>35</v>
      </c>
      <c r="P398" s="356" t="s">
        <v>91</v>
      </c>
      <c r="Q398" s="348" t="s">
        <v>377</v>
      </c>
      <c r="R398" s="316" t="s">
        <v>377</v>
      </c>
      <c r="S398" s="347"/>
    </row>
    <row r="399" spans="1:19">
      <c r="A399" s="292">
        <v>401</v>
      </c>
      <c r="B399" s="301"/>
      <c r="C399" s="301"/>
      <c r="D399" s="301"/>
      <c r="E399" s="350"/>
      <c r="F399" s="250">
        <v>189.75</v>
      </c>
      <c r="G399" s="253"/>
      <c r="H399" s="304">
        <v>54.018058776855469</v>
      </c>
      <c r="I399" s="312">
        <v>-1.131</v>
      </c>
      <c r="J399" s="287">
        <v>-1.0783713352680211</v>
      </c>
      <c r="K399" s="737">
        <f t="shared" si="13"/>
        <v>16.344446284228017</v>
      </c>
      <c r="L399" s="735" t="s">
        <v>671</v>
      </c>
      <c r="M399" s="342" t="s">
        <v>74</v>
      </c>
      <c r="N399" s="343" t="s">
        <v>194</v>
      </c>
      <c r="O399" s="100" t="s">
        <v>35</v>
      </c>
      <c r="P399" s="356" t="s">
        <v>91</v>
      </c>
      <c r="Q399" s="348" t="s">
        <v>377</v>
      </c>
      <c r="R399" s="316" t="s">
        <v>377</v>
      </c>
      <c r="S399" s="347"/>
    </row>
    <row r="400" spans="1:19">
      <c r="A400" s="292">
        <v>401</v>
      </c>
      <c r="B400" s="301"/>
      <c r="C400" s="301"/>
      <c r="D400" s="301"/>
      <c r="E400" s="350"/>
      <c r="F400" s="250">
        <v>209.55</v>
      </c>
      <c r="G400" s="253" t="s">
        <v>196</v>
      </c>
      <c r="H400" s="304">
        <v>57.10882568359375</v>
      </c>
      <c r="I400" s="312">
        <v>-0.83699999999999997</v>
      </c>
      <c r="J400" s="287">
        <v>-1.0783713352680211</v>
      </c>
      <c r="K400" s="910">
        <f t="shared" si="13"/>
        <v>14.985280415290399</v>
      </c>
      <c r="L400" s="735" t="s">
        <v>671</v>
      </c>
      <c r="M400" s="342" t="s">
        <v>74</v>
      </c>
      <c r="N400" s="343" t="s">
        <v>194</v>
      </c>
      <c r="O400" s="100" t="s">
        <v>35</v>
      </c>
      <c r="P400" s="356" t="s">
        <v>91</v>
      </c>
      <c r="Q400" s="348" t="s">
        <v>377</v>
      </c>
      <c r="R400" s="316" t="s">
        <v>377</v>
      </c>
      <c r="S400" s="347" t="s">
        <v>779</v>
      </c>
    </row>
    <row r="401" spans="1:19">
      <c r="A401" s="292">
        <v>401</v>
      </c>
      <c r="B401" s="301"/>
      <c r="C401" s="301"/>
      <c r="D401" s="301"/>
      <c r="E401" s="350"/>
      <c r="F401" s="250">
        <v>209.87</v>
      </c>
      <c r="G401" s="253" t="s">
        <v>196</v>
      </c>
      <c r="H401" s="304">
        <v>57.161045074462891</v>
      </c>
      <c r="I401" s="312">
        <v>-1.071</v>
      </c>
      <c r="J401" s="287">
        <v>-1.0783713352680211</v>
      </c>
      <c r="K401" s="910">
        <f t="shared" si="13"/>
        <v>16.06580189464891</v>
      </c>
      <c r="L401" s="735" t="s">
        <v>671</v>
      </c>
      <c r="M401" s="342" t="s">
        <v>74</v>
      </c>
      <c r="N401" s="343" t="s">
        <v>194</v>
      </c>
      <c r="O401" s="100" t="s">
        <v>35</v>
      </c>
      <c r="P401" s="356" t="s">
        <v>91</v>
      </c>
      <c r="Q401" s="348" t="s">
        <v>377</v>
      </c>
      <c r="R401" s="316" t="s">
        <v>377</v>
      </c>
      <c r="S401" s="347" t="s">
        <v>779</v>
      </c>
    </row>
    <row r="402" spans="1:19">
      <c r="A402" s="888">
        <v>401</v>
      </c>
      <c r="B402" s="889"/>
      <c r="C402" s="889"/>
      <c r="D402" s="889"/>
      <c r="E402" s="875"/>
      <c r="F402" s="890">
        <v>210.17</v>
      </c>
      <c r="G402" s="877" t="s">
        <v>196</v>
      </c>
      <c r="H402" s="878">
        <v>57.209999084472656</v>
      </c>
      <c r="I402" s="891">
        <v>-0.84899999999999998</v>
      </c>
      <c r="J402" s="880">
        <v>-1.0783713352680211</v>
      </c>
      <c r="K402" s="911">
        <f t="shared" si="13"/>
        <v>15.04045201320622</v>
      </c>
      <c r="L402" s="882" t="s">
        <v>671</v>
      </c>
      <c r="M402" s="883" t="s">
        <v>74</v>
      </c>
      <c r="N402" s="884" t="s">
        <v>194</v>
      </c>
      <c r="O402" s="885" t="s">
        <v>35</v>
      </c>
      <c r="P402" s="892" t="s">
        <v>91</v>
      </c>
      <c r="Q402" s="887" t="s">
        <v>377</v>
      </c>
      <c r="R402" s="316" t="s">
        <v>377</v>
      </c>
      <c r="S402" s="347" t="s">
        <v>779</v>
      </c>
    </row>
    <row r="403" spans="1:19">
      <c r="A403" s="292">
        <v>401</v>
      </c>
      <c r="B403" s="301"/>
      <c r="C403" s="301"/>
      <c r="D403" s="301"/>
      <c r="E403" s="350"/>
      <c r="F403" s="250">
        <v>189.05</v>
      </c>
      <c r="G403" s="253" t="s">
        <v>269</v>
      </c>
      <c r="H403" s="304">
        <v>53.732624053955078</v>
      </c>
      <c r="I403" s="312">
        <v>-1.2649999999999999</v>
      </c>
      <c r="J403" s="287">
        <v>-1.0783713352680211</v>
      </c>
      <c r="K403" s="909">
        <f t="shared" ref="K403" si="14">16.1-4.64*($I403-J403)+0.09*($I403-J403)^2</f>
        <v>16.96909172762135</v>
      </c>
      <c r="L403" s="735" t="s">
        <v>204</v>
      </c>
      <c r="M403" s="342" t="s">
        <v>74</v>
      </c>
      <c r="N403" s="343" t="s">
        <v>194</v>
      </c>
      <c r="O403" s="100" t="s">
        <v>35</v>
      </c>
      <c r="P403" s="356" t="s">
        <v>91</v>
      </c>
      <c r="Q403" s="348" t="s">
        <v>377</v>
      </c>
      <c r="R403" s="316" t="s">
        <v>377</v>
      </c>
      <c r="S403" s="347" t="s">
        <v>782</v>
      </c>
    </row>
    <row r="404" spans="1:19" ht="13.5" thickBot="1">
      <c r="A404" s="358"/>
      <c r="B404" s="359"/>
      <c r="C404" s="359"/>
      <c r="D404" s="359"/>
      <c r="E404" s="359"/>
      <c r="F404" s="360"/>
      <c r="G404" s="360"/>
      <c r="H404" s="361"/>
      <c r="I404" s="362"/>
      <c r="J404" s="359"/>
      <c r="K404" s="808"/>
      <c r="L404" s="360"/>
      <c r="M404" s="360"/>
      <c r="N404" s="363"/>
      <c r="O404" s="364"/>
      <c r="P404" s="365"/>
      <c r="Q404" s="366"/>
      <c r="R404" s="367"/>
      <c r="S404" s="367"/>
    </row>
    <row r="405" spans="1:19">
      <c r="M405" s="368"/>
    </row>
    <row r="406" spans="1:19" ht="13.5" thickBot="1"/>
    <row r="407" spans="1:19" ht="13.5" thickBot="1">
      <c r="E407" s="912" t="s">
        <v>783</v>
      </c>
      <c r="G407" s="733"/>
      <c r="H407" s="730" t="s">
        <v>607</v>
      </c>
      <c r="I407" s="730" t="s">
        <v>605</v>
      </c>
      <c r="J407" s="731">
        <v>0.05</v>
      </c>
      <c r="K407" s="730" t="s">
        <v>602</v>
      </c>
      <c r="L407" s="731">
        <v>0.95</v>
      </c>
      <c r="M407" s="732" t="s">
        <v>606</v>
      </c>
    </row>
    <row r="408" spans="1:19">
      <c r="E408" s="912"/>
      <c r="G408" s="243" t="s">
        <v>21</v>
      </c>
      <c r="H408" s="196">
        <f>COUNT($K134:$K136,$K315:$K316,$K317,$K322:$K323,$K397:$K398,$K403)</f>
        <v>11</v>
      </c>
      <c r="I408" s="53">
        <f>MIN($K134:$K136,$K315:$K316,$K317,$K322:$K323,$K397:$K398,$K403)</f>
        <v>15.607455341843387</v>
      </c>
      <c r="J408" s="53">
        <f>_xlfn.PERCENTILE.INC(($K134:$K136,$K315:$K316,$K317,$K322:$K323,$K397:$K398,$K403),0.05)</f>
        <v>15.688375397137293</v>
      </c>
      <c r="K408" s="53">
        <f>AVERAGE($K134:$K136,$K315:$K316,$K317,$K322:$K323,$K397:$K398,$K403)</f>
        <v>16.967527545992642</v>
      </c>
      <c r="L408" s="53">
        <f>_xlfn.PERCENTILE.INC(($K134:$K136,$K315:$K316,$K317,$K322:$K323,$K397:$K398,$K403),0.95)</f>
        <v>18.514408605566956</v>
      </c>
      <c r="M408" s="59">
        <f>MAX($K134:$K136,$K315:$K316,$K317,$K322:$K323,$K397:$K398,$K403)</f>
        <v>18.800738356725887</v>
      </c>
    </row>
    <row r="409" spans="1:19">
      <c r="E409" s="912"/>
      <c r="G409" s="322" t="s">
        <v>20</v>
      </c>
      <c r="H409" s="196">
        <f>COUNT($K197:$K210,$K267:$K275,$K299:$K301,$K368:$K379)</f>
        <v>38</v>
      </c>
      <c r="I409" s="53">
        <f>MIN($K197:$K210,$K267:$K275,$K299:$K301,$K368:$K379)</f>
        <v>18.192198120794668</v>
      </c>
      <c r="J409" s="53">
        <f>_xlfn.PERCENTILE.INC(($K197:$K210,$K267:$K275,$K299:$K301,$K368:$K379),0.05)</f>
        <v>18.261726556295539</v>
      </c>
      <c r="K409" s="53">
        <f>AVERAGE($K197:$K210,$K267:$K275,$K299:$K301,$K368:$K379)</f>
        <v>21.604128438218162</v>
      </c>
      <c r="L409" s="53">
        <f>_xlfn.PERCENTILE.INC(($K197:$K210,$K267:$K275,$K299:$K301,$K368:$K379),0.95)</f>
        <v>23.932569862536571</v>
      </c>
      <c r="M409" s="59">
        <f>MAX($K197:$K210,$K267:$K275,$K299:$K301,$K368:$K379)</f>
        <v>24.058447888107693</v>
      </c>
    </row>
    <row r="410" spans="1:19" ht="13.5" thickBot="1">
      <c r="E410" s="912"/>
      <c r="G410" s="325" t="s">
        <v>601</v>
      </c>
      <c r="H410" s="202">
        <f>COUNT($K138:$K153,$K229:$K247,$K286:$K288,$K307:$K314,$K319:$K320,$K382:$K396,$K400:$K402)</f>
        <v>66</v>
      </c>
      <c r="I410" s="203">
        <f>MIN($K138:$K153,$K229:$K247,$K286:$K288,$K307:$K314,$K319:$K320,$K382:$K396,$K400:$K402)</f>
        <v>14.07869124967935</v>
      </c>
      <c r="J410" s="203">
        <f>_xlfn.PERCENTILE.INC(($K138:$K153,$K229:$K247,$K286:$K288,$K307:$K314,$K319:$K320,$K382:$K396,$K400:$K402),0.05)</f>
        <v>14.769441226786768</v>
      </c>
      <c r="K410" s="203">
        <f>AVERAGE($K138:$K153,$K229:$K247,$K286:$K288,$K307:$K314,$K319:$K320,$K382:$K396,$K400:$K402)</f>
        <v>16.692953500540025</v>
      </c>
      <c r="L410" s="203">
        <f>_xlfn.PERCENTILE.INC(($K138:$K153,$K229:$K247,$K286:$K288,$K307:$K314,$K319:$K320,$K382:$K396,$K400:$K402),0.95)</f>
        <v>20.849876138078677</v>
      </c>
      <c r="M410" s="669">
        <f>MAX($K138:$K153,$K229:$K247,$K286:$K288,$K307:$K314,$K319:$K320,$K382:$K396,$K400:$K4135)</f>
        <v>23.221403050966892</v>
      </c>
    </row>
    <row r="411" spans="1:19" ht="13.5" thickBot="1">
      <c r="E411" s="912"/>
    </row>
    <row r="412" spans="1:19" ht="13.5" thickBot="1">
      <c r="E412" s="912"/>
      <c r="G412" s="733"/>
      <c r="H412" s="730" t="s">
        <v>607</v>
      </c>
      <c r="I412" s="730" t="s">
        <v>605</v>
      </c>
      <c r="J412" s="731">
        <v>0.05</v>
      </c>
      <c r="K412" s="730" t="s">
        <v>602</v>
      </c>
      <c r="L412" s="731">
        <v>0.95</v>
      </c>
      <c r="M412" s="732" t="s">
        <v>606</v>
      </c>
    </row>
    <row r="413" spans="1:19">
      <c r="E413" s="912" t="s">
        <v>784</v>
      </c>
      <c r="G413" s="243" t="s">
        <v>21</v>
      </c>
      <c r="H413" s="196"/>
      <c r="I413" s="53"/>
      <c r="J413" s="53"/>
      <c r="K413" s="53"/>
      <c r="L413" s="53"/>
      <c r="M413" s="59"/>
    </row>
    <row r="414" spans="1:19">
      <c r="G414" s="322" t="s">
        <v>20</v>
      </c>
      <c r="H414" s="196">
        <f>COUNT(K197:K210,K267:K275,K299:K301,K368:K379)</f>
        <v>38</v>
      </c>
      <c r="I414" s="53">
        <f>MIN(K197:K210,K267:K275,K299:K301,K368:K379)</f>
        <v>18.192198120794668</v>
      </c>
      <c r="J414" s="53">
        <f>_xlfn.PERCENTILE.INC((K197:K210,K267:K275,K299:K301,K368:K379),0.05)</f>
        <v>18.261726556295539</v>
      </c>
      <c r="K414" s="53">
        <f>AVERAGE(K197:K210,K267:K275,K299:K301,K368:K379)</f>
        <v>21.604128438218162</v>
      </c>
      <c r="L414" s="53">
        <f>_xlfn.PERCENTILE.INC((K197:K210,K267:K275,K299:K301,K368:K379),0.95)</f>
        <v>23.932569862536571</v>
      </c>
      <c r="M414" s="59">
        <f>MAX(K197:K210,K267:K275,K299:K301,K368:K379)</f>
        <v>24.058447888107693</v>
      </c>
    </row>
    <row r="415" spans="1:19" ht="13.5" thickBot="1">
      <c r="G415" s="325" t="s">
        <v>601</v>
      </c>
      <c r="H415" s="202">
        <f>COUNT(K229:K231,K286:K288,K307:K314,K382:K396)</f>
        <v>29</v>
      </c>
      <c r="I415" s="203">
        <f>MIN(K229:K231,K286:K288,K307:K314,K382:K396)</f>
        <v>14.769441226786768</v>
      </c>
      <c r="J415" s="203">
        <f>_xlfn.PERCENTILE.INC((K229:K231,K286:K288,K307:K314,K382:K396),0.05)</f>
        <v>14.953162953172837</v>
      </c>
      <c r="K415" s="203">
        <f>AVERAGE(K229:K231,K286:K288,K307:K314,K382:K396)</f>
        <v>17.093468178113472</v>
      </c>
      <c r="L415" s="203">
        <f>_xlfn.PERCENTILE.INC((K229:K231,K286:K288,K307:K314,K382:K396),0.95)</f>
        <v>20.232275829144601</v>
      </c>
      <c r="M415" s="669">
        <f>MAX(K229:K231,K286:K288,K307:K314,K382:K396)</f>
        <v>20.985918226838841</v>
      </c>
    </row>
  </sheetData>
  <mergeCells count="1">
    <mergeCell ref="C8:J8"/>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13"/>
  <sheetViews>
    <sheetView zoomScale="80" zoomScaleNormal="80" zoomScalePageLayoutView="80" workbookViewId="0">
      <selection activeCell="B3" sqref="B3"/>
    </sheetView>
  </sheetViews>
  <sheetFormatPr defaultColWidth="10.625" defaultRowHeight="12.75"/>
  <cols>
    <col min="1" max="1" width="15.625" style="69" customWidth="1"/>
    <col min="2" max="2" width="30.625" style="156" customWidth="1"/>
    <col min="3" max="3" width="15.875" style="156" bestFit="1" customWidth="1"/>
    <col min="4" max="6" width="10.625" style="156"/>
    <col min="7" max="7" width="13.5" style="156" bestFit="1" customWidth="1"/>
    <col min="8" max="10" width="10.625" style="156"/>
    <col min="11" max="11" width="15.625" style="156" customWidth="1"/>
    <col min="12" max="12" width="24.875" style="156" bestFit="1" customWidth="1"/>
    <col min="13" max="13" width="13" style="156" bestFit="1" customWidth="1"/>
    <col min="14" max="15" width="10.625" style="156" bestFit="1" customWidth="1"/>
    <col min="16" max="16" width="10.625" style="156"/>
    <col min="17" max="17" width="17.625" style="156" customWidth="1"/>
    <col min="18" max="18" width="15.125" style="69" bestFit="1" customWidth="1"/>
    <col min="19" max="19" width="61" style="69" bestFit="1" customWidth="1"/>
    <col min="20" max="16384" width="10.625" style="69"/>
  </cols>
  <sheetData>
    <row r="1" spans="1:21" s="11" customFormat="1" ht="15.75">
      <c r="A1" s="234" t="s">
        <v>62</v>
      </c>
      <c r="B1" s="205" t="s">
        <v>75</v>
      </c>
      <c r="C1" s="207"/>
      <c r="D1" s="20"/>
      <c r="E1" s="20"/>
      <c r="F1" s="20"/>
      <c r="G1" s="20"/>
      <c r="H1" s="20"/>
      <c r="I1" s="20"/>
      <c r="J1" s="20"/>
      <c r="K1" s="20"/>
      <c r="L1" s="20"/>
      <c r="M1" s="20"/>
      <c r="N1" s="20"/>
      <c r="O1" s="20"/>
      <c r="P1" s="20"/>
      <c r="Q1" s="20"/>
      <c r="R1" s="19"/>
      <c r="S1" s="19"/>
      <c r="T1" s="19"/>
      <c r="U1" s="19"/>
    </row>
    <row r="2" spans="1:21">
      <c r="A2" s="208" t="s">
        <v>636</v>
      </c>
      <c r="B2" s="146" t="s">
        <v>650</v>
      </c>
      <c r="C2" s="143"/>
      <c r="D2" s="144"/>
      <c r="E2" s="144"/>
      <c r="F2" s="144"/>
      <c r="G2" s="144"/>
      <c r="H2" s="144"/>
      <c r="I2" s="144"/>
      <c r="J2" s="144"/>
      <c r="K2" s="144"/>
      <c r="L2" s="144"/>
      <c r="M2" s="144"/>
      <c r="N2" s="144"/>
      <c r="O2" s="144"/>
      <c r="P2" s="144"/>
      <c r="Q2" s="144"/>
      <c r="R2" s="145"/>
      <c r="S2" s="145"/>
      <c r="T2" s="145"/>
      <c r="U2" s="145"/>
    </row>
    <row r="3" spans="1:21">
      <c r="A3" s="208" t="s">
        <v>61</v>
      </c>
      <c r="B3" s="72" t="s">
        <v>77</v>
      </c>
      <c r="C3" s="143"/>
      <c r="D3" s="144"/>
      <c r="E3" s="144"/>
      <c r="F3" s="144"/>
      <c r="G3" s="144"/>
      <c r="H3" s="144"/>
      <c r="I3" s="144"/>
      <c r="J3" s="144"/>
      <c r="K3" s="144"/>
      <c r="L3" s="144"/>
      <c r="M3" s="144"/>
      <c r="N3" s="144"/>
      <c r="O3" s="144"/>
      <c r="P3" s="144"/>
      <c r="Q3" s="144"/>
      <c r="R3" s="145"/>
      <c r="S3" s="145"/>
      <c r="T3" s="145"/>
      <c r="U3" s="145"/>
    </row>
    <row r="4" spans="1:21">
      <c r="A4" s="230" t="s">
        <v>621</v>
      </c>
      <c r="B4" s="231">
        <v>39.659999999999997</v>
      </c>
      <c r="C4" s="148"/>
      <c r="D4" s="144"/>
      <c r="E4" s="144"/>
      <c r="F4" s="144"/>
      <c r="G4" s="144"/>
      <c r="H4" s="144"/>
      <c r="I4" s="144"/>
      <c r="J4" s="144"/>
      <c r="K4" s="144"/>
      <c r="L4" s="144"/>
      <c r="M4" s="144"/>
      <c r="N4" s="144"/>
      <c r="O4" s="144"/>
      <c r="P4" s="144"/>
      <c r="Q4" s="144"/>
      <c r="R4" s="145"/>
      <c r="S4" s="145"/>
      <c r="T4" s="145"/>
      <c r="U4" s="145"/>
    </row>
    <row r="5" spans="1:21">
      <c r="A5" s="230" t="s">
        <v>622</v>
      </c>
      <c r="B5" s="231">
        <v>-75.040000000000006</v>
      </c>
      <c r="C5" s="142"/>
      <c r="D5" s="144"/>
      <c r="E5" s="144"/>
      <c r="F5" s="144"/>
      <c r="G5" s="144"/>
      <c r="H5" s="144"/>
      <c r="I5" s="144"/>
      <c r="J5" s="144"/>
      <c r="K5" s="144"/>
      <c r="L5" s="144"/>
      <c r="M5" s="144"/>
      <c r="N5" s="144"/>
      <c r="O5" s="144"/>
      <c r="P5" s="144"/>
      <c r="Q5" s="144"/>
      <c r="R5" s="145"/>
      <c r="S5" s="145"/>
      <c r="T5" s="145"/>
      <c r="U5" s="145"/>
    </row>
    <row r="6" spans="1:21">
      <c r="A6" s="232" t="s">
        <v>50</v>
      </c>
      <c r="B6" s="51">
        <v>34.407473309300002</v>
      </c>
      <c r="C6" s="143"/>
      <c r="D6" s="144"/>
      <c r="E6" s="144"/>
      <c r="F6" s="144"/>
      <c r="G6" s="144"/>
      <c r="H6" s="144"/>
      <c r="I6" s="144"/>
      <c r="J6" s="144"/>
      <c r="K6" s="144"/>
      <c r="L6" s="144"/>
      <c r="M6" s="144"/>
      <c r="N6" s="144"/>
      <c r="O6" s="144"/>
      <c r="P6" s="144"/>
      <c r="Q6" s="144"/>
      <c r="R6" s="145"/>
      <c r="S6" s="145"/>
      <c r="T6" s="145"/>
      <c r="U6" s="145"/>
    </row>
    <row r="7" spans="1:21">
      <c r="A7" s="141" t="s">
        <v>696</v>
      </c>
      <c r="B7" s="146" t="s">
        <v>190</v>
      </c>
      <c r="C7" s="72" t="s">
        <v>77</v>
      </c>
      <c r="D7" s="144"/>
      <c r="E7" s="144"/>
      <c r="F7" s="144"/>
      <c r="G7" s="144"/>
      <c r="H7" s="144"/>
      <c r="I7" s="144"/>
      <c r="J7" s="144"/>
      <c r="K7" s="144"/>
      <c r="L7" s="144"/>
      <c r="M7" s="144"/>
      <c r="N7" s="144"/>
      <c r="O7" s="144"/>
      <c r="P7" s="144"/>
      <c r="Q7" s="144"/>
      <c r="R7" s="145"/>
      <c r="S7" s="145"/>
      <c r="T7" s="145"/>
      <c r="U7" s="145"/>
    </row>
    <row r="8" spans="1:21">
      <c r="A8" s="208" t="s">
        <v>63</v>
      </c>
      <c r="B8" s="373" t="s">
        <v>707</v>
      </c>
      <c r="C8" s="72" t="s">
        <v>77</v>
      </c>
      <c r="D8" s="144"/>
      <c r="E8" s="144"/>
      <c r="F8" s="144"/>
      <c r="G8" s="144"/>
      <c r="H8" s="144"/>
      <c r="I8" s="144"/>
      <c r="J8" s="144"/>
      <c r="K8" s="144"/>
      <c r="L8" s="144"/>
      <c r="M8" s="144"/>
      <c r="N8" s="144"/>
      <c r="O8" s="144"/>
      <c r="P8" s="144"/>
      <c r="Q8" s="144"/>
      <c r="R8" s="145"/>
      <c r="S8" s="145"/>
      <c r="T8" s="145"/>
      <c r="U8" s="145"/>
    </row>
    <row r="9" spans="1:21">
      <c r="A9" s="208" t="s">
        <v>64</v>
      </c>
      <c r="B9" s="146" t="s">
        <v>603</v>
      </c>
      <c r="C9" s="143"/>
      <c r="D9" s="144"/>
      <c r="E9" s="144"/>
      <c r="F9" s="144"/>
      <c r="G9" s="144"/>
      <c r="H9" s="144"/>
      <c r="I9" s="144"/>
      <c r="J9" s="144"/>
      <c r="K9" s="144"/>
      <c r="L9" s="144"/>
      <c r="M9" s="144"/>
      <c r="N9" s="144"/>
      <c r="O9" s="144"/>
      <c r="P9" s="144"/>
      <c r="Q9" s="144"/>
      <c r="R9" s="145"/>
      <c r="S9" s="145"/>
      <c r="T9" s="145"/>
      <c r="U9" s="145"/>
    </row>
    <row r="10" spans="1:21">
      <c r="A10" s="208" t="s">
        <v>65</v>
      </c>
      <c r="B10" s="152" t="s">
        <v>264</v>
      </c>
      <c r="C10" s="144"/>
      <c r="D10" s="144"/>
      <c r="E10" s="144"/>
      <c r="F10" s="144"/>
      <c r="G10" s="144"/>
      <c r="H10" s="144"/>
      <c r="I10" s="144"/>
      <c r="J10" s="144"/>
      <c r="K10" s="144"/>
      <c r="L10" s="144"/>
      <c r="M10" s="144"/>
      <c r="N10" s="144"/>
      <c r="O10" s="144"/>
      <c r="P10" s="144"/>
      <c r="Q10" s="144"/>
      <c r="R10" s="145"/>
      <c r="S10" s="145"/>
      <c r="T10" s="145"/>
      <c r="U10" s="145"/>
    </row>
    <row r="11" spans="1:21" ht="13.5" thickBot="1">
      <c r="A11" s="145"/>
      <c r="B11" s="144"/>
      <c r="C11" s="144"/>
      <c r="D11" s="144"/>
      <c r="E11" s="144"/>
      <c r="F11" s="144"/>
      <c r="G11" s="154"/>
      <c r="H11" s="144"/>
      <c r="I11" s="144"/>
      <c r="J11" s="144"/>
      <c r="K11" s="168"/>
      <c r="L11" s="144"/>
      <c r="M11" s="144"/>
      <c r="N11" s="144"/>
      <c r="O11" s="144"/>
      <c r="P11" s="144"/>
      <c r="Q11" s="144"/>
      <c r="R11" s="145"/>
      <c r="S11" s="145"/>
      <c r="T11" s="145"/>
      <c r="U11" s="145"/>
    </row>
    <row r="12" spans="1:21" ht="64.5" thickBot="1">
      <c r="A12" s="211" t="s">
        <v>18</v>
      </c>
      <c r="B12" s="212" t="s">
        <v>66</v>
      </c>
      <c r="C12" s="212" t="s">
        <v>67</v>
      </c>
      <c r="D12" s="212" t="s">
        <v>68</v>
      </c>
      <c r="E12" s="212" t="s">
        <v>69</v>
      </c>
      <c r="F12" s="212" t="s">
        <v>43</v>
      </c>
      <c r="G12" s="212" t="s">
        <v>31</v>
      </c>
      <c r="H12" s="235" t="s">
        <v>10</v>
      </c>
      <c r="I12" s="160" t="s">
        <v>725</v>
      </c>
      <c r="J12" s="375" t="s">
        <v>664</v>
      </c>
      <c r="K12" s="724" t="s">
        <v>659</v>
      </c>
      <c r="L12" s="576" t="s">
        <v>70</v>
      </c>
      <c r="M12" s="217" t="s">
        <v>71</v>
      </c>
      <c r="N12" s="217" t="s">
        <v>36</v>
      </c>
      <c r="O12" s="218" t="s">
        <v>34</v>
      </c>
      <c r="P12" s="217" t="s">
        <v>72</v>
      </c>
      <c r="Q12" s="218" t="s">
        <v>73</v>
      </c>
      <c r="R12" s="160" t="s">
        <v>15</v>
      </c>
      <c r="S12" s="166" t="s">
        <v>38</v>
      </c>
      <c r="T12" s="145"/>
      <c r="U12" s="145"/>
    </row>
    <row r="13" spans="1:21">
      <c r="A13" s="706" t="s">
        <v>75</v>
      </c>
      <c r="B13" s="193"/>
      <c r="C13" s="193"/>
      <c r="D13" s="193"/>
      <c r="E13" s="193"/>
      <c r="F13" s="741">
        <v>99.39528</v>
      </c>
      <c r="G13" s="193"/>
      <c r="H13" s="742" t="s">
        <v>370</v>
      </c>
      <c r="I13" s="378">
        <v>-2.9</v>
      </c>
      <c r="J13" s="783">
        <v>-1.0783713352680211</v>
      </c>
      <c r="K13" s="781">
        <f t="shared" ref="K13:K73" si="0">16.1-4.64*($I13-J13)+0.09*($I13-J13)^2</f>
        <v>24.851006793651969</v>
      </c>
      <c r="L13" s="804" t="s">
        <v>33</v>
      </c>
      <c r="M13" s="805" t="s">
        <v>74</v>
      </c>
      <c r="N13" s="805" t="s">
        <v>37</v>
      </c>
      <c r="O13" s="743" t="s">
        <v>35</v>
      </c>
      <c r="P13" s="744" t="s">
        <v>58</v>
      </c>
      <c r="Q13" s="745" t="s">
        <v>78</v>
      </c>
      <c r="R13" s="933" t="s">
        <v>40</v>
      </c>
      <c r="S13" s="932" t="s">
        <v>801</v>
      </c>
      <c r="T13" s="145"/>
      <c r="U13" s="145"/>
    </row>
    <row r="14" spans="1:21">
      <c r="A14" s="167" t="s">
        <v>75</v>
      </c>
      <c r="B14" s="55"/>
      <c r="C14" s="55"/>
      <c r="D14" s="55"/>
      <c r="E14" s="55"/>
      <c r="F14" s="746">
        <v>102.43</v>
      </c>
      <c r="G14" s="55"/>
      <c r="H14" s="377" t="s">
        <v>370</v>
      </c>
      <c r="I14" s="381">
        <v>-2.8</v>
      </c>
      <c r="J14" s="449">
        <v>-1.0783713352680211</v>
      </c>
      <c r="K14" s="491">
        <f t="shared" si="0"/>
        <v>24.355117477686797</v>
      </c>
      <c r="L14" s="562" t="s">
        <v>33</v>
      </c>
      <c r="M14" s="297" t="s">
        <v>74</v>
      </c>
      <c r="N14" s="297" t="s">
        <v>37</v>
      </c>
      <c r="O14" s="307" t="s">
        <v>35</v>
      </c>
      <c r="P14" s="314" t="s">
        <v>58</v>
      </c>
      <c r="Q14" s="379" t="s">
        <v>78</v>
      </c>
      <c r="R14" s="315" t="s">
        <v>40</v>
      </c>
      <c r="S14" s="176"/>
      <c r="T14" s="145"/>
      <c r="U14" s="145"/>
    </row>
    <row r="15" spans="1:21">
      <c r="A15" s="167" t="s">
        <v>75</v>
      </c>
      <c r="B15" s="55"/>
      <c r="C15" s="55"/>
      <c r="D15" s="55"/>
      <c r="E15" s="55"/>
      <c r="F15" s="746">
        <v>105.47</v>
      </c>
      <c r="G15" s="55"/>
      <c r="H15" s="377" t="s">
        <v>370</v>
      </c>
      <c r="I15" s="381">
        <v>-3.4</v>
      </c>
      <c r="J15" s="449">
        <v>-1.0783713352680211</v>
      </c>
      <c r="K15" s="491">
        <f t="shared" si="0"/>
        <v>27.357453373477849</v>
      </c>
      <c r="L15" s="562" t="s">
        <v>33</v>
      </c>
      <c r="M15" s="297" t="s">
        <v>74</v>
      </c>
      <c r="N15" s="297" t="s">
        <v>37</v>
      </c>
      <c r="O15" s="307" t="s">
        <v>35</v>
      </c>
      <c r="P15" s="314" t="s">
        <v>58</v>
      </c>
      <c r="Q15" s="379" t="s">
        <v>78</v>
      </c>
      <c r="R15" s="315" t="s">
        <v>40</v>
      </c>
      <c r="S15" s="176"/>
      <c r="T15" s="145"/>
      <c r="U15" s="145"/>
    </row>
    <row r="16" spans="1:21">
      <c r="A16" s="167" t="s">
        <v>75</v>
      </c>
      <c r="B16" s="55"/>
      <c r="C16" s="55"/>
      <c r="D16" s="55"/>
      <c r="E16" s="55"/>
      <c r="F16" s="746">
        <v>100.9</v>
      </c>
      <c r="G16" s="55"/>
      <c r="H16" s="377" t="s">
        <v>370</v>
      </c>
      <c r="I16" s="381">
        <v>-3.1</v>
      </c>
      <c r="J16" s="449">
        <v>-1.0783713352680211</v>
      </c>
      <c r="K16" s="491">
        <f t="shared" si="0"/>
        <v>25.848185425582326</v>
      </c>
      <c r="L16" s="562" t="s">
        <v>33</v>
      </c>
      <c r="M16" s="297" t="s">
        <v>74</v>
      </c>
      <c r="N16" s="297" t="s">
        <v>37</v>
      </c>
      <c r="O16" s="307" t="s">
        <v>35</v>
      </c>
      <c r="P16" s="314" t="s">
        <v>58</v>
      </c>
      <c r="Q16" s="379" t="s">
        <v>78</v>
      </c>
      <c r="R16" s="315" t="s">
        <v>40</v>
      </c>
      <c r="S16" s="176"/>
      <c r="T16" s="145"/>
      <c r="U16" s="145"/>
    </row>
    <row r="17" spans="1:21">
      <c r="A17" s="167" t="s">
        <v>75</v>
      </c>
      <c r="B17" s="55"/>
      <c r="C17" s="55"/>
      <c r="D17" s="55"/>
      <c r="E17" s="55"/>
      <c r="F17" s="746">
        <v>103.7</v>
      </c>
      <c r="G17" s="55"/>
      <c r="H17" s="377" t="s">
        <v>370</v>
      </c>
      <c r="I17" s="381">
        <v>-3.6</v>
      </c>
      <c r="J17" s="449">
        <v>-1.0783713352680211</v>
      </c>
      <c r="K17" s="491">
        <f t="shared" si="0"/>
        <v>28.372632005408203</v>
      </c>
      <c r="L17" s="562" t="s">
        <v>33</v>
      </c>
      <c r="M17" s="297" t="s">
        <v>74</v>
      </c>
      <c r="N17" s="297" t="s">
        <v>37</v>
      </c>
      <c r="O17" s="307" t="s">
        <v>35</v>
      </c>
      <c r="P17" s="314" t="s">
        <v>58</v>
      </c>
      <c r="Q17" s="379" t="s">
        <v>78</v>
      </c>
      <c r="R17" s="315" t="s">
        <v>40</v>
      </c>
      <c r="S17" s="176"/>
      <c r="T17" s="145"/>
      <c r="U17" s="145"/>
    </row>
    <row r="18" spans="1:21">
      <c r="A18" s="177" t="s">
        <v>75</v>
      </c>
      <c r="B18" s="221"/>
      <c r="C18" s="221"/>
      <c r="D18" s="221"/>
      <c r="E18" s="221"/>
      <c r="F18" s="383">
        <v>107.01528</v>
      </c>
      <c r="G18" s="221" t="s">
        <v>20</v>
      </c>
      <c r="H18" s="221" t="s">
        <v>690</v>
      </c>
      <c r="I18" s="384">
        <v>-2.9</v>
      </c>
      <c r="J18" s="456">
        <v>-1.0783713352680211</v>
      </c>
      <c r="K18" s="496">
        <f t="shared" si="0"/>
        <v>24.851006793651969</v>
      </c>
      <c r="L18" s="568" t="s">
        <v>33</v>
      </c>
      <c r="M18" s="399" t="s">
        <v>74</v>
      </c>
      <c r="N18" s="399" t="s">
        <v>37</v>
      </c>
      <c r="O18" s="387" t="s">
        <v>35</v>
      </c>
      <c r="P18" s="388" t="s">
        <v>58</v>
      </c>
      <c r="Q18" s="389" t="s">
        <v>78</v>
      </c>
      <c r="R18" s="315" t="s">
        <v>40</v>
      </c>
      <c r="S18" s="176"/>
      <c r="T18" s="145"/>
      <c r="U18" s="145"/>
    </row>
    <row r="19" spans="1:21">
      <c r="A19" s="167" t="s">
        <v>75</v>
      </c>
      <c r="B19" s="55"/>
      <c r="C19" s="55"/>
      <c r="D19" s="55"/>
      <c r="E19" s="55"/>
      <c r="F19" s="746">
        <v>100.9</v>
      </c>
      <c r="G19" s="55"/>
      <c r="H19" s="55" t="s">
        <v>370</v>
      </c>
      <c r="I19" s="381">
        <v>-3.1</v>
      </c>
      <c r="J19" s="449">
        <v>-1.0783713352680211</v>
      </c>
      <c r="K19" s="491">
        <f t="shared" si="0"/>
        <v>25.848185425582326</v>
      </c>
      <c r="L19" s="562" t="s">
        <v>55</v>
      </c>
      <c r="M19" s="297" t="s">
        <v>16</v>
      </c>
      <c r="N19" s="297" t="s">
        <v>37</v>
      </c>
      <c r="O19" s="298" t="s">
        <v>35</v>
      </c>
      <c r="P19" s="314" t="s">
        <v>58</v>
      </c>
      <c r="Q19" s="379" t="s">
        <v>78</v>
      </c>
      <c r="R19" s="315" t="s">
        <v>40</v>
      </c>
      <c r="S19" s="176"/>
      <c r="T19" s="145"/>
      <c r="U19" s="145"/>
    </row>
    <row r="20" spans="1:21">
      <c r="A20" s="167" t="s">
        <v>75</v>
      </c>
      <c r="B20" s="55"/>
      <c r="C20" s="55"/>
      <c r="D20" s="55"/>
      <c r="E20" s="55"/>
      <c r="F20" s="746">
        <v>105.47</v>
      </c>
      <c r="G20" s="55"/>
      <c r="H20" s="55" t="s">
        <v>370</v>
      </c>
      <c r="I20" s="381">
        <v>-3.2</v>
      </c>
      <c r="J20" s="449">
        <v>-1.0783713352680211</v>
      </c>
      <c r="K20" s="491">
        <f t="shared" si="0"/>
        <v>26.3494747415475</v>
      </c>
      <c r="L20" s="562" t="s">
        <v>55</v>
      </c>
      <c r="M20" s="297" t="s">
        <v>16</v>
      </c>
      <c r="N20" s="297" t="s">
        <v>37</v>
      </c>
      <c r="O20" s="298" t="s">
        <v>35</v>
      </c>
      <c r="P20" s="314" t="s">
        <v>58</v>
      </c>
      <c r="Q20" s="379" t="s">
        <v>78</v>
      </c>
      <c r="R20" s="315" t="s">
        <v>40</v>
      </c>
      <c r="S20" s="176"/>
      <c r="T20" s="145"/>
      <c r="U20" s="145"/>
    </row>
    <row r="21" spans="1:21">
      <c r="A21" s="177" t="s">
        <v>75</v>
      </c>
      <c r="B21" s="221"/>
      <c r="C21" s="221"/>
      <c r="D21" s="221"/>
      <c r="E21" s="221"/>
      <c r="F21" s="383">
        <v>107.01528</v>
      </c>
      <c r="G21" s="221" t="s">
        <v>20</v>
      </c>
      <c r="H21" s="221" t="s">
        <v>690</v>
      </c>
      <c r="I21" s="384">
        <v>-2.6</v>
      </c>
      <c r="J21" s="456">
        <v>-1.0783713352680211</v>
      </c>
      <c r="K21" s="496">
        <f t="shared" si="0"/>
        <v>23.368738845756447</v>
      </c>
      <c r="L21" s="568" t="s">
        <v>55</v>
      </c>
      <c r="M21" s="399" t="s">
        <v>16</v>
      </c>
      <c r="N21" s="399" t="s">
        <v>37</v>
      </c>
      <c r="O21" s="390" t="s">
        <v>35</v>
      </c>
      <c r="P21" s="388" t="s">
        <v>58</v>
      </c>
      <c r="Q21" s="389" t="s">
        <v>78</v>
      </c>
      <c r="R21" s="315" t="s">
        <v>40</v>
      </c>
      <c r="S21" s="176"/>
      <c r="T21" s="145"/>
      <c r="U21" s="145"/>
    </row>
    <row r="22" spans="1:21">
      <c r="A22" s="167" t="s">
        <v>75</v>
      </c>
      <c r="B22" s="55"/>
      <c r="C22" s="55"/>
      <c r="D22" s="55"/>
      <c r="E22" s="55"/>
      <c r="F22" s="459">
        <v>91.51</v>
      </c>
      <c r="G22" s="196" t="s">
        <v>21</v>
      </c>
      <c r="H22" s="55" t="s">
        <v>371</v>
      </c>
      <c r="I22" s="392">
        <v>-1.23</v>
      </c>
      <c r="J22" s="449">
        <v>-1.0783713352680211</v>
      </c>
      <c r="K22" s="782">
        <f t="shared" si="0"/>
        <v>16.805626217033542</v>
      </c>
      <c r="L22" s="395" t="s">
        <v>33</v>
      </c>
      <c r="M22" s="296" t="s">
        <v>16</v>
      </c>
      <c r="N22" s="296"/>
      <c r="O22" s="307" t="s">
        <v>35</v>
      </c>
      <c r="P22" s="314" t="s">
        <v>58</v>
      </c>
      <c r="Q22" s="379" t="s">
        <v>78</v>
      </c>
      <c r="R22" s="315" t="s">
        <v>78</v>
      </c>
      <c r="S22" s="176"/>
      <c r="T22" s="145"/>
      <c r="U22" s="145"/>
    </row>
    <row r="23" spans="1:21">
      <c r="A23" s="167" t="s">
        <v>75</v>
      </c>
      <c r="B23" s="55"/>
      <c r="C23" s="55"/>
      <c r="D23" s="55"/>
      <c r="E23" s="55"/>
      <c r="F23" s="459">
        <v>93.83</v>
      </c>
      <c r="G23" s="196" t="s">
        <v>21</v>
      </c>
      <c r="H23" s="55" t="s">
        <v>371</v>
      </c>
      <c r="I23" s="392">
        <v>-2.64</v>
      </c>
      <c r="J23" s="449">
        <v>-1.0783713352680211</v>
      </c>
      <c r="K23" s="530">
        <f t="shared" si="0"/>
        <v>23.565438572142519</v>
      </c>
      <c r="L23" s="395" t="s">
        <v>33</v>
      </c>
      <c r="M23" s="296" t="s">
        <v>16</v>
      </c>
      <c r="N23" s="296"/>
      <c r="O23" s="307" t="s">
        <v>35</v>
      </c>
      <c r="P23" s="314" t="s">
        <v>58</v>
      </c>
      <c r="Q23" s="379" t="s">
        <v>78</v>
      </c>
      <c r="R23" s="315" t="s">
        <v>78</v>
      </c>
      <c r="S23" s="176"/>
      <c r="T23" s="145"/>
      <c r="U23" s="145"/>
    </row>
    <row r="24" spans="1:21">
      <c r="A24" s="167" t="s">
        <v>75</v>
      </c>
      <c r="B24" s="55"/>
      <c r="C24" s="55"/>
      <c r="D24" s="55"/>
      <c r="E24" s="55"/>
      <c r="F24" s="459">
        <v>94.79</v>
      </c>
      <c r="G24" s="196"/>
      <c r="H24" s="55" t="s">
        <v>370</v>
      </c>
      <c r="I24" s="392">
        <v>-2.5299999999999998</v>
      </c>
      <c r="J24" s="449">
        <v>-1.0783713352680211</v>
      </c>
      <c r="K24" s="491">
        <f t="shared" si="0"/>
        <v>23.025207324580819</v>
      </c>
      <c r="L24" s="395" t="s">
        <v>33</v>
      </c>
      <c r="M24" s="296" t="s">
        <v>16</v>
      </c>
      <c r="N24" s="296"/>
      <c r="O24" s="307" t="s">
        <v>35</v>
      </c>
      <c r="P24" s="314" t="s">
        <v>58</v>
      </c>
      <c r="Q24" s="379" t="s">
        <v>78</v>
      </c>
      <c r="R24" s="315" t="s">
        <v>78</v>
      </c>
      <c r="S24" s="176"/>
      <c r="T24" s="145"/>
      <c r="U24" s="145"/>
    </row>
    <row r="25" spans="1:21">
      <c r="A25" s="167" t="s">
        <v>75</v>
      </c>
      <c r="B25" s="55"/>
      <c r="C25" s="55"/>
      <c r="D25" s="55"/>
      <c r="E25" s="55"/>
      <c r="F25" s="459">
        <v>95.96</v>
      </c>
      <c r="G25" s="196"/>
      <c r="H25" s="55" t="s">
        <v>370</v>
      </c>
      <c r="I25" s="392">
        <v>-2.13</v>
      </c>
      <c r="J25" s="449">
        <v>-1.0783713352680211</v>
      </c>
      <c r="K25" s="491">
        <f t="shared" si="0"/>
        <v>21.079090060720119</v>
      </c>
      <c r="L25" s="395" t="s">
        <v>33</v>
      </c>
      <c r="M25" s="296" t="s">
        <v>16</v>
      </c>
      <c r="N25" s="296"/>
      <c r="O25" s="307" t="s">
        <v>35</v>
      </c>
      <c r="P25" s="314" t="s">
        <v>58</v>
      </c>
      <c r="Q25" s="379" t="s">
        <v>78</v>
      </c>
      <c r="R25" s="315" t="s">
        <v>78</v>
      </c>
      <c r="S25" s="176"/>
      <c r="T25" s="145"/>
      <c r="U25" s="145"/>
    </row>
    <row r="26" spans="1:21">
      <c r="A26" s="167" t="s">
        <v>75</v>
      </c>
      <c r="B26" s="55"/>
      <c r="C26" s="55"/>
      <c r="D26" s="55"/>
      <c r="E26" s="55"/>
      <c r="F26" s="459">
        <v>96.94</v>
      </c>
      <c r="G26" s="196"/>
      <c r="H26" s="55" t="s">
        <v>370</v>
      </c>
      <c r="I26" s="392">
        <v>-2.37</v>
      </c>
      <c r="J26" s="449">
        <v>-1.0783713352680211</v>
      </c>
      <c r="K26" s="491">
        <f t="shared" si="0"/>
        <v>22.243304419036544</v>
      </c>
      <c r="L26" s="395" t="s">
        <v>33</v>
      </c>
      <c r="M26" s="296" t="s">
        <v>16</v>
      </c>
      <c r="N26" s="296"/>
      <c r="O26" s="307" t="s">
        <v>35</v>
      </c>
      <c r="P26" s="314" t="s">
        <v>58</v>
      </c>
      <c r="Q26" s="379" t="s">
        <v>78</v>
      </c>
      <c r="R26" s="315" t="s">
        <v>78</v>
      </c>
      <c r="S26" s="176"/>
      <c r="T26" s="145"/>
      <c r="U26" s="145"/>
    </row>
    <row r="27" spans="1:21">
      <c r="A27" s="167" t="s">
        <v>75</v>
      </c>
      <c r="B27" s="55"/>
      <c r="C27" s="55"/>
      <c r="D27" s="55"/>
      <c r="E27" s="55"/>
      <c r="F27" s="459">
        <v>98.9</v>
      </c>
      <c r="G27" s="196"/>
      <c r="H27" s="55" t="s">
        <v>370</v>
      </c>
      <c r="I27" s="392">
        <v>-2.75</v>
      </c>
      <c r="J27" s="449">
        <v>-1.0783713352680211</v>
      </c>
      <c r="K27" s="491">
        <f t="shared" si="0"/>
        <v>24.107847819704208</v>
      </c>
      <c r="L27" s="395" t="s">
        <v>33</v>
      </c>
      <c r="M27" s="296" t="s">
        <v>16</v>
      </c>
      <c r="N27" s="296"/>
      <c r="O27" s="307" t="s">
        <v>35</v>
      </c>
      <c r="P27" s="314" t="s">
        <v>58</v>
      </c>
      <c r="Q27" s="379" t="s">
        <v>78</v>
      </c>
      <c r="R27" s="315" t="s">
        <v>78</v>
      </c>
      <c r="S27" s="176"/>
      <c r="T27" s="145"/>
      <c r="U27" s="145"/>
    </row>
    <row r="28" spans="1:21">
      <c r="A28" s="167" t="s">
        <v>75</v>
      </c>
      <c r="B28" s="55"/>
      <c r="C28" s="55"/>
      <c r="D28" s="55"/>
      <c r="E28" s="55"/>
      <c r="F28" s="459">
        <v>99.43</v>
      </c>
      <c r="G28" s="196"/>
      <c r="H28" s="55" t="s">
        <v>370</v>
      </c>
      <c r="I28" s="392">
        <v>-2.46</v>
      </c>
      <c r="J28" s="449">
        <v>-1.0783713352680211</v>
      </c>
      <c r="K28" s="491">
        <f t="shared" si="0"/>
        <v>22.682557803405199</v>
      </c>
      <c r="L28" s="395" t="s">
        <v>33</v>
      </c>
      <c r="M28" s="296" t="s">
        <v>16</v>
      </c>
      <c r="N28" s="296"/>
      <c r="O28" s="307" t="s">
        <v>35</v>
      </c>
      <c r="P28" s="314" t="s">
        <v>58</v>
      </c>
      <c r="Q28" s="379" t="s">
        <v>78</v>
      </c>
      <c r="R28" s="315" t="s">
        <v>78</v>
      </c>
      <c r="S28" s="176"/>
      <c r="T28" s="145"/>
      <c r="U28" s="145"/>
    </row>
    <row r="29" spans="1:21">
      <c r="A29" s="167" t="s">
        <v>75</v>
      </c>
      <c r="B29" s="55"/>
      <c r="C29" s="55"/>
      <c r="D29" s="55"/>
      <c r="E29" s="55"/>
      <c r="F29" s="459">
        <v>99.43</v>
      </c>
      <c r="G29" s="196"/>
      <c r="H29" s="55" t="s">
        <v>370</v>
      </c>
      <c r="I29" s="392">
        <v>-3.23</v>
      </c>
      <c r="J29" s="449">
        <v>-1.0783713352680211</v>
      </c>
      <c r="K29" s="491">
        <f t="shared" si="0"/>
        <v>26.500212536337052</v>
      </c>
      <c r="L29" s="395" t="s">
        <v>33</v>
      </c>
      <c r="M29" s="296" t="s">
        <v>16</v>
      </c>
      <c r="N29" s="296"/>
      <c r="O29" s="307" t="s">
        <v>35</v>
      </c>
      <c r="P29" s="314" t="s">
        <v>58</v>
      </c>
      <c r="Q29" s="379" t="s">
        <v>78</v>
      </c>
      <c r="R29" s="315" t="s">
        <v>78</v>
      </c>
      <c r="S29" s="176"/>
      <c r="T29" s="145"/>
      <c r="U29" s="145"/>
    </row>
    <row r="30" spans="1:21">
      <c r="A30" s="167" t="s">
        <v>75</v>
      </c>
      <c r="B30" s="55"/>
      <c r="C30" s="55"/>
      <c r="D30" s="55"/>
      <c r="E30" s="55"/>
      <c r="F30" s="459">
        <v>99.93</v>
      </c>
      <c r="G30" s="196"/>
      <c r="H30" s="55" t="s">
        <v>370</v>
      </c>
      <c r="I30" s="392">
        <v>-2.23</v>
      </c>
      <c r="J30" s="449">
        <v>-1.0783713352680211</v>
      </c>
      <c r="K30" s="491">
        <f t="shared" si="0"/>
        <v>21.562919376685294</v>
      </c>
      <c r="L30" s="395" t="s">
        <v>33</v>
      </c>
      <c r="M30" s="296" t="s">
        <v>16</v>
      </c>
      <c r="N30" s="296"/>
      <c r="O30" s="307" t="s">
        <v>35</v>
      </c>
      <c r="P30" s="314" t="s">
        <v>58</v>
      </c>
      <c r="Q30" s="379" t="s">
        <v>78</v>
      </c>
      <c r="R30" s="315" t="s">
        <v>78</v>
      </c>
      <c r="S30" s="176"/>
      <c r="T30" s="145"/>
      <c r="U30" s="145"/>
    </row>
    <row r="31" spans="1:21">
      <c r="A31" s="167" t="s">
        <v>75</v>
      </c>
      <c r="B31" s="55"/>
      <c r="C31" s="55"/>
      <c r="D31" s="55"/>
      <c r="E31" s="55"/>
      <c r="F31" s="459">
        <v>100.44</v>
      </c>
      <c r="G31" s="196"/>
      <c r="H31" s="55" t="s">
        <v>370</v>
      </c>
      <c r="I31" s="392">
        <v>-2.6</v>
      </c>
      <c r="J31" s="449">
        <v>-1.0783713352680211</v>
      </c>
      <c r="K31" s="491">
        <f t="shared" si="0"/>
        <v>23.368738845756447</v>
      </c>
      <c r="L31" s="395" t="s">
        <v>33</v>
      </c>
      <c r="M31" s="296" t="s">
        <v>16</v>
      </c>
      <c r="N31" s="296"/>
      <c r="O31" s="307" t="s">
        <v>35</v>
      </c>
      <c r="P31" s="314" t="s">
        <v>58</v>
      </c>
      <c r="Q31" s="379" t="s">
        <v>78</v>
      </c>
      <c r="R31" s="315" t="s">
        <v>78</v>
      </c>
      <c r="S31" s="176"/>
      <c r="T31" s="145"/>
      <c r="U31" s="145"/>
    </row>
    <row r="32" spans="1:21">
      <c r="A32" s="167" t="s">
        <v>75</v>
      </c>
      <c r="B32" s="55"/>
      <c r="C32" s="55"/>
      <c r="D32" s="55"/>
      <c r="E32" s="55"/>
      <c r="F32" s="459">
        <v>100.72</v>
      </c>
      <c r="G32" s="196"/>
      <c r="H32" s="55" t="s">
        <v>370</v>
      </c>
      <c r="I32" s="392">
        <v>-2.2599999999999998</v>
      </c>
      <c r="J32" s="449">
        <v>-1.0783713352680211</v>
      </c>
      <c r="K32" s="491">
        <f t="shared" si="0"/>
        <v>21.708419171474848</v>
      </c>
      <c r="L32" s="395" t="s">
        <v>33</v>
      </c>
      <c r="M32" s="296" t="s">
        <v>16</v>
      </c>
      <c r="N32" s="296"/>
      <c r="O32" s="307" t="s">
        <v>35</v>
      </c>
      <c r="P32" s="314" t="s">
        <v>58</v>
      </c>
      <c r="Q32" s="379" t="s">
        <v>78</v>
      </c>
      <c r="R32" s="315" t="s">
        <v>78</v>
      </c>
      <c r="S32" s="176"/>
      <c r="T32" s="145"/>
      <c r="U32" s="145"/>
    </row>
    <row r="33" spans="1:21">
      <c r="A33" s="167" t="s">
        <v>75</v>
      </c>
      <c r="B33" s="55"/>
      <c r="C33" s="55"/>
      <c r="D33" s="55"/>
      <c r="E33" s="55"/>
      <c r="F33" s="459">
        <v>101.23</v>
      </c>
      <c r="G33" s="196"/>
      <c r="H33" s="55" t="s">
        <v>370</v>
      </c>
      <c r="I33" s="392">
        <v>-2.39</v>
      </c>
      <c r="J33" s="449">
        <v>-1.0783713352680211</v>
      </c>
      <c r="K33" s="491">
        <f t="shared" si="0"/>
        <v>22.340790282229577</v>
      </c>
      <c r="L33" s="395" t="s">
        <v>33</v>
      </c>
      <c r="M33" s="296" t="s">
        <v>16</v>
      </c>
      <c r="N33" s="296"/>
      <c r="O33" s="307" t="s">
        <v>35</v>
      </c>
      <c r="P33" s="314" t="s">
        <v>58</v>
      </c>
      <c r="Q33" s="379" t="s">
        <v>78</v>
      </c>
      <c r="R33" s="315" t="s">
        <v>78</v>
      </c>
      <c r="S33" s="176"/>
      <c r="T33" s="145"/>
      <c r="U33" s="145"/>
    </row>
    <row r="34" spans="1:21">
      <c r="A34" s="167" t="s">
        <v>75</v>
      </c>
      <c r="B34" s="55"/>
      <c r="C34" s="55"/>
      <c r="D34" s="55"/>
      <c r="E34" s="55"/>
      <c r="F34" s="459">
        <v>101.73</v>
      </c>
      <c r="G34" s="196"/>
      <c r="H34" s="55" t="s">
        <v>370</v>
      </c>
      <c r="I34" s="392">
        <v>-2.58</v>
      </c>
      <c r="J34" s="449">
        <v>-1.0783713352680211</v>
      </c>
      <c r="K34" s="491">
        <f t="shared" si="0"/>
        <v>23.270496982563412</v>
      </c>
      <c r="L34" s="395" t="s">
        <v>33</v>
      </c>
      <c r="M34" s="296" t="s">
        <v>16</v>
      </c>
      <c r="N34" s="296"/>
      <c r="O34" s="307" t="s">
        <v>35</v>
      </c>
      <c r="P34" s="314" t="s">
        <v>58</v>
      </c>
      <c r="Q34" s="379" t="s">
        <v>78</v>
      </c>
      <c r="R34" s="315" t="s">
        <v>78</v>
      </c>
      <c r="S34" s="176"/>
      <c r="T34" s="145"/>
      <c r="U34" s="145"/>
    </row>
    <row r="35" spans="1:21">
      <c r="A35" s="167" t="s">
        <v>75</v>
      </c>
      <c r="B35" s="55"/>
      <c r="C35" s="55"/>
      <c r="D35" s="55"/>
      <c r="E35" s="55"/>
      <c r="F35" s="459">
        <v>102.19</v>
      </c>
      <c r="G35" s="196"/>
      <c r="H35" s="55" t="s">
        <v>370</v>
      </c>
      <c r="I35" s="392">
        <v>-2.63</v>
      </c>
      <c r="J35" s="449">
        <v>-1.0783713352680211</v>
      </c>
      <c r="K35" s="491">
        <f t="shared" si="0"/>
        <v>23.516236640545998</v>
      </c>
      <c r="L35" s="395" t="s">
        <v>33</v>
      </c>
      <c r="M35" s="296" t="s">
        <v>16</v>
      </c>
      <c r="N35" s="296"/>
      <c r="O35" s="307" t="s">
        <v>35</v>
      </c>
      <c r="P35" s="314" t="s">
        <v>58</v>
      </c>
      <c r="Q35" s="379" t="s">
        <v>78</v>
      </c>
      <c r="R35" s="315" t="s">
        <v>78</v>
      </c>
      <c r="S35" s="176"/>
      <c r="T35" s="145"/>
      <c r="U35" s="145"/>
    </row>
    <row r="36" spans="1:21">
      <c r="A36" s="167" t="s">
        <v>75</v>
      </c>
      <c r="B36" s="55"/>
      <c r="C36" s="55"/>
      <c r="D36" s="55"/>
      <c r="E36" s="55"/>
      <c r="F36" s="459">
        <v>102.67</v>
      </c>
      <c r="G36" s="196"/>
      <c r="H36" s="55" t="s">
        <v>370</v>
      </c>
      <c r="I36" s="392">
        <v>-2.9</v>
      </c>
      <c r="J36" s="449">
        <v>-1.0783713352680211</v>
      </c>
      <c r="K36" s="491">
        <f t="shared" si="0"/>
        <v>24.851006793651969</v>
      </c>
      <c r="L36" s="395" t="s">
        <v>33</v>
      </c>
      <c r="M36" s="296" t="s">
        <v>16</v>
      </c>
      <c r="N36" s="296"/>
      <c r="O36" s="307" t="s">
        <v>35</v>
      </c>
      <c r="P36" s="314" t="s">
        <v>58</v>
      </c>
      <c r="Q36" s="379" t="s">
        <v>78</v>
      </c>
      <c r="R36" s="315" t="s">
        <v>78</v>
      </c>
      <c r="S36" s="176"/>
      <c r="T36" s="145"/>
      <c r="U36" s="145"/>
    </row>
    <row r="37" spans="1:21">
      <c r="A37" s="167" t="s">
        <v>75</v>
      </c>
      <c r="B37" s="55"/>
      <c r="C37" s="55"/>
      <c r="D37" s="55"/>
      <c r="E37" s="55"/>
      <c r="F37" s="459">
        <v>103.14</v>
      </c>
      <c r="G37" s="196"/>
      <c r="H37" s="55" t="s">
        <v>370</v>
      </c>
      <c r="I37" s="392">
        <v>-3.17</v>
      </c>
      <c r="J37" s="449">
        <v>-1.0783713352680211</v>
      </c>
      <c r="K37" s="491">
        <f t="shared" si="0"/>
        <v>26.198898946757943</v>
      </c>
      <c r="L37" s="395" t="s">
        <v>33</v>
      </c>
      <c r="M37" s="296" t="s">
        <v>16</v>
      </c>
      <c r="N37" s="296"/>
      <c r="O37" s="307" t="s">
        <v>35</v>
      </c>
      <c r="P37" s="314" t="s">
        <v>58</v>
      </c>
      <c r="Q37" s="379" t="s">
        <v>78</v>
      </c>
      <c r="R37" s="315" t="s">
        <v>78</v>
      </c>
      <c r="S37" s="176"/>
      <c r="T37" s="145"/>
      <c r="U37" s="145"/>
    </row>
    <row r="38" spans="1:21">
      <c r="A38" s="167" t="s">
        <v>75</v>
      </c>
      <c r="B38" s="55"/>
      <c r="C38" s="55"/>
      <c r="D38" s="55"/>
      <c r="E38" s="55"/>
      <c r="F38" s="459">
        <v>103.14</v>
      </c>
      <c r="G38" s="196"/>
      <c r="H38" s="55" t="s">
        <v>370</v>
      </c>
      <c r="I38" s="392">
        <v>-2.64</v>
      </c>
      <c r="J38" s="449">
        <v>-1.0783713352680211</v>
      </c>
      <c r="K38" s="491">
        <f t="shared" si="0"/>
        <v>23.565438572142519</v>
      </c>
      <c r="L38" s="395" t="s">
        <v>33</v>
      </c>
      <c r="M38" s="296" t="s">
        <v>16</v>
      </c>
      <c r="N38" s="296"/>
      <c r="O38" s="307" t="s">
        <v>35</v>
      </c>
      <c r="P38" s="314" t="s">
        <v>58</v>
      </c>
      <c r="Q38" s="379" t="s">
        <v>78</v>
      </c>
      <c r="R38" s="315" t="s">
        <v>78</v>
      </c>
      <c r="S38" s="176"/>
      <c r="T38" s="145"/>
      <c r="U38" s="145"/>
    </row>
    <row r="39" spans="1:21">
      <c r="A39" s="167" t="s">
        <v>75</v>
      </c>
      <c r="B39" s="55"/>
      <c r="C39" s="55"/>
      <c r="D39" s="55"/>
      <c r="E39" s="55"/>
      <c r="F39" s="459">
        <v>104.07</v>
      </c>
      <c r="G39" s="196"/>
      <c r="H39" s="55" t="s">
        <v>370</v>
      </c>
      <c r="I39" s="392">
        <v>-2.41</v>
      </c>
      <c r="J39" s="449">
        <v>-1.0783713352680211</v>
      </c>
      <c r="K39" s="491">
        <f t="shared" si="0"/>
        <v>22.438348145422612</v>
      </c>
      <c r="L39" s="395" t="s">
        <v>33</v>
      </c>
      <c r="M39" s="296" t="s">
        <v>16</v>
      </c>
      <c r="N39" s="296"/>
      <c r="O39" s="307" t="s">
        <v>35</v>
      </c>
      <c r="P39" s="314" t="s">
        <v>58</v>
      </c>
      <c r="Q39" s="379" t="s">
        <v>78</v>
      </c>
      <c r="R39" s="315" t="s">
        <v>78</v>
      </c>
      <c r="S39" s="176"/>
      <c r="T39" s="145"/>
      <c r="U39" s="145"/>
    </row>
    <row r="40" spans="1:21">
      <c r="A40" s="167" t="s">
        <v>75</v>
      </c>
      <c r="B40" s="55"/>
      <c r="C40" s="55"/>
      <c r="D40" s="55"/>
      <c r="E40" s="55"/>
      <c r="F40" s="459">
        <v>104.58</v>
      </c>
      <c r="G40" s="196"/>
      <c r="H40" s="55" t="s">
        <v>370</v>
      </c>
      <c r="I40" s="392">
        <v>-2.44</v>
      </c>
      <c r="J40" s="449">
        <v>-1.0783713352680211</v>
      </c>
      <c r="K40" s="491">
        <f t="shared" si="0"/>
        <v>22.584819940212164</v>
      </c>
      <c r="L40" s="395" t="s">
        <v>33</v>
      </c>
      <c r="M40" s="296" t="s">
        <v>16</v>
      </c>
      <c r="N40" s="296"/>
      <c r="O40" s="307" t="s">
        <v>35</v>
      </c>
      <c r="P40" s="314" t="s">
        <v>58</v>
      </c>
      <c r="Q40" s="379" t="s">
        <v>78</v>
      </c>
      <c r="R40" s="315" t="s">
        <v>78</v>
      </c>
      <c r="S40" s="176"/>
      <c r="T40" s="145"/>
      <c r="U40" s="145"/>
    </row>
    <row r="41" spans="1:21">
      <c r="A41" s="167" t="s">
        <v>75</v>
      </c>
      <c r="B41" s="55"/>
      <c r="C41" s="55"/>
      <c r="D41" s="55"/>
      <c r="E41" s="55"/>
      <c r="F41" s="459">
        <v>105.04</v>
      </c>
      <c r="G41" s="196"/>
      <c r="H41" s="55" t="s">
        <v>370</v>
      </c>
      <c r="I41" s="392">
        <v>-2.5299999999999998</v>
      </c>
      <c r="J41" s="449">
        <v>-1.0783713352680211</v>
      </c>
      <c r="K41" s="491">
        <f t="shared" si="0"/>
        <v>23.025207324580819</v>
      </c>
      <c r="L41" s="395" t="s">
        <v>33</v>
      </c>
      <c r="M41" s="296" t="s">
        <v>16</v>
      </c>
      <c r="N41" s="296"/>
      <c r="O41" s="307" t="s">
        <v>35</v>
      </c>
      <c r="P41" s="314" t="s">
        <v>58</v>
      </c>
      <c r="Q41" s="379" t="s">
        <v>78</v>
      </c>
      <c r="R41" s="315" t="s">
        <v>78</v>
      </c>
      <c r="S41" s="176"/>
      <c r="T41" s="145"/>
      <c r="U41" s="145"/>
    </row>
    <row r="42" spans="1:21">
      <c r="A42" s="167" t="s">
        <v>75</v>
      </c>
      <c r="B42" s="55"/>
      <c r="C42" s="55"/>
      <c r="D42" s="55"/>
      <c r="E42" s="55"/>
      <c r="F42" s="459">
        <v>105.51</v>
      </c>
      <c r="G42" s="196"/>
      <c r="H42" s="55" t="s">
        <v>370</v>
      </c>
      <c r="I42" s="392">
        <v>-2.66</v>
      </c>
      <c r="J42" s="449">
        <v>-1.0783713352680211</v>
      </c>
      <c r="K42" s="491">
        <f t="shared" si="0"/>
        <v>23.663896435335552</v>
      </c>
      <c r="L42" s="395" t="s">
        <v>33</v>
      </c>
      <c r="M42" s="296" t="s">
        <v>16</v>
      </c>
      <c r="N42" s="296"/>
      <c r="O42" s="307" t="s">
        <v>35</v>
      </c>
      <c r="P42" s="314" t="s">
        <v>58</v>
      </c>
      <c r="Q42" s="379" t="s">
        <v>78</v>
      </c>
      <c r="R42" s="315" t="s">
        <v>78</v>
      </c>
      <c r="S42" s="176"/>
      <c r="T42" s="145"/>
      <c r="U42" s="145"/>
    </row>
    <row r="43" spans="1:21">
      <c r="A43" s="167" t="s">
        <v>75</v>
      </c>
      <c r="B43" s="55"/>
      <c r="C43" s="55"/>
      <c r="D43" s="55"/>
      <c r="E43" s="55"/>
      <c r="F43" s="459">
        <v>106.89</v>
      </c>
      <c r="G43" s="196" t="s">
        <v>661</v>
      </c>
      <c r="H43" s="55" t="s">
        <v>690</v>
      </c>
      <c r="I43" s="392">
        <v>-3.33</v>
      </c>
      <c r="J43" s="449">
        <v>-1.0783713352680211</v>
      </c>
      <c r="K43" s="492">
        <f t="shared" si="0"/>
        <v>27.00384185230223</v>
      </c>
      <c r="L43" s="395" t="s">
        <v>33</v>
      </c>
      <c r="M43" s="296" t="s">
        <v>16</v>
      </c>
      <c r="N43" s="296"/>
      <c r="O43" s="307" t="s">
        <v>35</v>
      </c>
      <c r="P43" s="314" t="s">
        <v>58</v>
      </c>
      <c r="Q43" s="379" t="s">
        <v>78</v>
      </c>
      <c r="R43" s="315" t="s">
        <v>78</v>
      </c>
      <c r="S43" s="176"/>
      <c r="T43" s="145"/>
      <c r="U43" s="145"/>
    </row>
    <row r="44" spans="1:21">
      <c r="A44" s="167" t="s">
        <v>75</v>
      </c>
      <c r="B44" s="55"/>
      <c r="C44" s="55"/>
      <c r="D44" s="55"/>
      <c r="E44" s="55"/>
      <c r="F44" s="459">
        <v>107.4</v>
      </c>
      <c r="G44" s="196" t="s">
        <v>661</v>
      </c>
      <c r="H44" s="55" t="s">
        <v>690</v>
      </c>
      <c r="I44" s="392">
        <v>-3.76</v>
      </c>
      <c r="J44" s="449">
        <v>-1.0783713352680211</v>
      </c>
      <c r="K44" s="492">
        <f t="shared" si="0"/>
        <v>29.18995891095248</v>
      </c>
      <c r="L44" s="395" t="s">
        <v>33</v>
      </c>
      <c r="M44" s="296" t="s">
        <v>16</v>
      </c>
      <c r="N44" s="296"/>
      <c r="O44" s="307" t="s">
        <v>35</v>
      </c>
      <c r="P44" s="314" t="s">
        <v>58</v>
      </c>
      <c r="Q44" s="379" t="s">
        <v>78</v>
      </c>
      <c r="R44" s="315" t="s">
        <v>78</v>
      </c>
      <c r="S44" s="176"/>
      <c r="T44" s="145"/>
      <c r="U44" s="145"/>
    </row>
    <row r="45" spans="1:21">
      <c r="A45" s="167" t="s">
        <v>75</v>
      </c>
      <c r="B45" s="55"/>
      <c r="C45" s="55"/>
      <c r="D45" s="55"/>
      <c r="E45" s="55"/>
      <c r="F45" s="459">
        <v>107.5</v>
      </c>
      <c r="G45" s="196" t="s">
        <v>661</v>
      </c>
      <c r="H45" s="55" t="s">
        <v>690</v>
      </c>
      <c r="I45" s="392">
        <v>-3.9</v>
      </c>
      <c r="J45" s="449">
        <v>-1.0783713352680211</v>
      </c>
      <c r="K45" s="492">
        <f t="shared" si="0"/>
        <v>29.908899953303727</v>
      </c>
      <c r="L45" s="395" t="s">
        <v>33</v>
      </c>
      <c r="M45" s="296" t="s">
        <v>16</v>
      </c>
      <c r="N45" s="296"/>
      <c r="O45" s="307" t="s">
        <v>35</v>
      </c>
      <c r="P45" s="314" t="s">
        <v>58</v>
      </c>
      <c r="Q45" s="379" t="s">
        <v>78</v>
      </c>
      <c r="R45" s="315" t="s">
        <v>78</v>
      </c>
      <c r="S45" s="176"/>
      <c r="T45" s="145"/>
      <c r="U45" s="145"/>
    </row>
    <row r="46" spans="1:21">
      <c r="A46" s="167" t="s">
        <v>75</v>
      </c>
      <c r="B46" s="55"/>
      <c r="C46" s="55"/>
      <c r="D46" s="55"/>
      <c r="E46" s="55"/>
      <c r="F46" s="459">
        <v>107.9</v>
      </c>
      <c r="G46" s="196" t="s">
        <v>661</v>
      </c>
      <c r="H46" s="55" t="s">
        <v>690</v>
      </c>
      <c r="I46" s="392">
        <v>-3.78</v>
      </c>
      <c r="J46" s="449">
        <v>-1.0783713352680211</v>
      </c>
      <c r="K46" s="492">
        <f t="shared" si="0"/>
        <v>29.292448774145516</v>
      </c>
      <c r="L46" s="395" t="s">
        <v>33</v>
      </c>
      <c r="M46" s="296" t="s">
        <v>16</v>
      </c>
      <c r="N46" s="296"/>
      <c r="O46" s="307" t="s">
        <v>35</v>
      </c>
      <c r="P46" s="314" t="s">
        <v>58</v>
      </c>
      <c r="Q46" s="379" t="s">
        <v>78</v>
      </c>
      <c r="R46" s="315" t="s">
        <v>78</v>
      </c>
      <c r="S46" s="176"/>
      <c r="T46" s="145"/>
      <c r="U46" s="145"/>
    </row>
    <row r="47" spans="1:21">
      <c r="A47" s="167" t="s">
        <v>75</v>
      </c>
      <c r="B47" s="55"/>
      <c r="C47" s="55"/>
      <c r="D47" s="55"/>
      <c r="E47" s="55"/>
      <c r="F47" s="459">
        <v>107.96</v>
      </c>
      <c r="G47" s="196" t="s">
        <v>661</v>
      </c>
      <c r="H47" s="55" t="s">
        <v>690</v>
      </c>
      <c r="I47" s="392">
        <v>-3.57</v>
      </c>
      <c r="J47" s="449">
        <v>-1.0783713352680211</v>
      </c>
      <c r="K47" s="492">
        <f t="shared" si="0"/>
        <v>28.21989621061865</v>
      </c>
      <c r="L47" s="395" t="s">
        <v>33</v>
      </c>
      <c r="M47" s="296" t="s">
        <v>16</v>
      </c>
      <c r="N47" s="296"/>
      <c r="O47" s="307" t="s">
        <v>35</v>
      </c>
      <c r="P47" s="314" t="s">
        <v>58</v>
      </c>
      <c r="Q47" s="379" t="s">
        <v>78</v>
      </c>
      <c r="R47" s="315" t="s">
        <v>78</v>
      </c>
      <c r="S47" s="176"/>
      <c r="T47" s="145"/>
      <c r="U47" s="145"/>
    </row>
    <row r="48" spans="1:21">
      <c r="A48" s="167" t="s">
        <v>75</v>
      </c>
      <c r="B48" s="55"/>
      <c r="C48" s="55"/>
      <c r="D48" s="55"/>
      <c r="E48" s="55"/>
      <c r="F48" s="459">
        <v>108.05</v>
      </c>
      <c r="G48" s="196" t="s">
        <v>661</v>
      </c>
      <c r="H48" s="55" t="s">
        <v>690</v>
      </c>
      <c r="I48" s="392">
        <v>-3.26</v>
      </c>
      <c r="J48" s="449">
        <v>-1.0783713352680211</v>
      </c>
      <c r="K48" s="492">
        <f t="shared" si="0"/>
        <v>26.651112331126601</v>
      </c>
      <c r="L48" s="395" t="s">
        <v>33</v>
      </c>
      <c r="M48" s="296" t="s">
        <v>16</v>
      </c>
      <c r="N48" s="296"/>
      <c r="O48" s="307" t="s">
        <v>35</v>
      </c>
      <c r="P48" s="314" t="s">
        <v>58</v>
      </c>
      <c r="Q48" s="379" t="s">
        <v>78</v>
      </c>
      <c r="R48" s="315" t="s">
        <v>78</v>
      </c>
      <c r="S48" s="176"/>
      <c r="T48" s="145"/>
      <c r="U48" s="145"/>
    </row>
    <row r="49" spans="1:21">
      <c r="A49" s="167" t="s">
        <v>75</v>
      </c>
      <c r="B49" s="55"/>
      <c r="C49" s="55"/>
      <c r="D49" s="55"/>
      <c r="E49" s="55"/>
      <c r="F49" s="459">
        <v>108.16</v>
      </c>
      <c r="G49" s="196" t="s">
        <v>661</v>
      </c>
      <c r="H49" s="55" t="s">
        <v>690</v>
      </c>
      <c r="I49" s="392">
        <v>-3.32</v>
      </c>
      <c r="J49" s="449">
        <v>-1.0783713352680211</v>
      </c>
      <c r="K49" s="492">
        <f t="shared" si="0"/>
        <v>26.953397920705708</v>
      </c>
      <c r="L49" s="395" t="s">
        <v>33</v>
      </c>
      <c r="M49" s="296" t="s">
        <v>16</v>
      </c>
      <c r="N49" s="296"/>
      <c r="O49" s="307" t="s">
        <v>35</v>
      </c>
      <c r="P49" s="314" t="s">
        <v>58</v>
      </c>
      <c r="Q49" s="379" t="s">
        <v>78</v>
      </c>
      <c r="R49" s="315" t="s">
        <v>78</v>
      </c>
      <c r="S49" s="176"/>
      <c r="T49" s="145"/>
      <c r="U49" s="145"/>
    </row>
    <row r="50" spans="1:21">
      <c r="A50" s="167" t="s">
        <v>75</v>
      </c>
      <c r="B50" s="55"/>
      <c r="C50" s="55"/>
      <c r="D50" s="55"/>
      <c r="E50" s="55"/>
      <c r="F50" s="459">
        <v>108.27</v>
      </c>
      <c r="G50" s="196" t="s">
        <v>661</v>
      </c>
      <c r="H50" s="55" t="s">
        <v>690</v>
      </c>
      <c r="I50" s="392">
        <v>-3.17</v>
      </c>
      <c r="J50" s="449">
        <v>-1.0783713352680211</v>
      </c>
      <c r="K50" s="492">
        <f t="shared" si="0"/>
        <v>26.198898946757943</v>
      </c>
      <c r="L50" s="395" t="s">
        <v>33</v>
      </c>
      <c r="M50" s="296" t="s">
        <v>16</v>
      </c>
      <c r="N50" s="296"/>
      <c r="O50" s="307" t="s">
        <v>35</v>
      </c>
      <c r="P50" s="314" t="s">
        <v>58</v>
      </c>
      <c r="Q50" s="379" t="s">
        <v>78</v>
      </c>
      <c r="R50" s="315" t="s">
        <v>78</v>
      </c>
      <c r="S50" s="176"/>
      <c r="T50" s="145"/>
      <c r="U50" s="145"/>
    </row>
    <row r="51" spans="1:21">
      <c r="A51" s="167" t="s">
        <v>75</v>
      </c>
      <c r="B51" s="55"/>
      <c r="C51" s="55"/>
      <c r="D51" s="55"/>
      <c r="E51" s="55"/>
      <c r="F51" s="459">
        <v>108.37</v>
      </c>
      <c r="G51" s="196" t="s">
        <v>661</v>
      </c>
      <c r="H51" s="55" t="s">
        <v>690</v>
      </c>
      <c r="I51" s="392">
        <v>-3.53</v>
      </c>
      <c r="J51" s="449">
        <v>-1.0783713352680211</v>
      </c>
      <c r="K51" s="492">
        <f t="shared" si="0"/>
        <v>28.016500484232576</v>
      </c>
      <c r="L51" s="395" t="s">
        <v>33</v>
      </c>
      <c r="M51" s="296" t="s">
        <v>16</v>
      </c>
      <c r="N51" s="296"/>
      <c r="O51" s="307" t="s">
        <v>35</v>
      </c>
      <c r="P51" s="314" t="s">
        <v>58</v>
      </c>
      <c r="Q51" s="379" t="s">
        <v>78</v>
      </c>
      <c r="R51" s="315" t="s">
        <v>78</v>
      </c>
      <c r="S51" s="176"/>
      <c r="T51" s="145"/>
      <c r="U51" s="145"/>
    </row>
    <row r="52" spans="1:21">
      <c r="A52" s="167" t="s">
        <v>75</v>
      </c>
      <c r="B52" s="55"/>
      <c r="C52" s="55"/>
      <c r="D52" s="55"/>
      <c r="E52" s="55"/>
      <c r="F52" s="459">
        <v>108.53</v>
      </c>
      <c r="G52" s="196" t="s">
        <v>661</v>
      </c>
      <c r="H52" s="55" t="s">
        <v>690</v>
      </c>
      <c r="I52" s="392">
        <v>-3.13</v>
      </c>
      <c r="J52" s="449">
        <v>-1.0783713352680211</v>
      </c>
      <c r="K52" s="492">
        <f t="shared" si="0"/>
        <v>25.998383220371874</v>
      </c>
      <c r="L52" s="395" t="s">
        <v>33</v>
      </c>
      <c r="M52" s="296" t="s">
        <v>16</v>
      </c>
      <c r="N52" s="296"/>
      <c r="O52" s="307" t="s">
        <v>35</v>
      </c>
      <c r="P52" s="314" t="s">
        <v>58</v>
      </c>
      <c r="Q52" s="379" t="s">
        <v>78</v>
      </c>
      <c r="R52" s="315" t="s">
        <v>78</v>
      </c>
      <c r="S52" s="176"/>
      <c r="T52" s="145"/>
      <c r="U52" s="145"/>
    </row>
    <row r="53" spans="1:21">
      <c r="A53" s="167" t="s">
        <v>75</v>
      </c>
      <c r="B53" s="55"/>
      <c r="C53" s="55"/>
      <c r="D53" s="55"/>
      <c r="E53" s="55"/>
      <c r="F53" s="459">
        <v>108.59</v>
      </c>
      <c r="G53" s="196" t="s">
        <v>661</v>
      </c>
      <c r="H53" s="55" t="s">
        <v>690</v>
      </c>
      <c r="I53" s="392">
        <v>-3.73</v>
      </c>
      <c r="J53" s="449">
        <v>-1.0783713352680211</v>
      </c>
      <c r="K53" s="492">
        <f t="shared" si="0"/>
        <v>29.036359116162931</v>
      </c>
      <c r="L53" s="395" t="s">
        <v>33</v>
      </c>
      <c r="M53" s="296" t="s">
        <v>16</v>
      </c>
      <c r="N53" s="296"/>
      <c r="O53" s="307" t="s">
        <v>35</v>
      </c>
      <c r="P53" s="314" t="s">
        <v>58</v>
      </c>
      <c r="Q53" s="379" t="s">
        <v>78</v>
      </c>
      <c r="R53" s="315" t="s">
        <v>78</v>
      </c>
      <c r="S53" s="176"/>
      <c r="T53" s="145"/>
      <c r="U53" s="145"/>
    </row>
    <row r="54" spans="1:21">
      <c r="A54" s="167" t="s">
        <v>75</v>
      </c>
      <c r="B54" s="55"/>
      <c r="C54" s="55"/>
      <c r="D54" s="55"/>
      <c r="E54" s="55"/>
      <c r="F54" s="459">
        <v>108.69</v>
      </c>
      <c r="G54" s="196" t="s">
        <v>661</v>
      </c>
      <c r="H54" s="55" t="s">
        <v>690</v>
      </c>
      <c r="I54" s="392">
        <v>-3.94</v>
      </c>
      <c r="J54" s="449">
        <v>-1.0783713352680211</v>
      </c>
      <c r="K54" s="492">
        <f t="shared" si="0"/>
        <v>30.114959679689797</v>
      </c>
      <c r="L54" s="395" t="s">
        <v>33</v>
      </c>
      <c r="M54" s="296" t="s">
        <v>16</v>
      </c>
      <c r="N54" s="296"/>
      <c r="O54" s="307" t="s">
        <v>35</v>
      </c>
      <c r="P54" s="314" t="s">
        <v>58</v>
      </c>
      <c r="Q54" s="379" t="s">
        <v>78</v>
      </c>
      <c r="R54" s="315" t="s">
        <v>78</v>
      </c>
      <c r="S54" s="176"/>
      <c r="T54" s="145"/>
      <c r="U54" s="145"/>
    </row>
    <row r="55" spans="1:21">
      <c r="A55" s="167" t="s">
        <v>75</v>
      </c>
      <c r="B55" s="55"/>
      <c r="C55" s="55"/>
      <c r="D55" s="55"/>
      <c r="E55" s="55"/>
      <c r="F55" s="459">
        <v>108.79</v>
      </c>
      <c r="G55" s="196" t="s">
        <v>661</v>
      </c>
      <c r="H55" s="55" t="s">
        <v>690</v>
      </c>
      <c r="I55" s="392">
        <v>-3.35</v>
      </c>
      <c r="J55" s="449">
        <v>-1.0783713352680211</v>
      </c>
      <c r="K55" s="492">
        <f t="shared" si="0"/>
        <v>27.104783715495262</v>
      </c>
      <c r="L55" s="395" t="s">
        <v>33</v>
      </c>
      <c r="M55" s="296" t="s">
        <v>16</v>
      </c>
      <c r="N55" s="296"/>
      <c r="O55" s="307" t="s">
        <v>35</v>
      </c>
      <c r="P55" s="314" t="s">
        <v>58</v>
      </c>
      <c r="Q55" s="379" t="s">
        <v>78</v>
      </c>
      <c r="R55" s="315" t="s">
        <v>78</v>
      </c>
      <c r="S55" s="176"/>
      <c r="T55" s="145"/>
      <c r="U55" s="145"/>
    </row>
    <row r="56" spans="1:21">
      <c r="A56" s="167" t="s">
        <v>75</v>
      </c>
      <c r="B56" s="55"/>
      <c r="C56" s="55"/>
      <c r="D56" s="55"/>
      <c r="E56" s="55"/>
      <c r="F56" s="459">
        <v>108.89</v>
      </c>
      <c r="G56" s="196" t="s">
        <v>661</v>
      </c>
      <c r="H56" s="55" t="s">
        <v>690</v>
      </c>
      <c r="I56" s="392">
        <v>-3.23</v>
      </c>
      <c r="J56" s="449">
        <v>-1.0783713352680211</v>
      </c>
      <c r="K56" s="492">
        <f t="shared" si="0"/>
        <v>26.500212536337052</v>
      </c>
      <c r="L56" s="395" t="s">
        <v>33</v>
      </c>
      <c r="M56" s="296" t="s">
        <v>16</v>
      </c>
      <c r="N56" s="296"/>
      <c r="O56" s="307" t="s">
        <v>35</v>
      </c>
      <c r="P56" s="314" t="s">
        <v>58</v>
      </c>
      <c r="Q56" s="379" t="s">
        <v>78</v>
      </c>
      <c r="R56" s="315" t="s">
        <v>78</v>
      </c>
      <c r="S56" s="176"/>
      <c r="T56" s="145"/>
      <c r="U56" s="145"/>
    </row>
    <row r="57" spans="1:21">
      <c r="A57" s="167" t="s">
        <v>75</v>
      </c>
      <c r="B57" s="55"/>
      <c r="C57" s="55"/>
      <c r="D57" s="55"/>
      <c r="E57" s="55"/>
      <c r="F57" s="459">
        <v>108.98</v>
      </c>
      <c r="G57" s="196" t="s">
        <v>661</v>
      </c>
      <c r="H57" s="55" t="s">
        <v>690</v>
      </c>
      <c r="I57" s="392">
        <v>-3.43</v>
      </c>
      <c r="J57" s="449">
        <v>-1.0783713352680211</v>
      </c>
      <c r="K57" s="492">
        <f t="shared" si="0"/>
        <v>27.509271168267404</v>
      </c>
      <c r="L57" s="395" t="s">
        <v>33</v>
      </c>
      <c r="M57" s="296" t="s">
        <v>16</v>
      </c>
      <c r="N57" s="296"/>
      <c r="O57" s="307" t="s">
        <v>35</v>
      </c>
      <c r="P57" s="314" t="s">
        <v>58</v>
      </c>
      <c r="Q57" s="379" t="s">
        <v>78</v>
      </c>
      <c r="R57" s="315" t="s">
        <v>78</v>
      </c>
      <c r="S57" s="176"/>
      <c r="T57" s="145"/>
      <c r="U57" s="145"/>
    </row>
    <row r="58" spans="1:21">
      <c r="A58" s="167" t="s">
        <v>75</v>
      </c>
      <c r="B58" s="55"/>
      <c r="C58" s="55"/>
      <c r="D58" s="55"/>
      <c r="E58" s="55"/>
      <c r="F58" s="459">
        <v>109.04</v>
      </c>
      <c r="G58" s="196" t="s">
        <v>661</v>
      </c>
      <c r="H58" s="55" t="s">
        <v>690</v>
      </c>
      <c r="I58" s="392">
        <v>-3.47</v>
      </c>
      <c r="J58" s="449">
        <v>-1.0783713352680211</v>
      </c>
      <c r="K58" s="492">
        <f t="shared" si="0"/>
        <v>27.711946894653476</v>
      </c>
      <c r="L58" s="395" t="s">
        <v>33</v>
      </c>
      <c r="M58" s="296" t="s">
        <v>16</v>
      </c>
      <c r="N58" s="296"/>
      <c r="O58" s="307" t="s">
        <v>35</v>
      </c>
      <c r="P58" s="314" t="s">
        <v>58</v>
      </c>
      <c r="Q58" s="379" t="s">
        <v>78</v>
      </c>
      <c r="R58" s="315" t="s">
        <v>78</v>
      </c>
      <c r="S58" s="176"/>
      <c r="T58" s="145"/>
      <c r="U58" s="145"/>
    </row>
    <row r="59" spans="1:21">
      <c r="A59" s="167" t="s">
        <v>75</v>
      </c>
      <c r="B59" s="55"/>
      <c r="C59" s="55"/>
      <c r="D59" s="55"/>
      <c r="E59" s="55"/>
      <c r="F59" s="459">
        <v>109.23</v>
      </c>
      <c r="G59" s="196" t="s">
        <v>660</v>
      </c>
      <c r="H59" s="55" t="s">
        <v>690</v>
      </c>
      <c r="I59" s="392">
        <v>-2.94</v>
      </c>
      <c r="J59" s="449">
        <v>-1.0783713352680211</v>
      </c>
      <c r="K59" s="491">
        <f t="shared" si="0"/>
        <v>25.049866520038041</v>
      </c>
      <c r="L59" s="395" t="s">
        <v>33</v>
      </c>
      <c r="M59" s="296" t="s">
        <v>16</v>
      </c>
      <c r="N59" s="296"/>
      <c r="O59" s="307" t="s">
        <v>35</v>
      </c>
      <c r="P59" s="314" t="s">
        <v>58</v>
      </c>
      <c r="Q59" s="379" t="s">
        <v>78</v>
      </c>
      <c r="R59" s="315" t="s">
        <v>78</v>
      </c>
      <c r="S59" s="176"/>
      <c r="T59" s="145"/>
      <c r="U59" s="145"/>
    </row>
    <row r="60" spans="1:21">
      <c r="A60" s="177" t="s">
        <v>75</v>
      </c>
      <c r="B60" s="221"/>
      <c r="C60" s="221"/>
      <c r="D60" s="221"/>
      <c r="E60" s="221"/>
      <c r="F60" s="393">
        <v>109.95</v>
      </c>
      <c r="G60" s="226" t="s">
        <v>196</v>
      </c>
      <c r="H60" s="221" t="s">
        <v>691</v>
      </c>
      <c r="I60" s="394">
        <v>-1.65</v>
      </c>
      <c r="J60" s="456">
        <v>-1.0783713352680211</v>
      </c>
      <c r="K60" s="493">
        <f t="shared" si="0"/>
        <v>18.781765344087276</v>
      </c>
      <c r="L60" s="229" t="s">
        <v>33</v>
      </c>
      <c r="M60" s="386" t="s">
        <v>16</v>
      </c>
      <c r="N60" s="386"/>
      <c r="O60" s="387" t="s">
        <v>35</v>
      </c>
      <c r="P60" s="388" t="s">
        <v>58</v>
      </c>
      <c r="Q60" s="389" t="s">
        <v>78</v>
      </c>
      <c r="R60" s="315" t="s">
        <v>78</v>
      </c>
      <c r="S60" s="176" t="s">
        <v>708</v>
      </c>
      <c r="T60" s="145"/>
      <c r="U60" s="145"/>
    </row>
    <row r="61" spans="1:21">
      <c r="A61" s="167" t="s">
        <v>75</v>
      </c>
      <c r="B61" s="55"/>
      <c r="C61" s="55"/>
      <c r="D61" s="55"/>
      <c r="E61" s="55"/>
      <c r="F61" s="196">
        <v>97.46</v>
      </c>
      <c r="G61" s="196"/>
      <c r="H61" s="55" t="s">
        <v>370</v>
      </c>
      <c r="I61" s="243">
        <v>-3.85</v>
      </c>
      <c r="J61" s="449">
        <v>-1.0783713352680211</v>
      </c>
      <c r="K61" s="491">
        <f t="shared" si="0"/>
        <v>29.651730295321141</v>
      </c>
      <c r="L61" s="395" t="s">
        <v>80</v>
      </c>
      <c r="M61" s="296" t="s">
        <v>74</v>
      </c>
      <c r="N61" s="297"/>
      <c r="O61" s="307" t="s">
        <v>35</v>
      </c>
      <c r="P61" s="314" t="s">
        <v>58</v>
      </c>
      <c r="Q61" s="379" t="s">
        <v>78</v>
      </c>
      <c r="R61" s="315" t="s">
        <v>78</v>
      </c>
      <c r="S61" s="176"/>
      <c r="T61" s="145"/>
      <c r="U61" s="145"/>
    </row>
    <row r="62" spans="1:21">
      <c r="A62" s="167" t="s">
        <v>75</v>
      </c>
      <c r="B62" s="55"/>
      <c r="C62" s="55"/>
      <c r="D62" s="55"/>
      <c r="E62" s="55"/>
      <c r="F62" s="196">
        <v>97.89</v>
      </c>
      <c r="G62" s="196"/>
      <c r="H62" s="55" t="s">
        <v>370</v>
      </c>
      <c r="I62" s="243">
        <v>-3.87</v>
      </c>
      <c r="J62" s="449">
        <v>-1.0783713352680211</v>
      </c>
      <c r="K62" s="491">
        <f t="shared" si="0"/>
        <v>29.754544158514175</v>
      </c>
      <c r="L62" s="395" t="s">
        <v>80</v>
      </c>
      <c r="M62" s="296" t="s">
        <v>74</v>
      </c>
      <c r="N62" s="297"/>
      <c r="O62" s="307" t="s">
        <v>35</v>
      </c>
      <c r="P62" s="314" t="s">
        <v>58</v>
      </c>
      <c r="Q62" s="379" t="s">
        <v>78</v>
      </c>
      <c r="R62" s="315" t="s">
        <v>78</v>
      </c>
      <c r="S62" s="176"/>
      <c r="T62" s="145"/>
      <c r="U62" s="145"/>
    </row>
    <row r="63" spans="1:21">
      <c r="A63" s="167" t="s">
        <v>75</v>
      </c>
      <c r="B63" s="55"/>
      <c r="C63" s="55"/>
      <c r="D63" s="55"/>
      <c r="E63" s="55"/>
      <c r="F63" s="196">
        <v>100.44</v>
      </c>
      <c r="G63" s="196"/>
      <c r="H63" s="55" t="s">
        <v>370</v>
      </c>
      <c r="I63" s="243">
        <v>-3.97</v>
      </c>
      <c r="J63" s="449">
        <v>-1.0783713352680211</v>
      </c>
      <c r="K63" s="491">
        <f t="shared" si="0"/>
        <v>30.269693474479354</v>
      </c>
      <c r="L63" s="395" t="s">
        <v>80</v>
      </c>
      <c r="M63" s="296" t="s">
        <v>74</v>
      </c>
      <c r="N63" s="297"/>
      <c r="O63" s="307" t="s">
        <v>35</v>
      </c>
      <c r="P63" s="314" t="s">
        <v>58</v>
      </c>
      <c r="Q63" s="379" t="s">
        <v>78</v>
      </c>
      <c r="R63" s="315" t="s">
        <v>78</v>
      </c>
      <c r="S63" s="176"/>
      <c r="T63" s="145"/>
      <c r="U63" s="145"/>
    </row>
    <row r="64" spans="1:21">
      <c r="A64" s="167" t="s">
        <v>75</v>
      </c>
      <c r="B64" s="55"/>
      <c r="C64" s="55"/>
      <c r="D64" s="55"/>
      <c r="E64" s="55"/>
      <c r="F64" s="196">
        <v>102.19</v>
      </c>
      <c r="G64" s="196"/>
      <c r="H64" s="55" t="s">
        <v>370</v>
      </c>
      <c r="I64" s="243">
        <v>-3.67</v>
      </c>
      <c r="J64" s="449">
        <v>-1.0783713352680211</v>
      </c>
      <c r="K64" s="491">
        <f t="shared" si="0"/>
        <v>28.729645526583823</v>
      </c>
      <c r="L64" s="395" t="s">
        <v>80</v>
      </c>
      <c r="M64" s="296" t="s">
        <v>74</v>
      </c>
      <c r="N64" s="297"/>
      <c r="O64" s="307" t="s">
        <v>35</v>
      </c>
      <c r="P64" s="314" t="s">
        <v>58</v>
      </c>
      <c r="Q64" s="379" t="s">
        <v>78</v>
      </c>
      <c r="R64" s="315" t="s">
        <v>78</v>
      </c>
      <c r="S64" s="176"/>
      <c r="T64" s="145"/>
      <c r="U64" s="145"/>
    </row>
    <row r="65" spans="1:21">
      <c r="A65" s="167" t="s">
        <v>75</v>
      </c>
      <c r="B65" s="55"/>
      <c r="C65" s="55"/>
      <c r="D65" s="55"/>
      <c r="E65" s="55"/>
      <c r="F65" s="244">
        <v>102.67</v>
      </c>
      <c r="G65" s="196"/>
      <c r="H65" s="55" t="s">
        <v>370</v>
      </c>
      <c r="I65" s="322">
        <v>-3.61</v>
      </c>
      <c r="J65" s="449">
        <v>-1.0783713352680211</v>
      </c>
      <c r="K65" s="491">
        <f t="shared" si="0"/>
        <v>28.423579937004721</v>
      </c>
      <c r="L65" s="395" t="s">
        <v>80</v>
      </c>
      <c r="M65" s="296" t="s">
        <v>74</v>
      </c>
      <c r="N65" s="297"/>
      <c r="O65" s="307" t="s">
        <v>35</v>
      </c>
      <c r="P65" s="314" t="s">
        <v>58</v>
      </c>
      <c r="Q65" s="379" t="s">
        <v>78</v>
      </c>
      <c r="R65" s="315" t="s">
        <v>78</v>
      </c>
      <c r="S65" s="176"/>
      <c r="T65" s="145"/>
      <c r="U65" s="145"/>
    </row>
    <row r="66" spans="1:21">
      <c r="A66" s="167" t="s">
        <v>75</v>
      </c>
      <c r="B66" s="55"/>
      <c r="C66" s="55"/>
      <c r="D66" s="55"/>
      <c r="E66" s="55"/>
      <c r="F66" s="244">
        <v>103.62</v>
      </c>
      <c r="G66" s="196"/>
      <c r="H66" s="55" t="s">
        <v>370</v>
      </c>
      <c r="I66" s="322">
        <v>-3.95</v>
      </c>
      <c r="J66" s="449">
        <v>-1.0783713352680211</v>
      </c>
      <c r="K66" s="491">
        <f t="shared" si="0"/>
        <v>30.166519611286319</v>
      </c>
      <c r="L66" s="395" t="s">
        <v>80</v>
      </c>
      <c r="M66" s="296" t="s">
        <v>74</v>
      </c>
      <c r="N66" s="297"/>
      <c r="O66" s="307" t="s">
        <v>35</v>
      </c>
      <c r="P66" s="314" t="s">
        <v>58</v>
      </c>
      <c r="Q66" s="379" t="s">
        <v>78</v>
      </c>
      <c r="R66" s="315" t="s">
        <v>78</v>
      </c>
      <c r="S66" s="176"/>
      <c r="T66" s="145"/>
      <c r="U66" s="145"/>
    </row>
    <row r="67" spans="1:21">
      <c r="A67" s="167" t="s">
        <v>75</v>
      </c>
      <c r="B67" s="55"/>
      <c r="C67" s="55"/>
      <c r="D67" s="55"/>
      <c r="E67" s="55"/>
      <c r="F67" s="244">
        <v>105.04</v>
      </c>
      <c r="G67" s="196"/>
      <c r="H67" s="55" t="s">
        <v>370</v>
      </c>
      <c r="I67" s="322">
        <v>-3.46</v>
      </c>
      <c r="J67" s="449">
        <v>-1.0783713352680211</v>
      </c>
      <c r="K67" s="491">
        <f t="shared" si="0"/>
        <v>27.661250963056954</v>
      </c>
      <c r="L67" s="395" t="s">
        <v>80</v>
      </c>
      <c r="M67" s="296" t="s">
        <v>74</v>
      </c>
      <c r="N67" s="297"/>
      <c r="O67" s="307" t="s">
        <v>35</v>
      </c>
      <c r="P67" s="314" t="s">
        <v>58</v>
      </c>
      <c r="Q67" s="379" t="s">
        <v>78</v>
      </c>
      <c r="R67" s="315" t="s">
        <v>78</v>
      </c>
      <c r="S67" s="176"/>
      <c r="T67" s="145"/>
      <c r="U67" s="145"/>
    </row>
    <row r="68" spans="1:21">
      <c r="A68" s="167" t="s">
        <v>75</v>
      </c>
      <c r="B68" s="55"/>
      <c r="C68" s="55"/>
      <c r="D68" s="55"/>
      <c r="E68" s="55"/>
      <c r="F68" s="463">
        <v>106.52</v>
      </c>
      <c r="G68" s="196" t="s">
        <v>661</v>
      </c>
      <c r="H68" s="55" t="s">
        <v>690</v>
      </c>
      <c r="I68" s="322">
        <v>-3.77</v>
      </c>
      <c r="J68" s="449">
        <v>-1.0783713352680211</v>
      </c>
      <c r="K68" s="492">
        <f t="shared" si="0"/>
        <v>29.241194842548996</v>
      </c>
      <c r="L68" s="395" t="s">
        <v>80</v>
      </c>
      <c r="M68" s="296" t="s">
        <v>74</v>
      </c>
      <c r="N68" s="297"/>
      <c r="O68" s="307" t="s">
        <v>35</v>
      </c>
      <c r="P68" s="314" t="s">
        <v>58</v>
      </c>
      <c r="Q68" s="379" t="s">
        <v>78</v>
      </c>
      <c r="R68" s="315" t="s">
        <v>78</v>
      </c>
      <c r="S68" s="176"/>
      <c r="T68" s="145"/>
      <c r="U68" s="145"/>
    </row>
    <row r="69" spans="1:21">
      <c r="A69" s="167" t="s">
        <v>75</v>
      </c>
      <c r="B69" s="55"/>
      <c r="C69" s="55"/>
      <c r="D69" s="55"/>
      <c r="E69" s="55"/>
      <c r="F69" s="463">
        <v>106.89</v>
      </c>
      <c r="G69" s="196" t="s">
        <v>661</v>
      </c>
      <c r="H69" s="55" t="s">
        <v>690</v>
      </c>
      <c r="I69" s="322">
        <v>-3.54</v>
      </c>
      <c r="J69" s="449">
        <v>-1.0783713352680211</v>
      </c>
      <c r="K69" s="492">
        <f t="shared" si="0"/>
        <v>28.067322415829093</v>
      </c>
      <c r="L69" s="395" t="s">
        <v>80</v>
      </c>
      <c r="M69" s="296" t="s">
        <v>74</v>
      </c>
      <c r="N69" s="297"/>
      <c r="O69" s="307" t="s">
        <v>35</v>
      </c>
      <c r="P69" s="314" t="s">
        <v>58</v>
      </c>
      <c r="Q69" s="379" t="s">
        <v>78</v>
      </c>
      <c r="R69" s="315" t="s">
        <v>78</v>
      </c>
      <c r="S69" s="176"/>
      <c r="T69" s="145"/>
      <c r="U69" s="145"/>
    </row>
    <row r="70" spans="1:21">
      <c r="A70" s="167" t="s">
        <v>75</v>
      </c>
      <c r="B70" s="55"/>
      <c r="C70" s="55"/>
      <c r="D70" s="55"/>
      <c r="E70" s="55"/>
      <c r="F70" s="463">
        <v>107.21</v>
      </c>
      <c r="G70" s="196" t="s">
        <v>661</v>
      </c>
      <c r="H70" s="55" t="s">
        <v>690</v>
      </c>
      <c r="I70" s="322">
        <v>-3.51</v>
      </c>
      <c r="J70" s="449">
        <v>-1.0783713352680211</v>
      </c>
      <c r="K70" s="492">
        <f t="shared" si="0"/>
        <v>27.914910621039542</v>
      </c>
      <c r="L70" s="395" t="s">
        <v>80</v>
      </c>
      <c r="M70" s="296" t="s">
        <v>74</v>
      </c>
      <c r="N70" s="297"/>
      <c r="O70" s="307" t="s">
        <v>35</v>
      </c>
      <c r="P70" s="314" t="s">
        <v>58</v>
      </c>
      <c r="Q70" s="379" t="s">
        <v>78</v>
      </c>
      <c r="R70" s="315" t="s">
        <v>78</v>
      </c>
      <c r="S70" s="176"/>
      <c r="T70" s="145"/>
      <c r="U70" s="145"/>
    </row>
    <row r="71" spans="1:21">
      <c r="A71" s="167" t="s">
        <v>75</v>
      </c>
      <c r="B71" s="55"/>
      <c r="C71" s="55"/>
      <c r="D71" s="55"/>
      <c r="E71" s="55"/>
      <c r="F71" s="463">
        <v>107.4</v>
      </c>
      <c r="G71" s="196" t="s">
        <v>661</v>
      </c>
      <c r="H71" s="55" t="s">
        <v>690</v>
      </c>
      <c r="I71" s="322">
        <v>-3.97</v>
      </c>
      <c r="J71" s="449">
        <v>-1.0783713352680211</v>
      </c>
      <c r="K71" s="492">
        <f t="shared" si="0"/>
        <v>30.269693474479354</v>
      </c>
      <c r="L71" s="395" t="s">
        <v>80</v>
      </c>
      <c r="M71" s="296" t="s">
        <v>74</v>
      </c>
      <c r="N71" s="297"/>
      <c r="O71" s="307" t="s">
        <v>35</v>
      </c>
      <c r="P71" s="314" t="s">
        <v>58</v>
      </c>
      <c r="Q71" s="379" t="s">
        <v>78</v>
      </c>
      <c r="R71" s="315" t="s">
        <v>78</v>
      </c>
      <c r="S71" s="176"/>
      <c r="T71" s="145"/>
      <c r="U71" s="145"/>
    </row>
    <row r="72" spans="1:21">
      <c r="A72" s="167" t="s">
        <v>75</v>
      </c>
      <c r="B72" s="55"/>
      <c r="C72" s="55"/>
      <c r="D72" s="55"/>
      <c r="E72" s="55"/>
      <c r="F72" s="463">
        <v>107.5</v>
      </c>
      <c r="G72" s="196" t="s">
        <v>661</v>
      </c>
      <c r="H72" s="55" t="s">
        <v>690</v>
      </c>
      <c r="I72" s="322">
        <v>-3.95</v>
      </c>
      <c r="J72" s="449">
        <v>-1.0783713352680211</v>
      </c>
      <c r="K72" s="492">
        <f t="shared" si="0"/>
        <v>30.166519611286319</v>
      </c>
      <c r="L72" s="395" t="s">
        <v>80</v>
      </c>
      <c r="M72" s="296" t="s">
        <v>74</v>
      </c>
      <c r="N72" s="297"/>
      <c r="O72" s="307" t="s">
        <v>35</v>
      </c>
      <c r="P72" s="314" t="s">
        <v>58</v>
      </c>
      <c r="Q72" s="379" t="s">
        <v>78</v>
      </c>
      <c r="R72" s="315" t="s">
        <v>78</v>
      </c>
      <c r="S72" s="176"/>
      <c r="T72" s="145"/>
      <c r="U72" s="145"/>
    </row>
    <row r="73" spans="1:21">
      <c r="A73" s="167" t="s">
        <v>75</v>
      </c>
      <c r="B73" s="55"/>
      <c r="C73" s="55"/>
      <c r="D73" s="55"/>
      <c r="E73" s="55"/>
      <c r="F73" s="463">
        <v>107.75</v>
      </c>
      <c r="G73" s="196" t="s">
        <v>661</v>
      </c>
      <c r="H73" s="55" t="s">
        <v>690</v>
      </c>
      <c r="I73" s="322">
        <v>-4.0999999999999996</v>
      </c>
      <c r="J73" s="449">
        <v>-1.0783713352680211</v>
      </c>
      <c r="K73" s="492">
        <f t="shared" si="0"/>
        <v>30.942078585234075</v>
      </c>
      <c r="L73" s="395" t="s">
        <v>80</v>
      </c>
      <c r="M73" s="296" t="s">
        <v>74</v>
      </c>
      <c r="N73" s="297"/>
      <c r="O73" s="307" t="s">
        <v>35</v>
      </c>
      <c r="P73" s="314" t="s">
        <v>58</v>
      </c>
      <c r="Q73" s="379" t="s">
        <v>78</v>
      </c>
      <c r="R73" s="315" t="s">
        <v>78</v>
      </c>
      <c r="S73" s="176"/>
      <c r="T73" s="145"/>
      <c r="U73" s="145"/>
    </row>
    <row r="74" spans="1:21">
      <c r="A74" s="167" t="s">
        <v>75</v>
      </c>
      <c r="B74" s="55"/>
      <c r="C74" s="55"/>
      <c r="D74" s="55"/>
      <c r="E74" s="55"/>
      <c r="F74" s="463">
        <v>107.9</v>
      </c>
      <c r="G74" s="196" t="s">
        <v>661</v>
      </c>
      <c r="H74" s="55" t="s">
        <v>690</v>
      </c>
      <c r="I74" s="322">
        <v>-3.77</v>
      </c>
      <c r="J74" s="449">
        <v>-1.0783713352680211</v>
      </c>
      <c r="K74" s="492">
        <f t="shared" ref="K74:K81" si="1">16.1-4.64*($I74-J74)+0.09*($I74-J74)^2</f>
        <v>29.241194842548996</v>
      </c>
      <c r="L74" s="395" t="s">
        <v>80</v>
      </c>
      <c r="M74" s="296" t="s">
        <v>74</v>
      </c>
      <c r="N74" s="297"/>
      <c r="O74" s="307" t="s">
        <v>35</v>
      </c>
      <c r="P74" s="314" t="s">
        <v>58</v>
      </c>
      <c r="Q74" s="379" t="s">
        <v>78</v>
      </c>
      <c r="R74" s="315" t="s">
        <v>78</v>
      </c>
      <c r="S74" s="176"/>
      <c r="T74" s="145"/>
      <c r="U74" s="145"/>
    </row>
    <row r="75" spans="1:21">
      <c r="A75" s="167" t="s">
        <v>75</v>
      </c>
      <c r="B75" s="55"/>
      <c r="C75" s="55"/>
      <c r="D75" s="55"/>
      <c r="E75" s="55"/>
      <c r="F75" s="463">
        <v>108.05</v>
      </c>
      <c r="G75" s="196" t="s">
        <v>661</v>
      </c>
      <c r="H75" s="55" t="s">
        <v>690</v>
      </c>
      <c r="I75" s="322">
        <v>-4.24</v>
      </c>
      <c r="J75" s="449">
        <v>-1.0783713352680211</v>
      </c>
      <c r="K75" s="492">
        <f t="shared" si="1"/>
        <v>31.669587627585329</v>
      </c>
      <c r="L75" s="395" t="s">
        <v>80</v>
      </c>
      <c r="M75" s="296" t="s">
        <v>74</v>
      </c>
      <c r="N75" s="297"/>
      <c r="O75" s="307" t="s">
        <v>35</v>
      </c>
      <c r="P75" s="314" t="s">
        <v>58</v>
      </c>
      <c r="Q75" s="379" t="s">
        <v>78</v>
      </c>
      <c r="R75" s="315" t="s">
        <v>78</v>
      </c>
      <c r="S75" s="176"/>
      <c r="T75" s="145"/>
      <c r="U75" s="145"/>
    </row>
    <row r="76" spans="1:21">
      <c r="A76" s="167" t="s">
        <v>75</v>
      </c>
      <c r="B76" s="55"/>
      <c r="C76" s="55"/>
      <c r="D76" s="55"/>
      <c r="E76" s="55"/>
      <c r="F76" s="463">
        <v>108.05</v>
      </c>
      <c r="G76" s="196" t="s">
        <v>661</v>
      </c>
      <c r="H76" s="55" t="s">
        <v>690</v>
      </c>
      <c r="I76" s="322">
        <v>-3.97</v>
      </c>
      <c r="J76" s="449">
        <v>-1.0783713352680211</v>
      </c>
      <c r="K76" s="492">
        <f t="shared" si="1"/>
        <v>30.269693474479354</v>
      </c>
      <c r="L76" s="395" t="s">
        <v>80</v>
      </c>
      <c r="M76" s="296" t="s">
        <v>74</v>
      </c>
      <c r="N76" s="297"/>
      <c r="O76" s="307" t="s">
        <v>35</v>
      </c>
      <c r="P76" s="314" t="s">
        <v>58</v>
      </c>
      <c r="Q76" s="379" t="s">
        <v>78</v>
      </c>
      <c r="R76" s="315" t="s">
        <v>78</v>
      </c>
      <c r="S76" s="176"/>
      <c r="T76" s="145"/>
      <c r="U76" s="145"/>
    </row>
    <row r="77" spans="1:21">
      <c r="A77" s="167" t="s">
        <v>75</v>
      </c>
      <c r="B77" s="55"/>
      <c r="C77" s="55"/>
      <c r="D77" s="55"/>
      <c r="E77" s="55"/>
      <c r="F77" s="463">
        <v>108.27</v>
      </c>
      <c r="G77" s="196" t="s">
        <v>661</v>
      </c>
      <c r="H77" s="55" t="s">
        <v>690</v>
      </c>
      <c r="I77" s="322">
        <v>-3.7</v>
      </c>
      <c r="J77" s="449">
        <v>-1.0783713352680211</v>
      </c>
      <c r="K77" s="492">
        <f t="shared" si="1"/>
        <v>28.882921321373377</v>
      </c>
      <c r="L77" s="395" t="s">
        <v>80</v>
      </c>
      <c r="M77" s="296" t="s">
        <v>74</v>
      </c>
      <c r="N77" s="297"/>
      <c r="O77" s="307" t="s">
        <v>35</v>
      </c>
      <c r="P77" s="314" t="s">
        <v>58</v>
      </c>
      <c r="Q77" s="379" t="s">
        <v>78</v>
      </c>
      <c r="R77" s="315" t="s">
        <v>78</v>
      </c>
      <c r="S77" s="176"/>
      <c r="T77" s="145"/>
      <c r="U77" s="145"/>
    </row>
    <row r="78" spans="1:21">
      <c r="A78" s="167" t="s">
        <v>75</v>
      </c>
      <c r="B78" s="55"/>
      <c r="C78" s="55"/>
      <c r="D78" s="55"/>
      <c r="E78" s="55"/>
      <c r="F78" s="463">
        <v>108.59</v>
      </c>
      <c r="G78" s="196" t="s">
        <v>661</v>
      </c>
      <c r="H78" s="55" t="s">
        <v>690</v>
      </c>
      <c r="I78" s="322">
        <v>-3.46</v>
      </c>
      <c r="J78" s="449">
        <v>-1.0783713352680211</v>
      </c>
      <c r="K78" s="492">
        <f t="shared" si="1"/>
        <v>27.661250963056954</v>
      </c>
      <c r="L78" s="395" t="s">
        <v>80</v>
      </c>
      <c r="M78" s="296" t="s">
        <v>74</v>
      </c>
      <c r="N78" s="297"/>
      <c r="O78" s="307" t="s">
        <v>35</v>
      </c>
      <c r="P78" s="314" t="s">
        <v>58</v>
      </c>
      <c r="Q78" s="379" t="s">
        <v>78</v>
      </c>
      <c r="R78" s="315" t="s">
        <v>78</v>
      </c>
      <c r="S78" s="176"/>
      <c r="T78" s="145"/>
      <c r="U78" s="145"/>
    </row>
    <row r="79" spans="1:21">
      <c r="A79" s="167" t="s">
        <v>75</v>
      </c>
      <c r="B79" s="55"/>
      <c r="C79" s="55"/>
      <c r="D79" s="55"/>
      <c r="E79" s="55"/>
      <c r="F79" s="463">
        <v>108.69</v>
      </c>
      <c r="G79" s="196" t="s">
        <v>661</v>
      </c>
      <c r="H79" s="55" t="s">
        <v>690</v>
      </c>
      <c r="I79" s="322">
        <v>-3.93</v>
      </c>
      <c r="J79" s="449">
        <v>-1.0783713352680211</v>
      </c>
      <c r="K79" s="492">
        <f t="shared" si="1"/>
        <v>30.063417748093283</v>
      </c>
      <c r="L79" s="395" t="s">
        <v>80</v>
      </c>
      <c r="M79" s="296" t="s">
        <v>74</v>
      </c>
      <c r="N79" s="297"/>
      <c r="O79" s="307" t="s">
        <v>35</v>
      </c>
      <c r="P79" s="314" t="s">
        <v>58</v>
      </c>
      <c r="Q79" s="379" t="s">
        <v>78</v>
      </c>
      <c r="R79" s="315" t="s">
        <v>78</v>
      </c>
      <c r="S79" s="176"/>
      <c r="T79" s="145"/>
      <c r="U79" s="145"/>
    </row>
    <row r="80" spans="1:21">
      <c r="A80" s="167" t="s">
        <v>75</v>
      </c>
      <c r="B80" s="55"/>
      <c r="C80" s="55"/>
      <c r="D80" s="55"/>
      <c r="E80" s="55"/>
      <c r="F80" s="463">
        <v>108.79</v>
      </c>
      <c r="G80" s="196" t="s">
        <v>661</v>
      </c>
      <c r="H80" s="55" t="s">
        <v>690</v>
      </c>
      <c r="I80" s="322">
        <v>-3.56</v>
      </c>
      <c r="J80" s="449">
        <v>-1.0783713352680211</v>
      </c>
      <c r="K80" s="492">
        <f t="shared" si="1"/>
        <v>28.169020279022131</v>
      </c>
      <c r="L80" s="395" t="s">
        <v>80</v>
      </c>
      <c r="M80" s="296" t="s">
        <v>74</v>
      </c>
      <c r="N80" s="297"/>
      <c r="O80" s="307" t="s">
        <v>35</v>
      </c>
      <c r="P80" s="314" t="s">
        <v>58</v>
      </c>
      <c r="Q80" s="379" t="s">
        <v>78</v>
      </c>
      <c r="R80" s="315" t="s">
        <v>78</v>
      </c>
      <c r="S80" s="176"/>
      <c r="T80" s="145"/>
      <c r="U80" s="145"/>
    </row>
    <row r="81" spans="1:21">
      <c r="A81" s="177" t="s">
        <v>75</v>
      </c>
      <c r="B81" s="221"/>
      <c r="C81" s="221"/>
      <c r="D81" s="221"/>
      <c r="E81" s="221"/>
      <c r="F81" s="397">
        <v>109.12</v>
      </c>
      <c r="G81" s="226" t="s">
        <v>661</v>
      </c>
      <c r="H81" s="221" t="s">
        <v>690</v>
      </c>
      <c r="I81" s="398">
        <v>-3.42</v>
      </c>
      <c r="J81" s="456">
        <v>-1.0783713352680211</v>
      </c>
      <c r="K81" s="495">
        <f t="shared" si="1"/>
        <v>27.458647236670888</v>
      </c>
      <c r="L81" s="229" t="s">
        <v>80</v>
      </c>
      <c r="M81" s="386" t="s">
        <v>74</v>
      </c>
      <c r="N81" s="399"/>
      <c r="O81" s="387" t="s">
        <v>35</v>
      </c>
      <c r="P81" s="388" t="s">
        <v>58</v>
      </c>
      <c r="Q81" s="389" t="s">
        <v>78</v>
      </c>
      <c r="R81" s="315" t="s">
        <v>78</v>
      </c>
      <c r="S81" s="176"/>
      <c r="T81" s="145"/>
      <c r="U81" s="145"/>
    </row>
    <row r="82" spans="1:21">
      <c r="A82" s="167" t="s">
        <v>75</v>
      </c>
      <c r="B82" s="55"/>
      <c r="C82" s="55"/>
      <c r="D82" s="55"/>
      <c r="E82" s="55"/>
      <c r="F82" s="196">
        <v>94.4</v>
      </c>
      <c r="G82" s="196"/>
      <c r="H82" s="55" t="s">
        <v>370</v>
      </c>
      <c r="I82" s="243">
        <v>-2.04</v>
      </c>
      <c r="J82" s="449">
        <v>-1.0783713352680211</v>
      </c>
      <c r="K82" s="491">
        <f t="shared" ref="K82:K107" si="2">16.1-4.64*($I82-J82)+0.09*($I82-J82)^2</f>
        <v>20.64518267635146</v>
      </c>
      <c r="L82" s="562" t="s">
        <v>665</v>
      </c>
      <c r="M82" s="296" t="s">
        <v>74</v>
      </c>
      <c r="N82" s="297"/>
      <c r="O82" s="298" t="s">
        <v>44</v>
      </c>
      <c r="P82" s="314" t="s">
        <v>58</v>
      </c>
      <c r="Q82" s="379" t="s">
        <v>78</v>
      </c>
      <c r="R82" s="315" t="s">
        <v>78</v>
      </c>
      <c r="S82" s="176"/>
      <c r="T82" s="145"/>
      <c r="U82" s="145"/>
    </row>
    <row r="83" spans="1:21">
      <c r="A83" s="167" t="s">
        <v>75</v>
      </c>
      <c r="B83" s="55"/>
      <c r="C83" s="55"/>
      <c r="D83" s="55"/>
      <c r="E83" s="55"/>
      <c r="F83" s="196">
        <v>97.89</v>
      </c>
      <c r="G83" s="196"/>
      <c r="H83" s="55" t="s">
        <v>370</v>
      </c>
      <c r="I83" s="243">
        <v>-3.03</v>
      </c>
      <c r="J83" s="449">
        <v>-1.0783713352680211</v>
      </c>
      <c r="K83" s="491">
        <f t="shared" si="2"/>
        <v>25.498353904406699</v>
      </c>
      <c r="L83" s="562" t="s">
        <v>665</v>
      </c>
      <c r="M83" s="296" t="s">
        <v>74</v>
      </c>
      <c r="N83" s="297"/>
      <c r="O83" s="298" t="s">
        <v>44</v>
      </c>
      <c r="P83" s="314" t="s">
        <v>58</v>
      </c>
      <c r="Q83" s="379" t="s">
        <v>78</v>
      </c>
      <c r="R83" s="315" t="s">
        <v>78</v>
      </c>
      <c r="S83" s="176"/>
      <c r="T83" s="145"/>
      <c r="U83" s="145"/>
    </row>
    <row r="84" spans="1:21">
      <c r="A84" s="167" t="s">
        <v>75</v>
      </c>
      <c r="B84" s="55"/>
      <c r="C84" s="55"/>
      <c r="D84" s="55"/>
      <c r="E84" s="55"/>
      <c r="F84" s="196">
        <v>99.43</v>
      </c>
      <c r="G84" s="196"/>
      <c r="H84" s="55" t="s">
        <v>370</v>
      </c>
      <c r="I84" s="243">
        <v>-3.25</v>
      </c>
      <c r="J84" s="449">
        <v>-1.0783713352680211</v>
      </c>
      <c r="K84" s="491">
        <f t="shared" si="2"/>
        <v>26.600794399530088</v>
      </c>
      <c r="L84" s="562" t="s">
        <v>665</v>
      </c>
      <c r="M84" s="296" t="s">
        <v>74</v>
      </c>
      <c r="N84" s="297"/>
      <c r="O84" s="298" t="s">
        <v>44</v>
      </c>
      <c r="P84" s="314" t="s">
        <v>58</v>
      </c>
      <c r="Q84" s="379" t="s">
        <v>78</v>
      </c>
      <c r="R84" s="315" t="s">
        <v>78</v>
      </c>
      <c r="S84" s="176"/>
      <c r="T84" s="145"/>
      <c r="U84" s="145"/>
    </row>
    <row r="85" spans="1:21">
      <c r="A85" s="167" t="s">
        <v>75</v>
      </c>
      <c r="B85" s="55"/>
      <c r="C85" s="55"/>
      <c r="D85" s="55"/>
      <c r="E85" s="55"/>
      <c r="F85" s="196">
        <v>100.72</v>
      </c>
      <c r="G85" s="196"/>
      <c r="H85" s="55" t="s">
        <v>370</v>
      </c>
      <c r="I85" s="243">
        <v>-3.53</v>
      </c>
      <c r="J85" s="449">
        <v>-1.0783713352680211</v>
      </c>
      <c r="K85" s="491">
        <f t="shared" si="2"/>
        <v>28.016500484232576</v>
      </c>
      <c r="L85" s="562" t="s">
        <v>665</v>
      </c>
      <c r="M85" s="296" t="s">
        <v>74</v>
      </c>
      <c r="N85" s="297"/>
      <c r="O85" s="298" t="s">
        <v>44</v>
      </c>
      <c r="P85" s="314" t="s">
        <v>58</v>
      </c>
      <c r="Q85" s="379" t="s">
        <v>78</v>
      </c>
      <c r="R85" s="315" t="s">
        <v>78</v>
      </c>
      <c r="S85" s="176"/>
      <c r="T85" s="145"/>
      <c r="U85" s="145"/>
    </row>
    <row r="86" spans="1:21">
      <c r="A86" s="167" t="s">
        <v>75</v>
      </c>
      <c r="B86" s="55"/>
      <c r="C86" s="55"/>
      <c r="D86" s="55"/>
      <c r="E86" s="55"/>
      <c r="F86" s="244">
        <v>101.73</v>
      </c>
      <c r="G86" s="196"/>
      <c r="H86" s="55" t="s">
        <v>370</v>
      </c>
      <c r="I86" s="322">
        <v>-2.5</v>
      </c>
      <c r="J86" s="449">
        <v>-1.0783713352680211</v>
      </c>
      <c r="K86" s="491">
        <f t="shared" si="2"/>
        <v>22.878249529791269</v>
      </c>
      <c r="L86" s="562" t="s">
        <v>665</v>
      </c>
      <c r="M86" s="296" t="s">
        <v>74</v>
      </c>
      <c r="N86" s="297"/>
      <c r="O86" s="298" t="s">
        <v>44</v>
      </c>
      <c r="P86" s="314" t="s">
        <v>58</v>
      </c>
      <c r="Q86" s="379" t="s">
        <v>78</v>
      </c>
      <c r="R86" s="315" t="s">
        <v>78</v>
      </c>
      <c r="S86" s="176"/>
      <c r="T86" s="145"/>
      <c r="U86" s="145"/>
    </row>
    <row r="87" spans="1:21">
      <c r="A87" s="167" t="s">
        <v>75</v>
      </c>
      <c r="B87" s="55"/>
      <c r="C87" s="55"/>
      <c r="D87" s="55"/>
      <c r="E87" s="55"/>
      <c r="F87" s="244">
        <v>103.14</v>
      </c>
      <c r="G87" s="196"/>
      <c r="H87" s="55" t="s">
        <v>370</v>
      </c>
      <c r="I87" s="322">
        <v>-3.21</v>
      </c>
      <c r="J87" s="449">
        <v>-1.0783713352680211</v>
      </c>
      <c r="K87" s="491">
        <f t="shared" si="2"/>
        <v>26.399702673144017</v>
      </c>
      <c r="L87" s="562" t="s">
        <v>665</v>
      </c>
      <c r="M87" s="296" t="s">
        <v>74</v>
      </c>
      <c r="N87" s="297"/>
      <c r="O87" s="298" t="s">
        <v>44</v>
      </c>
      <c r="P87" s="314" t="s">
        <v>58</v>
      </c>
      <c r="Q87" s="379" t="s">
        <v>78</v>
      </c>
      <c r="R87" s="315" t="s">
        <v>78</v>
      </c>
      <c r="S87" s="176"/>
      <c r="T87" s="145"/>
      <c r="U87" s="145"/>
    </row>
    <row r="88" spans="1:21">
      <c r="A88" s="167" t="s">
        <v>75</v>
      </c>
      <c r="B88" s="55"/>
      <c r="C88" s="55"/>
      <c r="D88" s="55"/>
      <c r="E88" s="55"/>
      <c r="F88" s="244">
        <v>103.14</v>
      </c>
      <c r="G88" s="196"/>
      <c r="H88" s="55" t="s">
        <v>370</v>
      </c>
      <c r="I88" s="322">
        <v>-3.14</v>
      </c>
      <c r="J88" s="449">
        <v>-1.0783713352680211</v>
      </c>
      <c r="K88" s="491">
        <f t="shared" si="2"/>
        <v>26.048485151968396</v>
      </c>
      <c r="L88" s="562" t="s">
        <v>665</v>
      </c>
      <c r="M88" s="296" t="s">
        <v>74</v>
      </c>
      <c r="N88" s="297"/>
      <c r="O88" s="298" t="s">
        <v>44</v>
      </c>
      <c r="P88" s="314" t="s">
        <v>58</v>
      </c>
      <c r="Q88" s="379" t="s">
        <v>78</v>
      </c>
      <c r="R88" s="315" t="s">
        <v>78</v>
      </c>
      <c r="S88" s="176"/>
      <c r="T88" s="145"/>
      <c r="U88" s="145"/>
    </row>
    <row r="89" spans="1:21">
      <c r="A89" s="167" t="s">
        <v>75</v>
      </c>
      <c r="B89" s="55"/>
      <c r="C89" s="55"/>
      <c r="D89" s="55"/>
      <c r="E89" s="55"/>
      <c r="F89" s="244">
        <v>103.14</v>
      </c>
      <c r="G89" s="196"/>
      <c r="H89" s="55" t="s">
        <v>370</v>
      </c>
      <c r="I89" s="322">
        <v>-2.83</v>
      </c>
      <c r="J89" s="449">
        <v>-1.0783713352680211</v>
      </c>
      <c r="K89" s="491">
        <f t="shared" si="2"/>
        <v>24.503695272476349</v>
      </c>
      <c r="L89" s="562" t="s">
        <v>665</v>
      </c>
      <c r="M89" s="296" t="s">
        <v>74</v>
      </c>
      <c r="N89" s="297"/>
      <c r="O89" s="298" t="s">
        <v>44</v>
      </c>
      <c r="P89" s="314" t="s">
        <v>58</v>
      </c>
      <c r="Q89" s="379" t="s">
        <v>78</v>
      </c>
      <c r="R89" s="315" t="s">
        <v>78</v>
      </c>
      <c r="S89" s="176"/>
      <c r="T89" s="145"/>
      <c r="U89" s="145"/>
    </row>
    <row r="90" spans="1:21">
      <c r="A90" s="167" t="s">
        <v>75</v>
      </c>
      <c r="B90" s="55"/>
      <c r="C90" s="55"/>
      <c r="D90" s="55"/>
      <c r="E90" s="55"/>
      <c r="F90" s="244">
        <v>104.58</v>
      </c>
      <c r="G90" s="196"/>
      <c r="H90" s="55" t="s">
        <v>370</v>
      </c>
      <c r="I90" s="322">
        <v>-3.17</v>
      </c>
      <c r="J90" s="449">
        <v>-1.0783713352680211</v>
      </c>
      <c r="K90" s="491">
        <f t="shared" si="2"/>
        <v>26.198898946757943</v>
      </c>
      <c r="L90" s="562" t="s">
        <v>665</v>
      </c>
      <c r="M90" s="296" t="s">
        <v>74</v>
      </c>
      <c r="N90" s="297"/>
      <c r="O90" s="298" t="s">
        <v>44</v>
      </c>
      <c r="P90" s="314" t="s">
        <v>58</v>
      </c>
      <c r="Q90" s="379" t="s">
        <v>78</v>
      </c>
      <c r="R90" s="315" t="s">
        <v>78</v>
      </c>
      <c r="S90" s="176"/>
      <c r="T90" s="145"/>
      <c r="U90" s="145"/>
    </row>
    <row r="91" spans="1:21">
      <c r="A91" s="167" t="s">
        <v>75</v>
      </c>
      <c r="B91" s="55"/>
      <c r="C91" s="55"/>
      <c r="D91" s="55"/>
      <c r="E91" s="55"/>
      <c r="F91" s="244">
        <v>105.04</v>
      </c>
      <c r="G91" s="196"/>
      <c r="H91" s="55" t="s">
        <v>370</v>
      </c>
      <c r="I91" s="322">
        <v>-3.15</v>
      </c>
      <c r="J91" s="449">
        <v>-1.0783713352680211</v>
      </c>
      <c r="K91" s="491">
        <f t="shared" si="2"/>
        <v>26.098605083564912</v>
      </c>
      <c r="L91" s="562" t="s">
        <v>665</v>
      </c>
      <c r="M91" s="296" t="s">
        <v>74</v>
      </c>
      <c r="N91" s="297"/>
      <c r="O91" s="298" t="s">
        <v>44</v>
      </c>
      <c r="P91" s="314" t="s">
        <v>58</v>
      </c>
      <c r="Q91" s="379" t="s">
        <v>78</v>
      </c>
      <c r="R91" s="315" t="s">
        <v>78</v>
      </c>
      <c r="S91" s="176"/>
      <c r="T91" s="145"/>
      <c r="U91" s="145"/>
    </row>
    <row r="92" spans="1:21">
      <c r="A92" s="167" t="s">
        <v>75</v>
      </c>
      <c r="B92" s="55"/>
      <c r="C92" s="55"/>
      <c r="D92" s="55"/>
      <c r="E92" s="55"/>
      <c r="F92" s="463">
        <v>106.89</v>
      </c>
      <c r="G92" s="196" t="s">
        <v>20</v>
      </c>
      <c r="H92" s="55" t="s">
        <v>690</v>
      </c>
      <c r="I92" s="322">
        <v>-3.24</v>
      </c>
      <c r="J92" s="449">
        <v>-1.0783713352680211</v>
      </c>
      <c r="K92" s="491">
        <f t="shared" si="2"/>
        <v>26.550494467933571</v>
      </c>
      <c r="L92" s="562" t="s">
        <v>665</v>
      </c>
      <c r="M92" s="296" t="s">
        <v>74</v>
      </c>
      <c r="N92" s="297"/>
      <c r="O92" s="298" t="s">
        <v>44</v>
      </c>
      <c r="P92" s="314" t="s">
        <v>58</v>
      </c>
      <c r="Q92" s="379" t="s">
        <v>78</v>
      </c>
      <c r="R92" s="315" t="s">
        <v>78</v>
      </c>
      <c r="S92" s="176"/>
      <c r="T92" s="145"/>
      <c r="U92" s="145"/>
    </row>
    <row r="93" spans="1:21">
      <c r="A93" s="167" t="s">
        <v>75</v>
      </c>
      <c r="B93" s="55"/>
      <c r="C93" s="55"/>
      <c r="D93" s="55"/>
      <c r="E93" s="55"/>
      <c r="F93" s="463">
        <v>107.21</v>
      </c>
      <c r="G93" s="196" t="s">
        <v>20</v>
      </c>
      <c r="H93" s="55" t="s">
        <v>690</v>
      </c>
      <c r="I93" s="322">
        <v>-3.29</v>
      </c>
      <c r="J93" s="449">
        <v>-1.0783713352680211</v>
      </c>
      <c r="K93" s="491">
        <f t="shared" si="2"/>
        <v>26.802174125916157</v>
      </c>
      <c r="L93" s="562" t="s">
        <v>665</v>
      </c>
      <c r="M93" s="296" t="s">
        <v>74</v>
      </c>
      <c r="N93" s="297"/>
      <c r="O93" s="298" t="s">
        <v>44</v>
      </c>
      <c r="P93" s="314" t="s">
        <v>58</v>
      </c>
      <c r="Q93" s="379" t="s">
        <v>78</v>
      </c>
      <c r="R93" s="315" t="s">
        <v>78</v>
      </c>
      <c r="S93" s="176"/>
      <c r="T93" s="145"/>
      <c r="U93" s="145"/>
    </row>
    <row r="94" spans="1:21">
      <c r="A94" s="167" t="s">
        <v>75</v>
      </c>
      <c r="B94" s="55"/>
      <c r="C94" s="55"/>
      <c r="D94" s="55"/>
      <c r="E94" s="55"/>
      <c r="F94" s="463">
        <v>107.4</v>
      </c>
      <c r="G94" s="196" t="s">
        <v>20</v>
      </c>
      <c r="H94" s="55" t="s">
        <v>690</v>
      </c>
      <c r="I94" s="322">
        <v>-3.36</v>
      </c>
      <c r="J94" s="449">
        <v>-1.0783713352680211</v>
      </c>
      <c r="K94" s="491">
        <f t="shared" si="2"/>
        <v>27.155281647091776</v>
      </c>
      <c r="L94" s="562" t="s">
        <v>665</v>
      </c>
      <c r="M94" s="296" t="s">
        <v>74</v>
      </c>
      <c r="N94" s="297"/>
      <c r="O94" s="298" t="s">
        <v>44</v>
      </c>
      <c r="P94" s="314" t="s">
        <v>58</v>
      </c>
      <c r="Q94" s="379" t="s">
        <v>78</v>
      </c>
      <c r="R94" s="315" t="s">
        <v>78</v>
      </c>
      <c r="S94" s="176"/>
      <c r="T94" s="145"/>
      <c r="U94" s="145"/>
    </row>
    <row r="95" spans="1:21">
      <c r="A95" s="167" t="s">
        <v>75</v>
      </c>
      <c r="B95" s="55"/>
      <c r="C95" s="55"/>
      <c r="D95" s="55"/>
      <c r="E95" s="55"/>
      <c r="F95" s="463">
        <v>107.5</v>
      </c>
      <c r="G95" s="196" t="s">
        <v>20</v>
      </c>
      <c r="H95" s="55" t="s">
        <v>690</v>
      </c>
      <c r="I95" s="322">
        <v>-3.75</v>
      </c>
      <c r="J95" s="449">
        <v>-1.0783713352680211</v>
      </c>
      <c r="K95" s="491">
        <f t="shared" si="2"/>
        <v>29.138740979355966</v>
      </c>
      <c r="L95" s="562" t="s">
        <v>665</v>
      </c>
      <c r="M95" s="296" t="s">
        <v>74</v>
      </c>
      <c r="N95" s="297"/>
      <c r="O95" s="298" t="s">
        <v>44</v>
      </c>
      <c r="P95" s="314" t="s">
        <v>58</v>
      </c>
      <c r="Q95" s="379" t="s">
        <v>78</v>
      </c>
      <c r="R95" s="315" t="s">
        <v>78</v>
      </c>
      <c r="S95" s="176"/>
      <c r="T95" s="145"/>
      <c r="U95" s="145"/>
    </row>
    <row r="96" spans="1:21">
      <c r="A96" s="167" t="s">
        <v>75</v>
      </c>
      <c r="B96" s="55"/>
      <c r="C96" s="55"/>
      <c r="D96" s="55"/>
      <c r="E96" s="55"/>
      <c r="F96" s="463">
        <v>107.5</v>
      </c>
      <c r="G96" s="196" t="s">
        <v>20</v>
      </c>
      <c r="H96" s="55" t="s">
        <v>690</v>
      </c>
      <c r="I96" s="322">
        <v>-3</v>
      </c>
      <c r="J96" s="449">
        <v>-1.0783713352680211</v>
      </c>
      <c r="K96" s="491">
        <f t="shared" si="2"/>
        <v>25.348696109617148</v>
      </c>
      <c r="L96" s="562" t="s">
        <v>665</v>
      </c>
      <c r="M96" s="296" t="s">
        <v>74</v>
      </c>
      <c r="N96" s="297"/>
      <c r="O96" s="298" t="s">
        <v>44</v>
      </c>
      <c r="P96" s="314" t="s">
        <v>58</v>
      </c>
      <c r="Q96" s="379" t="s">
        <v>78</v>
      </c>
      <c r="R96" s="315" t="s">
        <v>78</v>
      </c>
      <c r="S96" s="176"/>
      <c r="T96" s="145"/>
      <c r="U96" s="145"/>
    </row>
    <row r="97" spans="1:21">
      <c r="A97" s="167" t="s">
        <v>75</v>
      </c>
      <c r="B97" s="55"/>
      <c r="C97" s="55"/>
      <c r="D97" s="55"/>
      <c r="E97" s="55"/>
      <c r="F97" s="463">
        <v>107.5</v>
      </c>
      <c r="G97" s="196" t="s">
        <v>20</v>
      </c>
      <c r="H97" s="55" t="s">
        <v>690</v>
      </c>
      <c r="I97" s="322">
        <v>-3.75</v>
      </c>
      <c r="J97" s="449">
        <v>-1.0783713352680211</v>
      </c>
      <c r="K97" s="491">
        <f t="shared" si="2"/>
        <v>29.138740979355966</v>
      </c>
      <c r="L97" s="562" t="s">
        <v>665</v>
      </c>
      <c r="M97" s="296" t="s">
        <v>74</v>
      </c>
      <c r="N97" s="297"/>
      <c r="O97" s="298" t="s">
        <v>44</v>
      </c>
      <c r="P97" s="314" t="s">
        <v>58</v>
      </c>
      <c r="Q97" s="379" t="s">
        <v>78</v>
      </c>
      <c r="R97" s="315" t="s">
        <v>78</v>
      </c>
      <c r="S97" s="176"/>
      <c r="T97" s="145"/>
      <c r="U97" s="145"/>
    </row>
    <row r="98" spans="1:21">
      <c r="A98" s="167" t="s">
        <v>75</v>
      </c>
      <c r="B98" s="55"/>
      <c r="C98" s="55"/>
      <c r="D98" s="55"/>
      <c r="E98" s="55"/>
      <c r="F98" s="463">
        <v>107.5</v>
      </c>
      <c r="G98" s="196" t="s">
        <v>20</v>
      </c>
      <c r="H98" s="55" t="s">
        <v>690</v>
      </c>
      <c r="I98" s="322">
        <v>-3</v>
      </c>
      <c r="J98" s="449">
        <v>-1.0783713352680211</v>
      </c>
      <c r="K98" s="491">
        <f t="shared" si="2"/>
        <v>25.348696109617148</v>
      </c>
      <c r="L98" s="562" t="s">
        <v>665</v>
      </c>
      <c r="M98" s="296" t="s">
        <v>74</v>
      </c>
      <c r="N98" s="296"/>
      <c r="O98" s="298" t="s">
        <v>44</v>
      </c>
      <c r="P98" s="314" t="s">
        <v>58</v>
      </c>
      <c r="Q98" s="379" t="s">
        <v>78</v>
      </c>
      <c r="R98" s="315" t="s">
        <v>78</v>
      </c>
      <c r="S98" s="176"/>
      <c r="T98" s="145"/>
      <c r="U98" s="145"/>
    </row>
    <row r="99" spans="1:21">
      <c r="A99" s="167" t="s">
        <v>75</v>
      </c>
      <c r="B99" s="55"/>
      <c r="C99" s="55"/>
      <c r="D99" s="55"/>
      <c r="E99" s="55"/>
      <c r="F99" s="463">
        <v>108.27</v>
      </c>
      <c r="G99" s="196" t="s">
        <v>20</v>
      </c>
      <c r="H99" s="55" t="s">
        <v>690</v>
      </c>
      <c r="I99" s="322">
        <v>-3.58</v>
      </c>
      <c r="J99" s="449">
        <v>-1.0783713352680211</v>
      </c>
      <c r="K99" s="491">
        <f t="shared" si="2"/>
        <v>28.270790142215166</v>
      </c>
      <c r="L99" s="562" t="s">
        <v>665</v>
      </c>
      <c r="M99" s="296" t="s">
        <v>74</v>
      </c>
      <c r="N99" s="296"/>
      <c r="O99" s="298" t="s">
        <v>44</v>
      </c>
      <c r="P99" s="314" t="s">
        <v>58</v>
      </c>
      <c r="Q99" s="379" t="s">
        <v>78</v>
      </c>
      <c r="R99" s="315" t="s">
        <v>78</v>
      </c>
      <c r="S99" s="176"/>
      <c r="T99" s="145"/>
      <c r="U99" s="145"/>
    </row>
    <row r="100" spans="1:21">
      <c r="A100" s="167" t="s">
        <v>75</v>
      </c>
      <c r="B100" s="55"/>
      <c r="C100" s="55"/>
      <c r="D100" s="55"/>
      <c r="E100" s="55"/>
      <c r="F100" s="463">
        <v>108.59</v>
      </c>
      <c r="G100" s="196" t="s">
        <v>20</v>
      </c>
      <c r="H100" s="55" t="s">
        <v>690</v>
      </c>
      <c r="I100" s="322">
        <v>-3.22</v>
      </c>
      <c r="J100" s="449">
        <v>-1.0783713352680211</v>
      </c>
      <c r="K100" s="491">
        <f t="shared" si="2"/>
        <v>26.449948604740534</v>
      </c>
      <c r="L100" s="562" t="s">
        <v>665</v>
      </c>
      <c r="M100" s="296" t="s">
        <v>74</v>
      </c>
      <c r="N100" s="296"/>
      <c r="O100" s="298" t="s">
        <v>44</v>
      </c>
      <c r="P100" s="314" t="s">
        <v>58</v>
      </c>
      <c r="Q100" s="379" t="s">
        <v>78</v>
      </c>
      <c r="R100" s="315" t="s">
        <v>78</v>
      </c>
      <c r="S100" s="176"/>
      <c r="T100" s="145"/>
      <c r="U100" s="145"/>
    </row>
    <row r="101" spans="1:21">
      <c r="A101" s="167" t="s">
        <v>75</v>
      </c>
      <c r="B101" s="55"/>
      <c r="C101" s="55"/>
      <c r="D101" s="55"/>
      <c r="E101" s="55"/>
      <c r="F101" s="463">
        <v>108.69</v>
      </c>
      <c r="G101" s="196" t="s">
        <v>20</v>
      </c>
      <c r="H101" s="55" t="s">
        <v>690</v>
      </c>
      <c r="I101" s="322">
        <v>-3.82</v>
      </c>
      <c r="J101" s="449">
        <v>-1.0783713352680211</v>
      </c>
      <c r="K101" s="491">
        <f t="shared" si="2"/>
        <v>29.497644500531585</v>
      </c>
      <c r="L101" s="562" t="s">
        <v>665</v>
      </c>
      <c r="M101" s="296" t="s">
        <v>74</v>
      </c>
      <c r="N101" s="55"/>
      <c r="O101" s="298" t="s">
        <v>44</v>
      </c>
      <c r="P101" s="314" t="s">
        <v>58</v>
      </c>
      <c r="Q101" s="379" t="s">
        <v>78</v>
      </c>
      <c r="R101" s="315" t="s">
        <v>78</v>
      </c>
      <c r="S101" s="176"/>
      <c r="T101" s="145"/>
      <c r="U101" s="145"/>
    </row>
    <row r="102" spans="1:21">
      <c r="A102" s="167" t="s">
        <v>75</v>
      </c>
      <c r="B102" s="55"/>
      <c r="C102" s="55"/>
      <c r="D102" s="55"/>
      <c r="E102" s="55"/>
      <c r="F102" s="463">
        <v>108.79</v>
      </c>
      <c r="G102" s="196" t="s">
        <v>20</v>
      </c>
      <c r="H102" s="55" t="s">
        <v>690</v>
      </c>
      <c r="I102" s="322">
        <v>-3.41</v>
      </c>
      <c r="J102" s="449">
        <v>-1.0783713352680211</v>
      </c>
      <c r="K102" s="491">
        <f t="shared" si="2"/>
        <v>27.408041305074367</v>
      </c>
      <c r="L102" s="562" t="s">
        <v>665</v>
      </c>
      <c r="M102" s="296" t="s">
        <v>74</v>
      </c>
      <c r="N102" s="296"/>
      <c r="O102" s="298" t="s">
        <v>44</v>
      </c>
      <c r="P102" s="314" t="s">
        <v>58</v>
      </c>
      <c r="Q102" s="379" t="s">
        <v>78</v>
      </c>
      <c r="R102" s="315" t="s">
        <v>78</v>
      </c>
      <c r="S102" s="176"/>
      <c r="T102" s="145"/>
      <c r="U102" s="145"/>
    </row>
    <row r="103" spans="1:21">
      <c r="A103" s="167" t="s">
        <v>75</v>
      </c>
      <c r="B103" s="55"/>
      <c r="C103" s="55"/>
      <c r="D103" s="55"/>
      <c r="E103" s="55"/>
      <c r="F103" s="463">
        <v>108.89</v>
      </c>
      <c r="G103" s="196" t="s">
        <v>20</v>
      </c>
      <c r="H103" s="55" t="s">
        <v>690</v>
      </c>
      <c r="I103" s="322">
        <v>-3.1</v>
      </c>
      <c r="J103" s="449">
        <v>-1.0783713352680211</v>
      </c>
      <c r="K103" s="491">
        <f t="shared" si="2"/>
        <v>25.848185425582326</v>
      </c>
      <c r="L103" s="562" t="s">
        <v>665</v>
      </c>
      <c r="M103" s="296" t="s">
        <v>74</v>
      </c>
      <c r="N103" s="296"/>
      <c r="O103" s="298" t="s">
        <v>44</v>
      </c>
      <c r="P103" s="314" t="s">
        <v>58</v>
      </c>
      <c r="Q103" s="379" t="s">
        <v>78</v>
      </c>
      <c r="R103" s="315" t="s">
        <v>78</v>
      </c>
      <c r="S103" s="176"/>
      <c r="T103" s="145"/>
      <c r="U103" s="145"/>
    </row>
    <row r="104" spans="1:21">
      <c r="A104" s="167" t="s">
        <v>75</v>
      </c>
      <c r="B104" s="55"/>
      <c r="C104" s="55"/>
      <c r="D104" s="55"/>
      <c r="E104" s="55"/>
      <c r="F104" s="463">
        <v>108.98</v>
      </c>
      <c r="G104" s="196" t="s">
        <v>20</v>
      </c>
      <c r="H104" s="55" t="s">
        <v>690</v>
      </c>
      <c r="I104" s="322">
        <v>-2.97</v>
      </c>
      <c r="J104" s="449">
        <v>-1.0783713352680211</v>
      </c>
      <c r="K104" s="491">
        <f t="shared" si="2"/>
        <v>25.199200314827596</v>
      </c>
      <c r="L104" s="562" t="s">
        <v>665</v>
      </c>
      <c r="M104" s="296" t="s">
        <v>74</v>
      </c>
      <c r="N104" s="296"/>
      <c r="O104" s="298" t="s">
        <v>44</v>
      </c>
      <c r="P104" s="314" t="s">
        <v>58</v>
      </c>
      <c r="Q104" s="379" t="s">
        <v>78</v>
      </c>
      <c r="R104" s="315" t="s">
        <v>78</v>
      </c>
      <c r="S104" s="176"/>
      <c r="T104" s="145"/>
      <c r="U104" s="145"/>
    </row>
    <row r="105" spans="1:21">
      <c r="A105" s="167" t="s">
        <v>75</v>
      </c>
      <c r="B105" s="55"/>
      <c r="C105" s="55"/>
      <c r="D105" s="55"/>
      <c r="E105" s="55"/>
      <c r="F105" s="463">
        <v>109.04</v>
      </c>
      <c r="G105" s="196" t="s">
        <v>20</v>
      </c>
      <c r="H105" s="55" t="s">
        <v>690</v>
      </c>
      <c r="I105" s="322">
        <v>-3.23</v>
      </c>
      <c r="J105" s="449">
        <v>-1.0783713352680211</v>
      </c>
      <c r="K105" s="491">
        <f t="shared" si="2"/>
        <v>26.500212536337052</v>
      </c>
      <c r="L105" s="562" t="s">
        <v>665</v>
      </c>
      <c r="M105" s="296" t="s">
        <v>74</v>
      </c>
      <c r="N105" s="296"/>
      <c r="O105" s="298" t="s">
        <v>44</v>
      </c>
      <c r="P105" s="314" t="s">
        <v>58</v>
      </c>
      <c r="Q105" s="379" t="s">
        <v>78</v>
      </c>
      <c r="R105" s="315" t="s">
        <v>78</v>
      </c>
      <c r="S105" s="176"/>
      <c r="T105" s="145"/>
      <c r="U105" s="145"/>
    </row>
    <row r="106" spans="1:21">
      <c r="A106" s="167" t="s">
        <v>75</v>
      </c>
      <c r="B106" s="55"/>
      <c r="C106" s="55"/>
      <c r="D106" s="55"/>
      <c r="E106" s="55"/>
      <c r="F106" s="463">
        <v>109.12</v>
      </c>
      <c r="G106" s="196" t="s">
        <v>20</v>
      </c>
      <c r="H106" s="55" t="s">
        <v>690</v>
      </c>
      <c r="I106" s="322">
        <v>-3.27</v>
      </c>
      <c r="J106" s="449">
        <v>-1.0783713352680211</v>
      </c>
      <c r="K106" s="491">
        <f t="shared" si="2"/>
        <v>26.701448262723122</v>
      </c>
      <c r="L106" s="562" t="s">
        <v>665</v>
      </c>
      <c r="M106" s="296" t="s">
        <v>74</v>
      </c>
      <c r="N106" s="296"/>
      <c r="O106" s="298" t="s">
        <v>44</v>
      </c>
      <c r="P106" s="314" t="s">
        <v>58</v>
      </c>
      <c r="Q106" s="379" t="s">
        <v>78</v>
      </c>
      <c r="R106" s="315" t="s">
        <v>78</v>
      </c>
      <c r="S106" s="176"/>
      <c r="T106" s="145"/>
      <c r="U106" s="145"/>
    </row>
    <row r="107" spans="1:21" ht="13.5" thickBot="1">
      <c r="A107" s="254" t="s">
        <v>75</v>
      </c>
      <c r="B107" s="255"/>
      <c r="C107" s="255"/>
      <c r="D107" s="255"/>
      <c r="E107" s="255"/>
      <c r="F107" s="747">
        <v>110.25</v>
      </c>
      <c r="G107" s="202" t="s">
        <v>196</v>
      </c>
      <c r="H107" s="255" t="s">
        <v>691</v>
      </c>
      <c r="I107" s="748">
        <v>-2.0099999999999998</v>
      </c>
      <c r="J107" s="784">
        <v>-1.0783713352680211</v>
      </c>
      <c r="K107" s="806">
        <f t="shared" si="2"/>
        <v>20.500870881561909</v>
      </c>
      <c r="L107" s="807" t="s">
        <v>665</v>
      </c>
      <c r="M107" s="749" t="s">
        <v>74</v>
      </c>
      <c r="N107" s="749"/>
      <c r="O107" s="750" t="s">
        <v>44</v>
      </c>
      <c r="P107" s="751" t="s">
        <v>58</v>
      </c>
      <c r="Q107" s="752" t="s">
        <v>78</v>
      </c>
      <c r="R107" s="934" t="s">
        <v>78</v>
      </c>
      <c r="S107" s="258"/>
      <c r="T107" s="145"/>
      <c r="U107" s="145"/>
    </row>
    <row r="108" spans="1:21">
      <c r="A108" s="55"/>
      <c r="B108" s="144"/>
      <c r="C108" s="144"/>
      <c r="D108" s="144"/>
      <c r="E108" s="144"/>
      <c r="F108" s="396"/>
      <c r="H108" s="55"/>
      <c r="I108" s="244"/>
      <c r="J108" s="382"/>
      <c r="K108" s="259"/>
      <c r="L108" s="562"/>
      <c r="M108" s="317"/>
      <c r="N108" s="317"/>
      <c r="O108" s="297"/>
      <c r="P108" s="296"/>
      <c r="Q108" s="740"/>
      <c r="R108" s="54"/>
      <c r="S108" s="190"/>
      <c r="T108" s="145"/>
      <c r="U108" s="145"/>
    </row>
    <row r="109" spans="1:21" ht="13.5" thickBot="1"/>
    <row r="110" spans="1:21" ht="13.5" thickBot="1">
      <c r="G110" s="729"/>
      <c r="H110" s="730" t="s">
        <v>607</v>
      </c>
      <c r="I110" s="730" t="s">
        <v>605</v>
      </c>
      <c r="J110" s="731">
        <v>0.05</v>
      </c>
      <c r="K110" s="730" t="s">
        <v>602</v>
      </c>
      <c r="L110" s="731">
        <v>0.95</v>
      </c>
      <c r="M110" s="732" t="s">
        <v>606</v>
      </c>
    </row>
    <row r="111" spans="1:21">
      <c r="G111" s="673" t="s">
        <v>21</v>
      </c>
      <c r="H111" s="674">
        <v>1</v>
      </c>
      <c r="I111" s="675"/>
      <c r="J111" s="675"/>
      <c r="K111" s="675">
        <f>K23</f>
        <v>23.565438572142519</v>
      </c>
      <c r="L111" s="675"/>
      <c r="M111" s="676"/>
    </row>
    <row r="112" spans="1:21">
      <c r="G112" s="673" t="s">
        <v>20</v>
      </c>
      <c r="H112" s="674">
        <f>COUNT(K43:K58,K68:K81)</f>
        <v>30</v>
      </c>
      <c r="I112" s="675">
        <f>MIN(K43:K58,K68:K81)</f>
        <v>25.998383220371874</v>
      </c>
      <c r="J112" s="675">
        <f>_xlfn.PERCENTILE.INC((K43:K58,K68:K81),0.05)</f>
        <v>26.334490062068543</v>
      </c>
      <c r="K112" s="675">
        <f>AVERAGE(K43:K58,K68:K81)</f>
        <v>28.514277491945695</v>
      </c>
      <c r="L112" s="675">
        <f>_xlfn.PERCENTILE.INC((K43:K58,K68:K81),0.95)</f>
        <v>30.639505285394449</v>
      </c>
      <c r="M112" s="676">
        <f>MAX(K43:K58,K68:K81)</f>
        <v>31.669587627585329</v>
      </c>
    </row>
    <row r="113" spans="7:13" ht="13.5" thickBot="1">
      <c r="G113" s="677" t="s">
        <v>601</v>
      </c>
      <c r="H113" s="678">
        <v>1</v>
      </c>
      <c r="I113" s="679"/>
      <c r="J113" s="679"/>
      <c r="K113" s="679">
        <f>K60</f>
        <v>18.781765344087276</v>
      </c>
      <c r="L113" s="679"/>
      <c r="M113" s="680"/>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454"/>
  <sheetViews>
    <sheetView zoomScale="70" zoomScaleNormal="70" zoomScalePageLayoutView="70" workbookViewId="0">
      <selection activeCell="B5" sqref="B5"/>
    </sheetView>
  </sheetViews>
  <sheetFormatPr defaultColWidth="10.875" defaultRowHeight="12.75"/>
  <cols>
    <col min="1" max="1" width="15.625" style="69" customWidth="1"/>
    <col min="2" max="2" width="30.625" style="69" customWidth="1"/>
    <col min="3" max="5" width="10.875" style="69"/>
    <col min="6" max="6" width="10.875" style="156"/>
    <col min="7" max="7" width="17.625" style="156" customWidth="1"/>
    <col min="8" max="8" width="10.875" style="156"/>
    <col min="9" max="9" width="10.875" style="391"/>
    <col min="10" max="10" width="10.875" style="69"/>
    <col min="11" max="11" width="15.625" style="69" customWidth="1"/>
    <col min="12" max="12" width="26.5" style="50" bestFit="1" customWidth="1"/>
    <col min="13" max="13" width="13" style="69" bestFit="1" customWidth="1"/>
    <col min="14" max="14" width="10.625" style="270" bestFit="1" customWidth="1"/>
    <col min="15" max="15" width="10.125" style="270" bestFit="1" customWidth="1"/>
    <col min="16" max="16" width="10.875" style="69"/>
    <col min="17" max="17" width="23.625" style="69" customWidth="1"/>
    <col min="18" max="18" width="19" style="69" customWidth="1"/>
    <col min="19" max="19" width="61.5" style="69" bestFit="1" customWidth="1"/>
    <col min="20" max="16384" width="10.875" style="69"/>
  </cols>
  <sheetData>
    <row r="1" spans="1:21" s="11" customFormat="1" ht="15.75">
      <c r="A1" s="466" t="s">
        <v>1</v>
      </c>
      <c r="B1" s="466" t="s">
        <v>60</v>
      </c>
      <c r="C1" s="468"/>
      <c r="F1" s="41"/>
      <c r="G1" s="41"/>
      <c r="H1" s="41"/>
      <c r="I1" s="469"/>
      <c r="L1" s="49"/>
      <c r="N1" s="470"/>
      <c r="O1" s="470"/>
    </row>
    <row r="2" spans="1:21">
      <c r="A2" s="208" t="s">
        <v>636</v>
      </c>
      <c r="B2" s="146" t="s">
        <v>650</v>
      </c>
      <c r="C2" s="143"/>
      <c r="D2" s="144"/>
      <c r="E2" s="144"/>
      <c r="F2" s="144"/>
      <c r="G2" s="144"/>
      <c r="H2" s="144"/>
      <c r="I2" s="144"/>
      <c r="J2" s="144"/>
      <c r="K2" s="144"/>
      <c r="L2" s="144"/>
      <c r="M2" s="144"/>
      <c r="N2" s="144"/>
      <c r="O2" s="144"/>
      <c r="P2" s="144"/>
      <c r="Q2" s="144"/>
      <c r="R2" s="145"/>
      <c r="S2" s="145"/>
      <c r="T2" s="145"/>
      <c r="U2" s="145"/>
    </row>
    <row r="3" spans="1:21">
      <c r="A3" s="147" t="s">
        <v>0</v>
      </c>
      <c r="B3" s="406" t="s">
        <v>625</v>
      </c>
      <c r="C3" s="405"/>
      <c r="N3" s="248"/>
      <c r="O3" s="248"/>
    </row>
    <row r="4" spans="1:21">
      <c r="A4" s="230" t="s">
        <v>621</v>
      </c>
      <c r="B4" s="231">
        <v>39.61</v>
      </c>
      <c r="C4" s="148"/>
      <c r="N4" s="248"/>
      <c r="O4" s="248"/>
    </row>
    <row r="5" spans="1:21">
      <c r="A5" s="230" t="s">
        <v>622</v>
      </c>
      <c r="B5" s="231">
        <v>-74.44</v>
      </c>
      <c r="N5" s="248"/>
      <c r="O5" s="248"/>
    </row>
    <row r="6" spans="1:21">
      <c r="A6" s="232" t="s">
        <v>50</v>
      </c>
      <c r="B6" s="51">
        <v>34.2281028377</v>
      </c>
      <c r="C6" s="407"/>
      <c r="N6" s="248"/>
      <c r="O6" s="248"/>
    </row>
    <row r="7" spans="1:21">
      <c r="A7" s="141" t="s">
        <v>696</v>
      </c>
      <c r="B7" s="151" t="s">
        <v>190</v>
      </c>
      <c r="C7" s="407" t="s">
        <v>757</v>
      </c>
      <c r="N7" s="248"/>
      <c r="O7" s="248"/>
    </row>
    <row r="8" spans="1:21" ht="25.5">
      <c r="A8" s="147" t="s">
        <v>2</v>
      </c>
      <c r="B8" s="408" t="s">
        <v>758</v>
      </c>
      <c r="C8" s="407" t="s">
        <v>757</v>
      </c>
      <c r="N8" s="248"/>
      <c r="O8" s="248"/>
    </row>
    <row r="9" spans="1:21">
      <c r="A9" s="147" t="s">
        <v>3</v>
      </c>
      <c r="B9" s="407" t="s">
        <v>603</v>
      </c>
      <c r="C9" s="409"/>
      <c r="N9" s="248"/>
      <c r="O9" s="248"/>
    </row>
    <row r="10" spans="1:21">
      <c r="A10" s="147" t="s">
        <v>4</v>
      </c>
      <c r="B10" s="410" t="s">
        <v>83</v>
      </c>
      <c r="C10" s="406" t="s">
        <v>626</v>
      </c>
      <c r="N10" s="248"/>
      <c r="O10" s="248"/>
    </row>
    <row r="11" spans="1:21" ht="13.5" thickBot="1">
      <c r="G11" s="248"/>
      <c r="K11" s="411"/>
      <c r="N11" s="248"/>
      <c r="O11" s="248"/>
    </row>
    <row r="12" spans="1:21" ht="84" customHeight="1" thickBot="1">
      <c r="A12" s="412" t="s">
        <v>5</v>
      </c>
      <c r="B12" s="413" t="s">
        <v>6</v>
      </c>
      <c r="C12" s="413" t="s">
        <v>7</v>
      </c>
      <c r="D12" s="413" t="s">
        <v>8</v>
      </c>
      <c r="E12" s="413" t="s">
        <v>69</v>
      </c>
      <c r="F12" s="413" t="s">
        <v>43</v>
      </c>
      <c r="G12" s="413" t="s">
        <v>31</v>
      </c>
      <c r="H12" s="414" t="s">
        <v>10</v>
      </c>
      <c r="I12" s="160" t="s">
        <v>725</v>
      </c>
      <c r="J12" s="161" t="s">
        <v>664</v>
      </c>
      <c r="K12" s="216" t="s">
        <v>659</v>
      </c>
      <c r="L12" s="415" t="s">
        <v>11</v>
      </c>
      <c r="M12" s="416" t="s">
        <v>12</v>
      </c>
      <c r="N12" s="416" t="s">
        <v>36</v>
      </c>
      <c r="O12" s="417" t="s">
        <v>34</v>
      </c>
      <c r="P12" s="418" t="s">
        <v>13</v>
      </c>
      <c r="Q12" s="417" t="s">
        <v>73</v>
      </c>
      <c r="R12" s="419" t="s">
        <v>15</v>
      </c>
      <c r="S12" s="420" t="s">
        <v>38</v>
      </c>
    </row>
    <row r="13" spans="1:21">
      <c r="A13" s="421"/>
      <c r="B13" s="422"/>
      <c r="C13" s="422"/>
      <c r="D13" s="422"/>
      <c r="E13" s="422"/>
      <c r="F13" s="422"/>
      <c r="G13" s="422"/>
      <c r="H13" s="423"/>
      <c r="I13" s="444"/>
      <c r="J13" s="426"/>
      <c r="K13" s="785"/>
      <c r="L13" s="425"/>
      <c r="M13" s="289"/>
      <c r="N13" s="289"/>
      <c r="O13" s="290"/>
      <c r="P13" s="288"/>
      <c r="Q13" s="290"/>
      <c r="R13" s="426"/>
      <c r="S13" s="291"/>
    </row>
    <row r="14" spans="1:21">
      <c r="A14" s="427" t="s">
        <v>60</v>
      </c>
      <c r="B14" s="428"/>
      <c r="C14" s="428"/>
      <c r="D14" s="428"/>
      <c r="E14" s="445"/>
      <c r="F14" s="376">
        <v>348.99599999999998</v>
      </c>
      <c r="H14" s="196"/>
      <c r="I14" s="446">
        <v>-3.4351500000000001</v>
      </c>
      <c r="J14" s="451">
        <v>-1.08</v>
      </c>
      <c r="K14" s="401">
        <f t="shared" ref="K14:K73" si="0">16.1-4.64*($I14-J14)+0.09*($I14-J14)^2</f>
        <v>27.527101837024997</v>
      </c>
      <c r="L14" s="429" t="s">
        <v>33</v>
      </c>
      <c r="M14" s="296" t="s">
        <v>16</v>
      </c>
      <c r="N14" s="297" t="s">
        <v>37</v>
      </c>
      <c r="O14" s="298" t="s">
        <v>35</v>
      </c>
      <c r="P14" s="314" t="s">
        <v>58</v>
      </c>
      <c r="Q14" s="430" t="s">
        <v>598</v>
      </c>
      <c r="R14" s="299" t="s">
        <v>40</v>
      </c>
      <c r="S14" s="309" t="s">
        <v>756</v>
      </c>
    </row>
    <row r="15" spans="1:21">
      <c r="A15" s="427" t="s">
        <v>60</v>
      </c>
      <c r="B15" s="199"/>
      <c r="C15" s="199"/>
      <c r="D15" s="199"/>
      <c r="E15" s="199"/>
      <c r="F15" s="376">
        <v>351.48</v>
      </c>
      <c r="H15" s="196"/>
      <c r="I15" s="446">
        <v>-3.6734900000000001</v>
      </c>
      <c r="J15" s="451">
        <v>-1.08</v>
      </c>
      <c r="K15" s="401">
        <f t="shared" si="0"/>
        <v>28.739150734209002</v>
      </c>
      <c r="L15" s="429" t="s">
        <v>33</v>
      </c>
      <c r="M15" s="296" t="s">
        <v>16</v>
      </c>
      <c r="N15" s="297" t="s">
        <v>37</v>
      </c>
      <c r="O15" s="298" t="s">
        <v>35</v>
      </c>
      <c r="P15" s="314" t="s">
        <v>58</v>
      </c>
      <c r="Q15" s="430" t="s">
        <v>598</v>
      </c>
      <c r="R15" s="299" t="s">
        <v>40</v>
      </c>
      <c r="S15" s="309" t="s">
        <v>728</v>
      </c>
    </row>
    <row r="16" spans="1:21">
      <c r="A16" s="427" t="s">
        <v>60</v>
      </c>
      <c r="B16" s="199"/>
      <c r="C16" s="199"/>
      <c r="D16" s="199"/>
      <c r="E16" s="199"/>
      <c r="F16" s="376">
        <v>354.26904000000002</v>
      </c>
      <c r="H16" s="196"/>
      <c r="I16" s="446">
        <v>-3.2637800000000001</v>
      </c>
      <c r="J16" s="451">
        <v>-1.08</v>
      </c>
      <c r="K16" s="401">
        <f t="shared" si="0"/>
        <v>26.661939757956002</v>
      </c>
      <c r="L16" s="429" t="s">
        <v>33</v>
      </c>
      <c r="M16" s="296" t="s">
        <v>16</v>
      </c>
      <c r="N16" s="297" t="s">
        <v>37</v>
      </c>
      <c r="O16" s="298" t="s">
        <v>35</v>
      </c>
      <c r="P16" s="314" t="s">
        <v>58</v>
      </c>
      <c r="Q16" s="430" t="s">
        <v>598</v>
      </c>
      <c r="R16" s="299" t="s">
        <v>40</v>
      </c>
      <c r="S16" s="300"/>
    </row>
    <row r="17" spans="1:19">
      <c r="A17" s="427" t="s">
        <v>60</v>
      </c>
      <c r="B17" s="199"/>
      <c r="C17" s="199"/>
      <c r="D17" s="199"/>
      <c r="E17" s="199"/>
      <c r="F17" s="376">
        <v>354.61955999999998</v>
      </c>
      <c r="H17" s="196"/>
      <c r="I17" s="446">
        <v>-3.29331</v>
      </c>
      <c r="J17" s="451">
        <v>-1.08</v>
      </c>
      <c r="K17" s="401">
        <f t="shared" si="0"/>
        <v>26.810645104049001</v>
      </c>
      <c r="L17" s="429" t="s">
        <v>33</v>
      </c>
      <c r="M17" s="296" t="s">
        <v>16</v>
      </c>
      <c r="N17" s="297" t="s">
        <v>37</v>
      </c>
      <c r="O17" s="298" t="s">
        <v>35</v>
      </c>
      <c r="P17" s="314" t="s">
        <v>58</v>
      </c>
      <c r="Q17" s="430" t="s">
        <v>598</v>
      </c>
      <c r="R17" s="299" t="s">
        <v>40</v>
      </c>
      <c r="S17" s="300"/>
    </row>
    <row r="18" spans="1:19">
      <c r="A18" s="427" t="s">
        <v>60</v>
      </c>
      <c r="B18" s="199"/>
      <c r="C18" s="199"/>
      <c r="D18" s="199"/>
      <c r="E18" s="199"/>
      <c r="F18" s="376">
        <v>355.29</v>
      </c>
      <c r="G18" s="248" t="s">
        <v>20</v>
      </c>
      <c r="H18" s="196"/>
      <c r="I18" s="446">
        <v>-2.8110499999999998</v>
      </c>
      <c r="J18" s="451">
        <v>-1.08</v>
      </c>
      <c r="K18" s="402">
        <f t="shared" si="0"/>
        <v>24.401760069225002</v>
      </c>
      <c r="L18" s="429" t="s">
        <v>33</v>
      </c>
      <c r="M18" s="296" t="s">
        <v>16</v>
      </c>
      <c r="N18" s="297" t="s">
        <v>37</v>
      </c>
      <c r="O18" s="298" t="s">
        <v>35</v>
      </c>
      <c r="P18" s="314" t="s">
        <v>58</v>
      </c>
      <c r="Q18" s="430" t="s">
        <v>598</v>
      </c>
      <c r="R18" s="299" t="s">
        <v>40</v>
      </c>
      <c r="S18" s="300"/>
    </row>
    <row r="19" spans="1:19">
      <c r="A19" s="427" t="s">
        <v>60</v>
      </c>
      <c r="B19" s="199"/>
      <c r="C19" s="199"/>
      <c r="D19" s="199"/>
      <c r="E19" s="199"/>
      <c r="F19" s="376">
        <v>355.70159999999998</v>
      </c>
      <c r="G19" s="248" t="s">
        <v>20</v>
      </c>
      <c r="H19" s="196"/>
      <c r="I19" s="446">
        <v>-2.74593</v>
      </c>
      <c r="J19" s="451">
        <v>-1.08</v>
      </c>
      <c r="K19" s="402">
        <f t="shared" si="0"/>
        <v>24.079694248841001</v>
      </c>
      <c r="L19" s="429" t="s">
        <v>33</v>
      </c>
      <c r="M19" s="296" t="s">
        <v>16</v>
      </c>
      <c r="N19" s="297" t="s">
        <v>37</v>
      </c>
      <c r="O19" s="298" t="s">
        <v>35</v>
      </c>
      <c r="P19" s="314" t="s">
        <v>58</v>
      </c>
      <c r="Q19" s="430" t="s">
        <v>598</v>
      </c>
      <c r="R19" s="299" t="s">
        <v>40</v>
      </c>
      <c r="S19" s="300"/>
    </row>
    <row r="20" spans="1:19">
      <c r="A20" s="431" t="s">
        <v>60</v>
      </c>
      <c r="B20" s="432"/>
      <c r="C20" s="432"/>
      <c r="D20" s="432"/>
      <c r="E20" s="432"/>
      <c r="F20" s="383">
        <v>358.74959999999999</v>
      </c>
      <c r="G20" s="433" t="s">
        <v>32</v>
      </c>
      <c r="H20" s="434"/>
      <c r="I20" s="447">
        <v>-2.5045199999999999</v>
      </c>
      <c r="J20" s="454">
        <v>-1.08</v>
      </c>
      <c r="K20" s="786">
        <f t="shared" si="0"/>
        <v>22.892405950735998</v>
      </c>
      <c r="L20" s="435" t="s">
        <v>33</v>
      </c>
      <c r="M20" s="386" t="s">
        <v>16</v>
      </c>
      <c r="N20" s="399" t="s">
        <v>37</v>
      </c>
      <c r="O20" s="390" t="s">
        <v>35</v>
      </c>
      <c r="P20" s="388" t="s">
        <v>58</v>
      </c>
      <c r="Q20" s="436" t="s">
        <v>598</v>
      </c>
      <c r="R20" s="299" t="s">
        <v>40</v>
      </c>
      <c r="S20" s="300"/>
    </row>
    <row r="21" spans="1:19">
      <c r="A21" s="427" t="s">
        <v>60</v>
      </c>
      <c r="B21" s="199"/>
      <c r="C21" s="199"/>
      <c r="D21" s="199"/>
      <c r="E21" s="199"/>
      <c r="F21" s="376">
        <v>354.26904000000002</v>
      </c>
      <c r="G21" s="248"/>
      <c r="H21" s="196"/>
      <c r="I21" s="446">
        <v>-2.8543500000000002</v>
      </c>
      <c r="J21" s="451">
        <v>-1.08</v>
      </c>
      <c r="K21" s="401">
        <f t="shared" si="0"/>
        <v>24.616332613025005</v>
      </c>
      <c r="L21" s="802" t="s">
        <v>55</v>
      </c>
      <c r="M21" s="296" t="s">
        <v>16</v>
      </c>
      <c r="N21" s="297" t="s">
        <v>37</v>
      </c>
      <c r="O21" s="298" t="s">
        <v>44</v>
      </c>
      <c r="P21" s="314" t="s">
        <v>58</v>
      </c>
      <c r="Q21" s="430" t="s">
        <v>598</v>
      </c>
      <c r="R21" s="299" t="s">
        <v>40</v>
      </c>
      <c r="S21" s="300"/>
    </row>
    <row r="22" spans="1:19">
      <c r="A22" s="427" t="s">
        <v>60</v>
      </c>
      <c r="B22" s="199"/>
      <c r="C22" s="199"/>
      <c r="D22" s="199"/>
      <c r="E22" s="199"/>
      <c r="F22" s="376">
        <v>355.70159999999998</v>
      </c>
      <c r="G22" s="248" t="s">
        <v>20</v>
      </c>
      <c r="H22" s="196"/>
      <c r="I22" s="446">
        <v>-2.9568500000000002</v>
      </c>
      <c r="J22" s="451">
        <v>-1.08</v>
      </c>
      <c r="K22" s="401">
        <f t="shared" si="0"/>
        <v>25.125614933025002</v>
      </c>
      <c r="L22" s="802" t="s">
        <v>55</v>
      </c>
      <c r="M22" s="296" t="s">
        <v>16</v>
      </c>
      <c r="N22" s="297" t="s">
        <v>37</v>
      </c>
      <c r="O22" s="298" t="s">
        <v>44</v>
      </c>
      <c r="P22" s="314" t="s">
        <v>58</v>
      </c>
      <c r="Q22" s="430" t="s">
        <v>598</v>
      </c>
      <c r="R22" s="299" t="s">
        <v>40</v>
      </c>
      <c r="S22" s="300"/>
    </row>
    <row r="23" spans="1:19">
      <c r="A23" s="431" t="s">
        <v>60</v>
      </c>
      <c r="B23" s="432"/>
      <c r="C23" s="432"/>
      <c r="D23" s="432"/>
      <c r="E23" s="432"/>
      <c r="F23" s="383">
        <v>358.74959999999999</v>
      </c>
      <c r="G23" s="437" t="s">
        <v>20</v>
      </c>
      <c r="H23" s="226"/>
      <c r="I23" s="447">
        <v>-2.0229599999999999</v>
      </c>
      <c r="J23" s="454">
        <v>-1.08</v>
      </c>
      <c r="K23" s="786">
        <f t="shared" si="0"/>
        <v>20.555360020544001</v>
      </c>
      <c r="L23" s="803" t="s">
        <v>55</v>
      </c>
      <c r="M23" s="386" t="s">
        <v>16</v>
      </c>
      <c r="N23" s="399" t="s">
        <v>37</v>
      </c>
      <c r="O23" s="390" t="s">
        <v>44</v>
      </c>
      <c r="P23" s="388" t="s">
        <v>58</v>
      </c>
      <c r="Q23" s="436" t="s">
        <v>598</v>
      </c>
      <c r="R23" s="299" t="s">
        <v>40</v>
      </c>
      <c r="S23" s="300"/>
    </row>
    <row r="24" spans="1:19">
      <c r="A24" s="427" t="s">
        <v>60</v>
      </c>
      <c r="B24" s="199"/>
      <c r="C24" s="199"/>
      <c r="D24" s="199"/>
      <c r="E24" s="199"/>
      <c r="F24" s="376">
        <v>348.99599999999998</v>
      </c>
      <c r="G24" s="248"/>
      <c r="H24" s="196"/>
      <c r="I24" s="446">
        <v>-3.0623499999999999</v>
      </c>
      <c r="J24" s="451">
        <v>-1.08</v>
      </c>
      <c r="K24" s="401">
        <f t="shared" si="0"/>
        <v>25.651778037025004</v>
      </c>
      <c r="L24" s="438" t="s">
        <v>54</v>
      </c>
      <c r="M24" s="296" t="s">
        <v>16</v>
      </c>
      <c r="N24" s="297" t="s">
        <v>37</v>
      </c>
      <c r="O24" s="298" t="s">
        <v>35</v>
      </c>
      <c r="P24" s="314" t="s">
        <v>58</v>
      </c>
      <c r="Q24" s="430" t="s">
        <v>598</v>
      </c>
      <c r="R24" s="299" t="s">
        <v>40</v>
      </c>
      <c r="S24" s="300"/>
    </row>
    <row r="25" spans="1:19">
      <c r="A25" s="427" t="s">
        <v>60</v>
      </c>
      <c r="B25" s="199"/>
      <c r="C25" s="199"/>
      <c r="D25" s="199"/>
      <c r="E25" s="199"/>
      <c r="F25" s="376">
        <v>351.48</v>
      </c>
      <c r="G25" s="248"/>
      <c r="H25" s="196"/>
      <c r="I25" s="446">
        <v>-3.5148199999999998</v>
      </c>
      <c r="J25" s="451">
        <v>-1.08</v>
      </c>
      <c r="K25" s="401">
        <f t="shared" si="0"/>
        <v>27.931116158915998</v>
      </c>
      <c r="L25" s="438" t="s">
        <v>54</v>
      </c>
      <c r="M25" s="296" t="s">
        <v>16</v>
      </c>
      <c r="N25" s="297" t="s">
        <v>37</v>
      </c>
      <c r="O25" s="298" t="s">
        <v>35</v>
      </c>
      <c r="P25" s="314" t="s">
        <v>58</v>
      </c>
      <c r="Q25" s="430" t="s">
        <v>598</v>
      </c>
      <c r="R25" s="299" t="s">
        <v>40</v>
      </c>
      <c r="S25" s="300"/>
    </row>
    <row r="26" spans="1:19">
      <c r="A26" s="427" t="s">
        <v>60</v>
      </c>
      <c r="B26" s="199"/>
      <c r="C26" s="199"/>
      <c r="D26" s="199"/>
      <c r="E26" s="199"/>
      <c r="F26" s="376">
        <v>354.27699999999999</v>
      </c>
      <c r="G26" s="248"/>
      <c r="H26" s="196"/>
      <c r="I26" s="446">
        <v>-3.3932000000000002</v>
      </c>
      <c r="J26" s="451">
        <v>-1.08</v>
      </c>
      <c r="K26" s="401">
        <f t="shared" si="0"/>
        <v>27.314828481600003</v>
      </c>
      <c r="L26" s="438" t="s">
        <v>54</v>
      </c>
      <c r="M26" s="296" t="s">
        <v>16</v>
      </c>
      <c r="N26" s="297" t="s">
        <v>37</v>
      </c>
      <c r="O26" s="298" t="s">
        <v>35</v>
      </c>
      <c r="P26" s="314" t="s">
        <v>58</v>
      </c>
      <c r="Q26" s="430" t="s">
        <v>598</v>
      </c>
      <c r="R26" s="299" t="s">
        <v>40</v>
      </c>
      <c r="S26" s="300"/>
    </row>
    <row r="27" spans="1:19">
      <c r="A27" s="427" t="s">
        <v>60</v>
      </c>
      <c r="B27" s="199"/>
      <c r="C27" s="199"/>
      <c r="D27" s="199"/>
      <c r="E27" s="199"/>
      <c r="F27" s="376">
        <v>354.61955999999998</v>
      </c>
      <c r="G27" s="248"/>
      <c r="H27" s="196"/>
      <c r="I27" s="446">
        <v>-3.3604799999999999</v>
      </c>
      <c r="J27" s="451">
        <v>-1.08</v>
      </c>
      <c r="K27" s="401">
        <f t="shared" si="0"/>
        <v>27.149480212736002</v>
      </c>
      <c r="L27" s="438" t="s">
        <v>54</v>
      </c>
      <c r="M27" s="296" t="s">
        <v>16</v>
      </c>
      <c r="N27" s="297" t="s">
        <v>37</v>
      </c>
      <c r="O27" s="298" t="s">
        <v>35</v>
      </c>
      <c r="P27" s="314" t="s">
        <v>58</v>
      </c>
      <c r="Q27" s="430" t="s">
        <v>598</v>
      </c>
      <c r="R27" s="299" t="s">
        <v>40</v>
      </c>
      <c r="S27" s="300"/>
    </row>
    <row r="28" spans="1:19">
      <c r="A28" s="427" t="s">
        <v>60</v>
      </c>
      <c r="B28" s="199"/>
      <c r="C28" s="199"/>
      <c r="D28" s="199"/>
      <c r="E28" s="199"/>
      <c r="F28" s="376">
        <v>355.29</v>
      </c>
      <c r="G28" s="248" t="s">
        <v>20</v>
      </c>
      <c r="H28" s="196"/>
      <c r="I28" s="446">
        <v>-3.5561400000000001</v>
      </c>
      <c r="J28" s="451">
        <v>-1.08</v>
      </c>
      <c r="K28" s="402">
        <f t="shared" si="0"/>
        <v>28.141103836964</v>
      </c>
      <c r="L28" s="438" t="s">
        <v>54</v>
      </c>
      <c r="M28" s="296" t="s">
        <v>16</v>
      </c>
      <c r="N28" s="297" t="s">
        <v>37</v>
      </c>
      <c r="O28" s="298" t="s">
        <v>35</v>
      </c>
      <c r="P28" s="314" t="s">
        <v>58</v>
      </c>
      <c r="Q28" s="430" t="s">
        <v>598</v>
      </c>
      <c r="R28" s="299" t="s">
        <v>40</v>
      </c>
      <c r="S28" s="300"/>
    </row>
    <row r="29" spans="1:19">
      <c r="A29" s="431" t="s">
        <v>60</v>
      </c>
      <c r="B29" s="432"/>
      <c r="C29" s="432"/>
      <c r="D29" s="432"/>
      <c r="E29" s="432"/>
      <c r="F29" s="383">
        <v>355.70159999999998</v>
      </c>
      <c r="G29" s="437" t="s">
        <v>20</v>
      </c>
      <c r="H29" s="226"/>
      <c r="I29" s="447">
        <v>-3.0071500000000002</v>
      </c>
      <c r="J29" s="454">
        <v>-1.08</v>
      </c>
      <c r="K29" s="404">
        <f t="shared" si="0"/>
        <v>25.376227641025</v>
      </c>
      <c r="L29" s="439" t="s">
        <v>54</v>
      </c>
      <c r="M29" s="386" t="s">
        <v>16</v>
      </c>
      <c r="N29" s="399" t="s">
        <v>37</v>
      </c>
      <c r="O29" s="390" t="s">
        <v>35</v>
      </c>
      <c r="P29" s="388" t="s">
        <v>58</v>
      </c>
      <c r="Q29" s="436" t="s">
        <v>598</v>
      </c>
      <c r="R29" s="299" t="s">
        <v>40</v>
      </c>
      <c r="S29" s="300"/>
    </row>
    <row r="30" spans="1:19">
      <c r="A30" s="427" t="s">
        <v>60</v>
      </c>
      <c r="B30" s="199"/>
      <c r="C30" s="199"/>
      <c r="D30" s="199"/>
      <c r="E30" s="199"/>
      <c r="F30" s="376">
        <v>348.99599999999998</v>
      </c>
      <c r="G30" s="248"/>
      <c r="H30" s="196"/>
      <c r="I30" s="446">
        <v>-4.0237299999999996</v>
      </c>
      <c r="J30" s="451">
        <v>-1.08</v>
      </c>
      <c r="K30" s="401">
        <f t="shared" si="0"/>
        <v>30.538806368160994</v>
      </c>
      <c r="L30" s="438" t="s">
        <v>46</v>
      </c>
      <c r="M30" s="296" t="s">
        <v>16</v>
      </c>
      <c r="N30" s="297" t="s">
        <v>37</v>
      </c>
      <c r="O30" s="298" t="s">
        <v>35</v>
      </c>
      <c r="P30" s="314" t="s">
        <v>58</v>
      </c>
      <c r="Q30" s="430" t="s">
        <v>598</v>
      </c>
      <c r="R30" s="299" t="s">
        <v>40</v>
      </c>
      <c r="S30" s="300"/>
    </row>
    <row r="31" spans="1:19">
      <c r="A31" s="427" t="s">
        <v>60</v>
      </c>
      <c r="B31" s="199"/>
      <c r="C31" s="199"/>
      <c r="D31" s="199"/>
      <c r="E31" s="199"/>
      <c r="F31" s="376">
        <v>351.48</v>
      </c>
      <c r="G31" s="248"/>
      <c r="H31" s="196"/>
      <c r="I31" s="446">
        <v>-4.1826699999999999</v>
      </c>
      <c r="J31" s="451">
        <v>-1.08</v>
      </c>
      <c r="K31" s="401">
        <f t="shared" si="0"/>
        <v>31.362779301600998</v>
      </c>
      <c r="L31" s="438" t="s">
        <v>46</v>
      </c>
      <c r="M31" s="296" t="s">
        <v>16</v>
      </c>
      <c r="N31" s="297" t="s">
        <v>37</v>
      </c>
      <c r="O31" s="298" t="s">
        <v>35</v>
      </c>
      <c r="P31" s="314" t="s">
        <v>58</v>
      </c>
      <c r="Q31" s="430" t="s">
        <v>598</v>
      </c>
      <c r="R31" s="299" t="s">
        <v>40</v>
      </c>
      <c r="S31" s="300"/>
    </row>
    <row r="32" spans="1:19">
      <c r="A32" s="427" t="s">
        <v>60</v>
      </c>
      <c r="B32" s="199"/>
      <c r="C32" s="199"/>
      <c r="D32" s="199"/>
      <c r="E32" s="199"/>
      <c r="F32" s="376">
        <v>354.26904000000002</v>
      </c>
      <c r="G32" s="248"/>
      <c r="H32" s="196"/>
      <c r="I32" s="446">
        <v>-4.13964</v>
      </c>
      <c r="J32" s="451">
        <v>-1.08</v>
      </c>
      <c r="K32" s="401">
        <f t="shared" si="0"/>
        <v>31.139255323663999</v>
      </c>
      <c r="L32" s="438" t="s">
        <v>46</v>
      </c>
      <c r="M32" s="296" t="s">
        <v>16</v>
      </c>
      <c r="N32" s="297" t="s">
        <v>37</v>
      </c>
      <c r="O32" s="298" t="s">
        <v>35</v>
      </c>
      <c r="P32" s="314" t="s">
        <v>58</v>
      </c>
      <c r="Q32" s="430" t="s">
        <v>598</v>
      </c>
      <c r="R32" s="299" t="s">
        <v>40</v>
      </c>
      <c r="S32" s="300"/>
    </row>
    <row r="33" spans="1:19">
      <c r="A33" s="427" t="s">
        <v>60</v>
      </c>
      <c r="B33" s="199"/>
      <c r="C33" s="199"/>
      <c r="D33" s="199"/>
      <c r="E33" s="199"/>
      <c r="F33" s="376">
        <v>354.61955999999998</v>
      </c>
      <c r="G33" s="248"/>
      <c r="H33" s="196"/>
      <c r="I33" s="446">
        <v>-4.2077400000000003</v>
      </c>
      <c r="J33" s="451">
        <v>-1.08</v>
      </c>
      <c r="K33" s="401">
        <f t="shared" si="0"/>
        <v>31.493161775684001</v>
      </c>
      <c r="L33" s="438" t="s">
        <v>46</v>
      </c>
      <c r="M33" s="296" t="s">
        <v>16</v>
      </c>
      <c r="N33" s="297" t="s">
        <v>37</v>
      </c>
      <c r="O33" s="298" t="s">
        <v>35</v>
      </c>
      <c r="P33" s="314" t="s">
        <v>58</v>
      </c>
      <c r="Q33" s="430" t="s">
        <v>598</v>
      </c>
      <c r="R33" s="299" t="s">
        <v>40</v>
      </c>
      <c r="S33" s="300"/>
    </row>
    <row r="34" spans="1:19">
      <c r="A34" s="427" t="s">
        <v>60</v>
      </c>
      <c r="B34" s="199"/>
      <c r="C34" s="199"/>
      <c r="D34" s="199"/>
      <c r="E34" s="199"/>
      <c r="F34" s="376">
        <v>354.61955999999998</v>
      </c>
      <c r="G34" s="248"/>
      <c r="H34" s="196"/>
      <c r="I34" s="446">
        <v>-4.15489</v>
      </c>
      <c r="J34" s="451">
        <v>-1.08</v>
      </c>
      <c r="K34" s="401">
        <f t="shared" si="0"/>
        <v>31.218434966088999</v>
      </c>
      <c r="L34" s="438" t="s">
        <v>46</v>
      </c>
      <c r="M34" s="296" t="s">
        <v>16</v>
      </c>
      <c r="N34" s="297" t="s">
        <v>37</v>
      </c>
      <c r="O34" s="298" t="s">
        <v>35</v>
      </c>
      <c r="P34" s="314" t="s">
        <v>58</v>
      </c>
      <c r="Q34" s="430" t="s">
        <v>598</v>
      </c>
      <c r="R34" s="299" t="s">
        <v>40</v>
      </c>
      <c r="S34" s="300"/>
    </row>
    <row r="35" spans="1:19">
      <c r="A35" s="427" t="s">
        <v>60</v>
      </c>
      <c r="B35" s="199"/>
      <c r="C35" s="199"/>
      <c r="D35" s="199"/>
      <c r="E35" s="199"/>
      <c r="F35" s="376">
        <v>355.29</v>
      </c>
      <c r="G35" s="248" t="s">
        <v>20</v>
      </c>
      <c r="H35" s="196"/>
      <c r="I35" s="446">
        <v>-4.6576300000000002</v>
      </c>
      <c r="J35" s="451">
        <v>-1.08</v>
      </c>
      <c r="K35" s="402">
        <f t="shared" si="0"/>
        <v>33.852152477521003</v>
      </c>
      <c r="L35" s="438" t="s">
        <v>46</v>
      </c>
      <c r="M35" s="296" t="s">
        <v>16</v>
      </c>
      <c r="N35" s="297" t="s">
        <v>37</v>
      </c>
      <c r="O35" s="298" t="s">
        <v>35</v>
      </c>
      <c r="P35" s="314" t="s">
        <v>58</v>
      </c>
      <c r="Q35" s="430" t="s">
        <v>598</v>
      </c>
      <c r="R35" s="299" t="s">
        <v>40</v>
      </c>
      <c r="S35" s="300"/>
    </row>
    <row r="36" spans="1:19">
      <c r="A36" s="427" t="s">
        <v>60</v>
      </c>
      <c r="B36" s="199"/>
      <c r="C36" s="199"/>
      <c r="D36" s="199"/>
      <c r="E36" s="199"/>
      <c r="F36" s="376">
        <v>355.70159999999998</v>
      </c>
      <c r="G36" s="248" t="s">
        <v>20</v>
      </c>
      <c r="H36" s="196"/>
      <c r="I36" s="446">
        <v>-4.1556499999999996</v>
      </c>
      <c r="J36" s="451">
        <v>-1.08</v>
      </c>
      <c r="K36" s="402">
        <f t="shared" si="0"/>
        <v>31.222382063024998</v>
      </c>
      <c r="L36" s="438" t="s">
        <v>46</v>
      </c>
      <c r="M36" s="296" t="s">
        <v>16</v>
      </c>
      <c r="N36" s="297" t="s">
        <v>37</v>
      </c>
      <c r="O36" s="298" t="s">
        <v>35</v>
      </c>
      <c r="P36" s="314" t="s">
        <v>58</v>
      </c>
      <c r="Q36" s="430" t="s">
        <v>598</v>
      </c>
      <c r="R36" s="299" t="s">
        <v>40</v>
      </c>
      <c r="S36" s="300"/>
    </row>
    <row r="37" spans="1:19">
      <c r="A37" s="431" t="s">
        <v>60</v>
      </c>
      <c r="B37" s="432"/>
      <c r="C37" s="432"/>
      <c r="D37" s="432"/>
      <c r="E37" s="432"/>
      <c r="F37" s="383">
        <v>358.74959999999999</v>
      </c>
      <c r="G37" s="433" t="s">
        <v>32</v>
      </c>
      <c r="H37" s="226"/>
      <c r="I37" s="447">
        <v>-3.1260400000000002</v>
      </c>
      <c r="J37" s="454">
        <v>-1.08</v>
      </c>
      <c r="K37" s="786">
        <f t="shared" si="0"/>
        <v>25.970390771344004</v>
      </c>
      <c r="L37" s="439" t="s">
        <v>46</v>
      </c>
      <c r="M37" s="386" t="s">
        <v>16</v>
      </c>
      <c r="N37" s="399" t="s">
        <v>37</v>
      </c>
      <c r="O37" s="390" t="s">
        <v>35</v>
      </c>
      <c r="P37" s="388" t="s">
        <v>58</v>
      </c>
      <c r="Q37" s="436" t="s">
        <v>598</v>
      </c>
      <c r="R37" s="299"/>
      <c r="S37" s="300"/>
    </row>
    <row r="38" spans="1:19">
      <c r="A38" s="427" t="s">
        <v>60</v>
      </c>
      <c r="B38" s="199"/>
      <c r="C38" s="199"/>
      <c r="D38" s="199"/>
      <c r="E38" s="199"/>
      <c r="F38" s="448">
        <v>343.34</v>
      </c>
      <c r="H38" s="196"/>
      <c r="I38" s="449">
        <v>-4.9783999999999997</v>
      </c>
      <c r="J38" s="451">
        <v>-1.08</v>
      </c>
      <c r="K38" s="401">
        <f t="shared" si="0"/>
        <v>35.556353030399997</v>
      </c>
      <c r="L38" s="438" t="s">
        <v>672</v>
      </c>
      <c r="M38" s="296" t="s">
        <v>16</v>
      </c>
      <c r="N38" s="297" t="s">
        <v>82</v>
      </c>
      <c r="O38" s="298" t="s">
        <v>35</v>
      </c>
      <c r="P38" s="314" t="s">
        <v>58</v>
      </c>
      <c r="Q38" s="430" t="s">
        <v>598</v>
      </c>
      <c r="R38" s="299" t="s">
        <v>81</v>
      </c>
      <c r="S38" s="300"/>
    </row>
    <row r="39" spans="1:19">
      <c r="A39" s="427" t="s">
        <v>60</v>
      </c>
      <c r="B39" s="199"/>
      <c r="C39" s="199"/>
      <c r="D39" s="199"/>
      <c r="E39" s="199"/>
      <c r="F39" s="448">
        <v>344.26</v>
      </c>
      <c r="H39" s="196"/>
      <c r="I39" s="449">
        <v>-2.9222999999999999</v>
      </c>
      <c r="J39" s="451">
        <v>-1.08</v>
      </c>
      <c r="K39" s="401">
        <f t="shared" si="0"/>
        <v>24.953738236099998</v>
      </c>
      <c r="L39" s="438" t="s">
        <v>672</v>
      </c>
      <c r="M39" s="296" t="s">
        <v>16</v>
      </c>
      <c r="N39" s="297" t="s">
        <v>82</v>
      </c>
      <c r="O39" s="298" t="s">
        <v>35</v>
      </c>
      <c r="P39" s="314" t="s">
        <v>58</v>
      </c>
      <c r="Q39" s="430" t="s">
        <v>598</v>
      </c>
      <c r="R39" s="299" t="s">
        <v>81</v>
      </c>
      <c r="S39" s="300"/>
    </row>
    <row r="40" spans="1:19">
      <c r="A40" s="427" t="s">
        <v>60</v>
      </c>
      <c r="B40" s="199"/>
      <c r="C40" s="199"/>
      <c r="D40" s="199"/>
      <c r="E40" s="199"/>
      <c r="F40" s="448">
        <v>344.56</v>
      </c>
      <c r="H40" s="196"/>
      <c r="I40" s="449">
        <v>-2.4599000000000002</v>
      </c>
      <c r="J40" s="451">
        <v>-1.08</v>
      </c>
      <c r="K40" s="401">
        <f t="shared" si="0"/>
        <v>22.674107160900004</v>
      </c>
      <c r="L40" s="438" t="s">
        <v>672</v>
      </c>
      <c r="M40" s="296" t="s">
        <v>16</v>
      </c>
      <c r="N40" s="297" t="s">
        <v>82</v>
      </c>
      <c r="O40" s="298" t="s">
        <v>35</v>
      </c>
      <c r="P40" s="314" t="s">
        <v>58</v>
      </c>
      <c r="Q40" s="430" t="s">
        <v>598</v>
      </c>
      <c r="R40" s="299" t="s">
        <v>81</v>
      </c>
      <c r="S40" s="300"/>
    </row>
    <row r="41" spans="1:19">
      <c r="A41" s="427" t="s">
        <v>60</v>
      </c>
      <c r="B41" s="199"/>
      <c r="C41" s="199"/>
      <c r="D41" s="199"/>
      <c r="E41" s="199"/>
      <c r="F41" s="450">
        <v>344.87</v>
      </c>
      <c r="H41" s="196"/>
      <c r="I41" s="449">
        <v>-3.0007999999999999</v>
      </c>
      <c r="J41" s="451">
        <v>-1.08</v>
      </c>
      <c r="K41" s="401">
        <f t="shared" si="0"/>
        <v>25.3445645376</v>
      </c>
      <c r="L41" s="438" t="s">
        <v>672</v>
      </c>
      <c r="M41" s="296" t="s">
        <v>16</v>
      </c>
      <c r="N41" s="297" t="s">
        <v>82</v>
      </c>
      <c r="O41" s="298" t="s">
        <v>35</v>
      </c>
      <c r="P41" s="314" t="s">
        <v>58</v>
      </c>
      <c r="Q41" s="430" t="s">
        <v>598</v>
      </c>
      <c r="R41" s="299" t="s">
        <v>81</v>
      </c>
      <c r="S41" s="300"/>
    </row>
    <row r="42" spans="1:19">
      <c r="A42" s="427" t="s">
        <v>60</v>
      </c>
      <c r="B42" s="199"/>
      <c r="C42" s="199"/>
      <c r="D42" s="199"/>
      <c r="E42" s="199"/>
      <c r="F42" s="450">
        <v>345.17</v>
      </c>
      <c r="H42" s="196"/>
      <c r="I42" s="449">
        <v>-2.93</v>
      </c>
      <c r="J42" s="451">
        <v>-1.08</v>
      </c>
      <c r="K42" s="401">
        <f t="shared" si="0"/>
        <v>24.992025000000002</v>
      </c>
      <c r="L42" s="438" t="s">
        <v>672</v>
      </c>
      <c r="M42" s="296" t="s">
        <v>16</v>
      </c>
      <c r="N42" s="297" t="s">
        <v>82</v>
      </c>
      <c r="O42" s="298" t="s">
        <v>35</v>
      </c>
      <c r="P42" s="314" t="s">
        <v>58</v>
      </c>
      <c r="Q42" s="430" t="s">
        <v>598</v>
      </c>
      <c r="R42" s="299" t="s">
        <v>81</v>
      </c>
      <c r="S42" s="300"/>
    </row>
    <row r="43" spans="1:19">
      <c r="A43" s="427" t="s">
        <v>60</v>
      </c>
      <c r="B43" s="199"/>
      <c r="C43" s="199"/>
      <c r="D43" s="199"/>
      <c r="E43" s="199"/>
      <c r="F43" s="450">
        <v>345.48</v>
      </c>
      <c r="H43" s="196"/>
      <c r="I43" s="449">
        <v>-2.6716000000000002</v>
      </c>
      <c r="J43" s="451">
        <v>-1.08</v>
      </c>
      <c r="K43" s="401">
        <f t="shared" si="0"/>
        <v>23.713011150400003</v>
      </c>
      <c r="L43" s="438" t="s">
        <v>672</v>
      </c>
      <c r="M43" s="296" t="s">
        <v>16</v>
      </c>
      <c r="N43" s="297" t="s">
        <v>82</v>
      </c>
      <c r="O43" s="298" t="s">
        <v>35</v>
      </c>
      <c r="P43" s="314" t="s">
        <v>58</v>
      </c>
      <c r="Q43" s="430" t="s">
        <v>598</v>
      </c>
      <c r="R43" s="299" t="s">
        <v>81</v>
      </c>
      <c r="S43" s="300"/>
    </row>
    <row r="44" spans="1:19">
      <c r="A44" s="427" t="s">
        <v>60</v>
      </c>
      <c r="B44" s="199"/>
      <c r="C44" s="199"/>
      <c r="D44" s="199"/>
      <c r="E44" s="199"/>
      <c r="F44" s="450">
        <v>346.82</v>
      </c>
      <c r="H44" s="196"/>
      <c r="I44" s="449">
        <v>-2.6555</v>
      </c>
      <c r="J44" s="451">
        <v>-1.08</v>
      </c>
      <c r="K44" s="401">
        <f t="shared" si="0"/>
        <v>23.633718022499998</v>
      </c>
      <c r="L44" s="438" t="s">
        <v>672</v>
      </c>
      <c r="M44" s="296" t="s">
        <v>16</v>
      </c>
      <c r="N44" s="297" t="s">
        <v>82</v>
      </c>
      <c r="O44" s="298" t="s">
        <v>35</v>
      </c>
      <c r="P44" s="314" t="s">
        <v>58</v>
      </c>
      <c r="Q44" s="430" t="s">
        <v>598</v>
      </c>
      <c r="R44" s="299" t="s">
        <v>81</v>
      </c>
      <c r="S44" s="300"/>
    </row>
    <row r="45" spans="1:19">
      <c r="A45" s="427" t="s">
        <v>60</v>
      </c>
      <c r="B45" s="199"/>
      <c r="C45" s="199"/>
      <c r="D45" s="199"/>
      <c r="E45" s="199"/>
      <c r="F45" s="450">
        <v>347.06</v>
      </c>
      <c r="H45" s="196"/>
      <c r="I45" s="449">
        <v>-2.6774</v>
      </c>
      <c r="J45" s="451">
        <v>-1.08</v>
      </c>
      <c r="K45" s="401">
        <f t="shared" si="0"/>
        <v>23.741587808399998</v>
      </c>
      <c r="L45" s="438" t="s">
        <v>672</v>
      </c>
      <c r="M45" s="296" t="s">
        <v>16</v>
      </c>
      <c r="N45" s="297" t="s">
        <v>82</v>
      </c>
      <c r="O45" s="298" t="s">
        <v>35</v>
      </c>
      <c r="P45" s="314" t="s">
        <v>58</v>
      </c>
      <c r="Q45" s="430" t="s">
        <v>598</v>
      </c>
      <c r="R45" s="299" t="s">
        <v>81</v>
      </c>
      <c r="S45" s="300"/>
    </row>
    <row r="46" spans="1:19">
      <c r="A46" s="427" t="s">
        <v>60</v>
      </c>
      <c r="B46" s="199"/>
      <c r="C46" s="199"/>
      <c r="D46" s="199"/>
      <c r="E46" s="199"/>
      <c r="F46" s="450">
        <v>347.94</v>
      </c>
      <c r="H46" s="196"/>
      <c r="I46" s="449">
        <v>-3.9962</v>
      </c>
      <c r="J46" s="451">
        <v>-1.08</v>
      </c>
      <c r="K46" s="401">
        <f t="shared" si="0"/>
        <v>30.396548019600001</v>
      </c>
      <c r="L46" s="438" t="s">
        <v>672</v>
      </c>
      <c r="M46" s="296" t="s">
        <v>16</v>
      </c>
      <c r="N46" s="297" t="s">
        <v>82</v>
      </c>
      <c r="O46" s="298" t="s">
        <v>35</v>
      </c>
      <c r="P46" s="314" t="s">
        <v>58</v>
      </c>
      <c r="Q46" s="430" t="s">
        <v>598</v>
      </c>
      <c r="R46" s="299" t="s">
        <v>81</v>
      </c>
      <c r="S46" s="300"/>
    </row>
    <row r="47" spans="1:19">
      <c r="A47" s="427" t="s">
        <v>60</v>
      </c>
      <c r="B47" s="199"/>
      <c r="C47" s="199"/>
      <c r="D47" s="199"/>
      <c r="E47" s="199"/>
      <c r="F47" s="450">
        <v>348.83</v>
      </c>
      <c r="H47" s="196"/>
      <c r="I47" s="449">
        <v>-3.3353999999999999</v>
      </c>
      <c r="J47" s="451">
        <v>-1.08</v>
      </c>
      <c r="K47" s="401">
        <f t="shared" si="0"/>
        <v>27.022870624399999</v>
      </c>
      <c r="L47" s="438" t="s">
        <v>672</v>
      </c>
      <c r="M47" s="296" t="s">
        <v>16</v>
      </c>
      <c r="N47" s="297" t="s">
        <v>82</v>
      </c>
      <c r="O47" s="298" t="s">
        <v>35</v>
      </c>
      <c r="P47" s="314" t="s">
        <v>58</v>
      </c>
      <c r="Q47" s="430" t="s">
        <v>598</v>
      </c>
      <c r="R47" s="299" t="s">
        <v>81</v>
      </c>
      <c r="S47" s="300"/>
    </row>
    <row r="48" spans="1:19">
      <c r="A48" s="427" t="s">
        <v>60</v>
      </c>
      <c r="B48" s="199"/>
      <c r="C48" s="199"/>
      <c r="D48" s="199"/>
      <c r="E48" s="199"/>
      <c r="F48" s="450">
        <v>349.04</v>
      </c>
      <c r="H48" s="196"/>
      <c r="I48" s="449">
        <v>-3.2875000000000001</v>
      </c>
      <c r="J48" s="451">
        <v>-1.08</v>
      </c>
      <c r="K48" s="401">
        <f t="shared" si="0"/>
        <v>26.7813750625</v>
      </c>
      <c r="L48" s="438" t="s">
        <v>672</v>
      </c>
      <c r="M48" s="296" t="s">
        <v>16</v>
      </c>
      <c r="N48" s="297" t="s">
        <v>82</v>
      </c>
      <c r="O48" s="298" t="s">
        <v>35</v>
      </c>
      <c r="P48" s="314" t="s">
        <v>58</v>
      </c>
      <c r="Q48" s="430" t="s">
        <v>598</v>
      </c>
      <c r="R48" s="299" t="s">
        <v>81</v>
      </c>
      <c r="S48" s="300"/>
    </row>
    <row r="49" spans="1:19">
      <c r="A49" s="427" t="s">
        <v>60</v>
      </c>
      <c r="B49" s="199"/>
      <c r="C49" s="199"/>
      <c r="D49" s="199"/>
      <c r="E49" s="199"/>
      <c r="F49" s="450">
        <v>349.19</v>
      </c>
      <c r="H49" s="196"/>
      <c r="I49" s="449">
        <v>-3.4308000000000001</v>
      </c>
      <c r="J49" s="451">
        <v>-1.08</v>
      </c>
      <c r="K49" s="401">
        <f t="shared" si="0"/>
        <v>27.5050754576</v>
      </c>
      <c r="L49" s="438" t="s">
        <v>672</v>
      </c>
      <c r="M49" s="296" t="s">
        <v>16</v>
      </c>
      <c r="N49" s="297" t="s">
        <v>82</v>
      </c>
      <c r="O49" s="298" t="s">
        <v>35</v>
      </c>
      <c r="P49" s="314" t="s">
        <v>58</v>
      </c>
      <c r="Q49" s="430" t="s">
        <v>598</v>
      </c>
      <c r="R49" s="299" t="s">
        <v>81</v>
      </c>
      <c r="S49" s="300"/>
    </row>
    <row r="50" spans="1:19">
      <c r="A50" s="427" t="s">
        <v>60</v>
      </c>
      <c r="B50" s="199"/>
      <c r="C50" s="199"/>
      <c r="D50" s="199"/>
      <c r="E50" s="199"/>
      <c r="F50" s="450">
        <v>349.44</v>
      </c>
      <c r="H50" s="196"/>
      <c r="I50" s="449">
        <v>-2.8494999999999999</v>
      </c>
      <c r="J50" s="451">
        <v>-1.08</v>
      </c>
      <c r="K50" s="401">
        <f t="shared" si="0"/>
        <v>24.592281722499997</v>
      </c>
      <c r="L50" s="438" t="s">
        <v>672</v>
      </c>
      <c r="M50" s="296" t="s">
        <v>16</v>
      </c>
      <c r="N50" s="297" t="s">
        <v>82</v>
      </c>
      <c r="O50" s="298" t="s">
        <v>35</v>
      </c>
      <c r="P50" s="314" t="s">
        <v>58</v>
      </c>
      <c r="Q50" s="430" t="s">
        <v>598</v>
      </c>
      <c r="R50" s="299" t="s">
        <v>81</v>
      </c>
      <c r="S50" s="300"/>
    </row>
    <row r="51" spans="1:19">
      <c r="A51" s="427" t="s">
        <v>60</v>
      </c>
      <c r="B51" s="199"/>
      <c r="C51" s="199"/>
      <c r="D51" s="199"/>
      <c r="E51" s="199"/>
      <c r="F51" s="450">
        <v>349.65</v>
      </c>
      <c r="H51" s="196"/>
      <c r="I51" s="449">
        <v>-3.3816999999999999</v>
      </c>
      <c r="J51" s="451">
        <v>-1.08</v>
      </c>
      <c r="K51" s="401">
        <f t="shared" si="0"/>
        <v>27.256692060100001</v>
      </c>
      <c r="L51" s="438" t="s">
        <v>672</v>
      </c>
      <c r="M51" s="296" t="s">
        <v>16</v>
      </c>
      <c r="N51" s="297" t="s">
        <v>82</v>
      </c>
      <c r="O51" s="298" t="s">
        <v>35</v>
      </c>
      <c r="P51" s="314" t="s">
        <v>58</v>
      </c>
      <c r="Q51" s="430" t="s">
        <v>598</v>
      </c>
      <c r="R51" s="299" t="s">
        <v>81</v>
      </c>
      <c r="S51" s="300"/>
    </row>
    <row r="52" spans="1:19">
      <c r="A52" s="427" t="s">
        <v>60</v>
      </c>
      <c r="B52" s="199"/>
      <c r="C52" s="199"/>
      <c r="D52" s="199"/>
      <c r="E52" s="199"/>
      <c r="F52" s="450">
        <v>349.83</v>
      </c>
      <c r="H52" s="196"/>
      <c r="I52" s="449">
        <v>-3.2726999999999999</v>
      </c>
      <c r="J52" s="451">
        <v>-1.08</v>
      </c>
      <c r="K52" s="401">
        <f t="shared" si="0"/>
        <v>26.706841996099996</v>
      </c>
      <c r="L52" s="438" t="s">
        <v>672</v>
      </c>
      <c r="M52" s="296" t="s">
        <v>16</v>
      </c>
      <c r="N52" s="297" t="s">
        <v>82</v>
      </c>
      <c r="O52" s="298" t="s">
        <v>35</v>
      </c>
      <c r="P52" s="314" t="s">
        <v>58</v>
      </c>
      <c r="Q52" s="430" t="s">
        <v>598</v>
      </c>
      <c r="R52" s="299" t="s">
        <v>81</v>
      </c>
      <c r="S52" s="300"/>
    </row>
    <row r="53" spans="1:19">
      <c r="A53" s="427" t="s">
        <v>60</v>
      </c>
      <c r="B53" s="199"/>
      <c r="C53" s="199"/>
      <c r="D53" s="199"/>
      <c r="E53" s="199"/>
      <c r="F53" s="450">
        <v>350.05</v>
      </c>
      <c r="H53" s="196"/>
      <c r="I53" s="449">
        <v>-3.3140000000000001</v>
      </c>
      <c r="J53" s="451">
        <v>-1.08</v>
      </c>
      <c r="K53" s="401">
        <f t="shared" si="0"/>
        <v>26.914928040000003</v>
      </c>
      <c r="L53" s="438" t="s">
        <v>672</v>
      </c>
      <c r="M53" s="296" t="s">
        <v>16</v>
      </c>
      <c r="N53" s="297" t="s">
        <v>82</v>
      </c>
      <c r="O53" s="298" t="s">
        <v>35</v>
      </c>
      <c r="P53" s="314" t="s">
        <v>58</v>
      </c>
      <c r="Q53" s="430" t="s">
        <v>598</v>
      </c>
      <c r="R53" s="299" t="s">
        <v>81</v>
      </c>
      <c r="S53" s="300"/>
    </row>
    <row r="54" spans="1:19">
      <c r="A54" s="427" t="s">
        <v>60</v>
      </c>
      <c r="B54" s="199"/>
      <c r="C54" s="199"/>
      <c r="D54" s="199"/>
      <c r="E54" s="199"/>
      <c r="F54" s="450">
        <v>350.26</v>
      </c>
      <c r="H54" s="196"/>
      <c r="I54" s="449">
        <v>-3.08</v>
      </c>
      <c r="J54" s="451">
        <v>-1.08</v>
      </c>
      <c r="K54" s="401">
        <f t="shared" si="0"/>
        <v>25.740000000000002</v>
      </c>
      <c r="L54" s="438" t="s">
        <v>672</v>
      </c>
      <c r="M54" s="296" t="s">
        <v>16</v>
      </c>
      <c r="N54" s="297" t="s">
        <v>82</v>
      </c>
      <c r="O54" s="298" t="s">
        <v>35</v>
      </c>
      <c r="P54" s="314" t="s">
        <v>58</v>
      </c>
      <c r="Q54" s="430" t="s">
        <v>598</v>
      </c>
      <c r="R54" s="299" t="s">
        <v>81</v>
      </c>
      <c r="S54" s="300"/>
    </row>
    <row r="55" spans="1:19">
      <c r="A55" s="427" t="s">
        <v>60</v>
      </c>
      <c r="B55" s="199"/>
      <c r="C55" s="199"/>
      <c r="D55" s="199"/>
      <c r="E55" s="199"/>
      <c r="F55" s="450">
        <v>350.44</v>
      </c>
      <c r="H55" s="196"/>
      <c r="I55" s="449">
        <v>-2.6465000000000001</v>
      </c>
      <c r="J55" s="451">
        <v>-1.08</v>
      </c>
      <c r="K55" s="401">
        <f t="shared" si="0"/>
        <v>23.589413002500002</v>
      </c>
      <c r="L55" s="438" t="s">
        <v>672</v>
      </c>
      <c r="M55" s="296" t="s">
        <v>16</v>
      </c>
      <c r="N55" s="297" t="s">
        <v>82</v>
      </c>
      <c r="O55" s="298" t="s">
        <v>35</v>
      </c>
      <c r="P55" s="314" t="s">
        <v>58</v>
      </c>
      <c r="Q55" s="430" t="s">
        <v>598</v>
      </c>
      <c r="R55" s="299" t="s">
        <v>81</v>
      </c>
      <c r="S55" s="300"/>
    </row>
    <row r="56" spans="1:19">
      <c r="A56" s="427" t="s">
        <v>60</v>
      </c>
      <c r="B56" s="199"/>
      <c r="C56" s="199"/>
      <c r="D56" s="199"/>
      <c r="E56" s="199"/>
      <c r="F56" s="450">
        <v>350.66</v>
      </c>
      <c r="H56" s="196"/>
      <c r="I56" s="449">
        <v>-4.0290999999999997</v>
      </c>
      <c r="J56" s="451">
        <v>-1.08</v>
      </c>
      <c r="K56" s="401">
        <f t="shared" si="0"/>
        <v>30.566571172899998</v>
      </c>
      <c r="L56" s="438" t="s">
        <v>672</v>
      </c>
      <c r="M56" s="296" t="s">
        <v>16</v>
      </c>
      <c r="N56" s="297" t="s">
        <v>82</v>
      </c>
      <c r="O56" s="298" t="s">
        <v>35</v>
      </c>
      <c r="P56" s="314" t="s">
        <v>58</v>
      </c>
      <c r="Q56" s="430" t="s">
        <v>598</v>
      </c>
      <c r="R56" s="299" t="s">
        <v>81</v>
      </c>
      <c r="S56" s="300"/>
    </row>
    <row r="57" spans="1:19">
      <c r="A57" s="427" t="s">
        <v>60</v>
      </c>
      <c r="B57" s="199"/>
      <c r="C57" s="199"/>
      <c r="D57" s="199"/>
      <c r="E57" s="199"/>
      <c r="F57" s="450">
        <v>350.87</v>
      </c>
      <c r="H57" s="196"/>
      <c r="I57" s="449">
        <v>-3.8927999999999998</v>
      </c>
      <c r="J57" s="451">
        <v>-1.08</v>
      </c>
      <c r="K57" s="401">
        <f t="shared" si="0"/>
        <v>29.8634579456</v>
      </c>
      <c r="L57" s="438" t="s">
        <v>672</v>
      </c>
      <c r="M57" s="296" t="s">
        <v>16</v>
      </c>
      <c r="N57" s="297" t="s">
        <v>82</v>
      </c>
      <c r="O57" s="298" t="s">
        <v>35</v>
      </c>
      <c r="P57" s="314" t="s">
        <v>58</v>
      </c>
      <c r="Q57" s="430" t="s">
        <v>598</v>
      </c>
      <c r="R57" s="299" t="s">
        <v>81</v>
      </c>
      <c r="S57" s="300"/>
    </row>
    <row r="58" spans="1:19">
      <c r="A58" s="427" t="s">
        <v>60</v>
      </c>
      <c r="B58" s="199"/>
      <c r="C58" s="199"/>
      <c r="D58" s="199"/>
      <c r="E58" s="199"/>
      <c r="F58" s="450">
        <v>351.3</v>
      </c>
      <c r="H58" s="196"/>
      <c r="I58" s="449">
        <v>-3.6737000000000002</v>
      </c>
      <c r="J58" s="451">
        <v>-1.08</v>
      </c>
      <c r="K58" s="401">
        <f t="shared" si="0"/>
        <v>28.740223172100002</v>
      </c>
      <c r="L58" s="438" t="s">
        <v>672</v>
      </c>
      <c r="M58" s="296" t="s">
        <v>16</v>
      </c>
      <c r="N58" s="297" t="s">
        <v>82</v>
      </c>
      <c r="O58" s="298" t="s">
        <v>35</v>
      </c>
      <c r="P58" s="314" t="s">
        <v>58</v>
      </c>
      <c r="Q58" s="430" t="s">
        <v>598</v>
      </c>
      <c r="R58" s="299" t="s">
        <v>81</v>
      </c>
      <c r="S58" s="300"/>
    </row>
    <row r="59" spans="1:19">
      <c r="A59" s="427" t="s">
        <v>60</v>
      </c>
      <c r="B59" s="199"/>
      <c r="C59" s="199"/>
      <c r="D59" s="199"/>
      <c r="E59" s="199"/>
      <c r="F59" s="450">
        <v>351.51</v>
      </c>
      <c r="H59" s="196"/>
      <c r="I59" s="449">
        <v>-3.0545</v>
      </c>
      <c r="J59" s="451">
        <v>-1.08</v>
      </c>
      <c r="K59" s="401">
        <f t="shared" si="0"/>
        <v>25.612558522499999</v>
      </c>
      <c r="L59" s="438" t="s">
        <v>672</v>
      </c>
      <c r="M59" s="296" t="s">
        <v>16</v>
      </c>
      <c r="N59" s="297" t="s">
        <v>82</v>
      </c>
      <c r="O59" s="298" t="s">
        <v>35</v>
      </c>
      <c r="P59" s="314" t="s">
        <v>58</v>
      </c>
      <c r="Q59" s="430" t="s">
        <v>598</v>
      </c>
      <c r="R59" s="299" t="s">
        <v>81</v>
      </c>
      <c r="S59" s="300"/>
    </row>
    <row r="60" spans="1:19">
      <c r="A60" s="427" t="s">
        <v>60</v>
      </c>
      <c r="B60" s="199"/>
      <c r="C60" s="199"/>
      <c r="D60" s="199"/>
      <c r="E60" s="199"/>
      <c r="F60" s="450">
        <v>351.72</v>
      </c>
      <c r="H60" s="196"/>
      <c r="I60" s="449">
        <v>-3.0150000000000001</v>
      </c>
      <c r="J60" s="451">
        <v>-1.08</v>
      </c>
      <c r="K60" s="401">
        <f t="shared" si="0"/>
        <v>25.415380250000002</v>
      </c>
      <c r="L60" s="438" t="s">
        <v>672</v>
      </c>
      <c r="M60" s="296" t="s">
        <v>16</v>
      </c>
      <c r="N60" s="297" t="s">
        <v>82</v>
      </c>
      <c r="O60" s="298" t="s">
        <v>35</v>
      </c>
      <c r="P60" s="314" t="s">
        <v>58</v>
      </c>
      <c r="Q60" s="430" t="s">
        <v>598</v>
      </c>
      <c r="R60" s="299" t="s">
        <v>81</v>
      </c>
      <c r="S60" s="300"/>
    </row>
    <row r="61" spans="1:19">
      <c r="A61" s="427" t="s">
        <v>60</v>
      </c>
      <c r="B61" s="199"/>
      <c r="C61" s="199"/>
      <c r="D61" s="199"/>
      <c r="E61" s="199"/>
      <c r="F61" s="450">
        <v>352.18</v>
      </c>
      <c r="H61" s="196"/>
      <c r="I61" s="449">
        <v>-3.5992000000000002</v>
      </c>
      <c r="J61" s="451">
        <v>-1.08</v>
      </c>
      <c r="K61" s="401">
        <f t="shared" si="0"/>
        <v>28.360261177599998</v>
      </c>
      <c r="L61" s="438" t="s">
        <v>672</v>
      </c>
      <c r="M61" s="296" t="s">
        <v>16</v>
      </c>
      <c r="N61" s="297" t="s">
        <v>82</v>
      </c>
      <c r="O61" s="298" t="s">
        <v>35</v>
      </c>
      <c r="P61" s="314" t="s">
        <v>58</v>
      </c>
      <c r="Q61" s="430" t="s">
        <v>598</v>
      </c>
      <c r="R61" s="299" t="s">
        <v>81</v>
      </c>
      <c r="S61" s="300"/>
    </row>
    <row r="62" spans="1:19">
      <c r="A62" s="427" t="s">
        <v>60</v>
      </c>
      <c r="B62" s="199"/>
      <c r="C62" s="199"/>
      <c r="D62" s="199"/>
      <c r="E62" s="199"/>
      <c r="F62" s="450">
        <v>352.39</v>
      </c>
      <c r="H62" s="196"/>
      <c r="I62" s="449">
        <v>-3.0448</v>
      </c>
      <c r="J62" s="451">
        <v>-1.08</v>
      </c>
      <c r="K62" s="401">
        <f t="shared" si="0"/>
        <v>25.564111513600004</v>
      </c>
      <c r="L62" s="438" t="s">
        <v>672</v>
      </c>
      <c r="M62" s="296" t="s">
        <v>16</v>
      </c>
      <c r="N62" s="297" t="s">
        <v>82</v>
      </c>
      <c r="O62" s="298" t="s">
        <v>35</v>
      </c>
      <c r="P62" s="314" t="s">
        <v>58</v>
      </c>
      <c r="Q62" s="430" t="s">
        <v>598</v>
      </c>
      <c r="R62" s="299" t="s">
        <v>81</v>
      </c>
      <c r="S62" s="300"/>
    </row>
    <row r="63" spans="1:19">
      <c r="A63" s="427" t="s">
        <v>60</v>
      </c>
      <c r="B63" s="199"/>
      <c r="C63" s="199"/>
      <c r="D63" s="199"/>
      <c r="E63" s="199"/>
      <c r="F63" s="450">
        <v>352.61</v>
      </c>
      <c r="H63" s="196"/>
      <c r="I63" s="449">
        <v>-3.3195999999999999</v>
      </c>
      <c r="J63" s="451">
        <v>-1.08</v>
      </c>
      <c r="K63" s="401">
        <f t="shared" si="0"/>
        <v>26.943166734400002</v>
      </c>
      <c r="L63" s="438" t="s">
        <v>672</v>
      </c>
      <c r="M63" s="296" t="s">
        <v>16</v>
      </c>
      <c r="N63" s="297" t="s">
        <v>82</v>
      </c>
      <c r="O63" s="298" t="s">
        <v>35</v>
      </c>
      <c r="P63" s="314" t="s">
        <v>58</v>
      </c>
      <c r="Q63" s="430" t="s">
        <v>598</v>
      </c>
      <c r="R63" s="299" t="s">
        <v>81</v>
      </c>
      <c r="S63" s="300"/>
    </row>
    <row r="64" spans="1:19">
      <c r="A64" s="427" t="s">
        <v>60</v>
      </c>
      <c r="B64" s="199"/>
      <c r="C64" s="199"/>
      <c r="D64" s="199"/>
      <c r="E64" s="199"/>
      <c r="F64" s="450">
        <v>352.82</v>
      </c>
      <c r="H64" s="196"/>
      <c r="I64" s="449">
        <v>-3.7</v>
      </c>
      <c r="J64" s="451">
        <v>-1.08</v>
      </c>
      <c r="K64" s="401">
        <f t="shared" si="0"/>
        <v>28.874596</v>
      </c>
      <c r="L64" s="438" t="s">
        <v>672</v>
      </c>
      <c r="M64" s="296" t="s">
        <v>16</v>
      </c>
      <c r="N64" s="297" t="s">
        <v>82</v>
      </c>
      <c r="O64" s="298" t="s">
        <v>35</v>
      </c>
      <c r="P64" s="314" t="s">
        <v>58</v>
      </c>
      <c r="Q64" s="430" t="s">
        <v>598</v>
      </c>
      <c r="R64" s="299" t="s">
        <v>81</v>
      </c>
      <c r="S64" s="300"/>
    </row>
    <row r="65" spans="1:19">
      <c r="A65" s="427" t="s">
        <v>60</v>
      </c>
      <c r="B65" s="199"/>
      <c r="C65" s="199"/>
      <c r="D65" s="199"/>
      <c r="E65" s="199"/>
      <c r="F65" s="448">
        <v>353.03</v>
      </c>
      <c r="H65" s="196"/>
      <c r="I65" s="451">
        <v>-3.7103999999999999</v>
      </c>
      <c r="J65" s="451">
        <v>-1.08</v>
      </c>
      <c r="K65" s="401">
        <f t="shared" si="0"/>
        <v>28.927766374400001</v>
      </c>
      <c r="L65" s="438" t="s">
        <v>672</v>
      </c>
      <c r="M65" s="296" t="s">
        <v>16</v>
      </c>
      <c r="N65" s="297" t="s">
        <v>82</v>
      </c>
      <c r="O65" s="298" t="s">
        <v>35</v>
      </c>
      <c r="P65" s="314" t="s">
        <v>58</v>
      </c>
      <c r="Q65" s="430" t="s">
        <v>598</v>
      </c>
      <c r="R65" s="299" t="s">
        <v>81</v>
      </c>
      <c r="S65" s="300"/>
    </row>
    <row r="66" spans="1:19">
      <c r="A66" s="427" t="s">
        <v>60</v>
      </c>
      <c r="B66" s="199"/>
      <c r="C66" s="199"/>
      <c r="D66" s="199"/>
      <c r="E66" s="199"/>
      <c r="F66" s="448">
        <v>353.25</v>
      </c>
      <c r="H66" s="196"/>
      <c r="I66" s="451">
        <v>-3.11</v>
      </c>
      <c r="J66" s="451">
        <v>-1.08</v>
      </c>
      <c r="K66" s="401">
        <f t="shared" si="0"/>
        <v>25.890080999999999</v>
      </c>
      <c r="L66" s="438" t="s">
        <v>672</v>
      </c>
      <c r="M66" s="296" t="s">
        <v>16</v>
      </c>
      <c r="N66" s="297" t="s">
        <v>82</v>
      </c>
      <c r="O66" s="298" t="s">
        <v>35</v>
      </c>
      <c r="P66" s="314" t="s">
        <v>58</v>
      </c>
      <c r="Q66" s="430" t="s">
        <v>598</v>
      </c>
      <c r="R66" s="299" t="s">
        <v>81</v>
      </c>
      <c r="S66" s="300"/>
    </row>
    <row r="67" spans="1:19">
      <c r="A67" s="427" t="s">
        <v>60</v>
      </c>
      <c r="B67" s="199"/>
      <c r="C67" s="199"/>
      <c r="D67" s="199"/>
      <c r="E67" s="199"/>
      <c r="F67" s="448">
        <v>353.61</v>
      </c>
      <c r="H67" s="196"/>
      <c r="I67" s="451">
        <v>-2.88</v>
      </c>
      <c r="J67" s="451">
        <v>-1.08</v>
      </c>
      <c r="K67" s="401">
        <f t="shared" si="0"/>
        <v>24.743599999999997</v>
      </c>
      <c r="L67" s="438" t="s">
        <v>672</v>
      </c>
      <c r="M67" s="296" t="s">
        <v>16</v>
      </c>
      <c r="N67" s="297" t="s">
        <v>82</v>
      </c>
      <c r="O67" s="298" t="s">
        <v>35</v>
      </c>
      <c r="P67" s="314" t="s">
        <v>58</v>
      </c>
      <c r="Q67" s="430" t="s">
        <v>598</v>
      </c>
      <c r="R67" s="299" t="s">
        <v>81</v>
      </c>
      <c r="S67" s="300"/>
    </row>
    <row r="68" spans="1:19">
      <c r="A68" s="427" t="s">
        <v>60</v>
      </c>
      <c r="B68" s="199"/>
      <c r="C68" s="199"/>
      <c r="D68" s="199"/>
      <c r="E68" s="199"/>
      <c r="F68" s="448">
        <v>353.8</v>
      </c>
      <c r="H68" s="196"/>
      <c r="I68" s="451">
        <v>-2.7</v>
      </c>
      <c r="J68" s="451">
        <v>-1.08</v>
      </c>
      <c r="K68" s="401">
        <f t="shared" si="0"/>
        <v>23.852996000000001</v>
      </c>
      <c r="L68" s="438" t="s">
        <v>672</v>
      </c>
      <c r="M68" s="296" t="s">
        <v>16</v>
      </c>
      <c r="N68" s="297" t="s">
        <v>82</v>
      </c>
      <c r="O68" s="298" t="s">
        <v>35</v>
      </c>
      <c r="P68" s="314" t="s">
        <v>58</v>
      </c>
      <c r="Q68" s="430" t="s">
        <v>598</v>
      </c>
      <c r="R68" s="299" t="s">
        <v>81</v>
      </c>
      <c r="S68" s="300"/>
    </row>
    <row r="69" spans="1:19">
      <c r="A69" s="427" t="s">
        <v>60</v>
      </c>
      <c r="B69" s="199"/>
      <c r="C69" s="199"/>
      <c r="D69" s="199"/>
      <c r="E69" s="199"/>
      <c r="F69" s="448">
        <v>353.95</v>
      </c>
      <c r="H69" s="196"/>
      <c r="I69" s="451">
        <v>-3.42</v>
      </c>
      <c r="J69" s="451">
        <v>-1.08</v>
      </c>
      <c r="K69" s="401">
        <f t="shared" si="0"/>
        <v>27.450403999999999</v>
      </c>
      <c r="L69" s="438" t="s">
        <v>672</v>
      </c>
      <c r="M69" s="296" t="s">
        <v>16</v>
      </c>
      <c r="N69" s="297" t="s">
        <v>82</v>
      </c>
      <c r="O69" s="298" t="s">
        <v>35</v>
      </c>
      <c r="P69" s="314" t="s">
        <v>58</v>
      </c>
      <c r="Q69" s="430" t="s">
        <v>598</v>
      </c>
      <c r="R69" s="299" t="s">
        <v>81</v>
      </c>
      <c r="S69" s="300"/>
    </row>
    <row r="70" spans="1:19">
      <c r="A70" s="427" t="s">
        <v>60</v>
      </c>
      <c r="B70" s="199"/>
      <c r="C70" s="199"/>
      <c r="D70" s="199"/>
      <c r="E70" s="199"/>
      <c r="F70" s="448">
        <v>354.1</v>
      </c>
      <c r="H70" s="196"/>
      <c r="I70" s="451">
        <v>-2.95</v>
      </c>
      <c r="J70" s="451">
        <v>-1.08</v>
      </c>
      <c r="K70" s="401">
        <f t="shared" si="0"/>
        <v>25.091521</v>
      </c>
      <c r="L70" s="438" t="s">
        <v>672</v>
      </c>
      <c r="M70" s="296" t="s">
        <v>16</v>
      </c>
      <c r="N70" s="297" t="s">
        <v>82</v>
      </c>
      <c r="O70" s="298" t="s">
        <v>35</v>
      </c>
      <c r="P70" s="314" t="s">
        <v>58</v>
      </c>
      <c r="Q70" s="430" t="s">
        <v>598</v>
      </c>
      <c r="R70" s="299" t="s">
        <v>81</v>
      </c>
      <c r="S70" s="300"/>
    </row>
    <row r="71" spans="1:19">
      <c r="A71" s="427" t="s">
        <v>60</v>
      </c>
      <c r="B71" s="199"/>
      <c r="C71" s="199"/>
      <c r="D71" s="199"/>
      <c r="E71" s="199"/>
      <c r="F71" s="448">
        <v>354.25</v>
      </c>
      <c r="H71" s="196"/>
      <c r="I71" s="451">
        <v>-2.8601000000000001</v>
      </c>
      <c r="J71" s="451">
        <v>-1.08</v>
      </c>
      <c r="K71" s="401">
        <f t="shared" si="0"/>
        <v>24.644852040900002</v>
      </c>
      <c r="L71" s="438" t="s">
        <v>672</v>
      </c>
      <c r="M71" s="296" t="s">
        <v>16</v>
      </c>
      <c r="N71" s="297" t="s">
        <v>82</v>
      </c>
      <c r="O71" s="298" t="s">
        <v>35</v>
      </c>
      <c r="P71" s="314" t="s">
        <v>58</v>
      </c>
      <c r="Q71" s="430" t="s">
        <v>598</v>
      </c>
      <c r="R71" s="299" t="s">
        <v>81</v>
      </c>
      <c r="S71" s="300"/>
    </row>
    <row r="72" spans="1:19">
      <c r="A72" s="427" t="s">
        <v>60</v>
      </c>
      <c r="B72" s="199"/>
      <c r="C72" s="199"/>
      <c r="D72" s="199"/>
      <c r="E72" s="199"/>
      <c r="F72" s="448">
        <v>354.41</v>
      </c>
      <c r="H72" s="196"/>
      <c r="I72" s="451">
        <v>-3.5611999999999999</v>
      </c>
      <c r="J72" s="451">
        <v>-1.08</v>
      </c>
      <c r="K72" s="401">
        <f t="shared" si="0"/>
        <v>28.166839809599999</v>
      </c>
      <c r="L72" s="438" t="s">
        <v>672</v>
      </c>
      <c r="M72" s="296" t="s">
        <v>16</v>
      </c>
      <c r="N72" s="297" t="s">
        <v>82</v>
      </c>
      <c r="O72" s="298" t="s">
        <v>35</v>
      </c>
      <c r="P72" s="314" t="s">
        <v>58</v>
      </c>
      <c r="Q72" s="430" t="s">
        <v>598</v>
      </c>
      <c r="R72" s="299" t="s">
        <v>81</v>
      </c>
      <c r="S72" s="300"/>
    </row>
    <row r="73" spans="1:19">
      <c r="A73" s="427" t="s">
        <v>60</v>
      </c>
      <c r="B73" s="199"/>
      <c r="C73" s="199"/>
      <c r="D73" s="199"/>
      <c r="E73" s="199"/>
      <c r="F73" s="448">
        <v>354.56</v>
      </c>
      <c r="H73" s="196"/>
      <c r="I73" s="451">
        <v>-3.77</v>
      </c>
      <c r="J73" s="451">
        <v>-1.08</v>
      </c>
      <c r="K73" s="401">
        <f t="shared" si="0"/>
        <v>29.232849000000002</v>
      </c>
      <c r="L73" s="438" t="s">
        <v>672</v>
      </c>
      <c r="M73" s="296" t="s">
        <v>16</v>
      </c>
      <c r="N73" s="297" t="s">
        <v>82</v>
      </c>
      <c r="O73" s="298" t="s">
        <v>35</v>
      </c>
      <c r="P73" s="314" t="s">
        <v>58</v>
      </c>
      <c r="Q73" s="430" t="s">
        <v>598</v>
      </c>
      <c r="R73" s="299" t="s">
        <v>81</v>
      </c>
      <c r="S73" s="300"/>
    </row>
    <row r="74" spans="1:19">
      <c r="A74" s="427" t="s">
        <v>60</v>
      </c>
      <c r="B74" s="199"/>
      <c r="C74" s="199"/>
      <c r="D74" s="199"/>
      <c r="E74" s="199"/>
      <c r="F74" s="448">
        <v>354.71</v>
      </c>
      <c r="H74" s="196"/>
      <c r="I74" s="451">
        <v>-3.2801999999999998</v>
      </c>
      <c r="J74" s="451">
        <v>-1.08</v>
      </c>
      <c r="K74" s="401">
        <f t="shared" ref="K74:K99" si="1">16.1-4.64*($I74-J74)+0.09*($I74-J74)^2</f>
        <v>26.744607203600001</v>
      </c>
      <c r="L74" s="438" t="s">
        <v>672</v>
      </c>
      <c r="M74" s="296" t="s">
        <v>16</v>
      </c>
      <c r="N74" s="297" t="s">
        <v>82</v>
      </c>
      <c r="O74" s="298" t="s">
        <v>35</v>
      </c>
      <c r="P74" s="314" t="s">
        <v>58</v>
      </c>
      <c r="Q74" s="430" t="s">
        <v>598</v>
      </c>
      <c r="R74" s="299" t="s">
        <v>81</v>
      </c>
      <c r="S74" s="300"/>
    </row>
    <row r="75" spans="1:19">
      <c r="A75" s="427" t="s">
        <v>60</v>
      </c>
      <c r="B75" s="199"/>
      <c r="C75" s="199"/>
      <c r="D75" s="199"/>
      <c r="E75" s="199"/>
      <c r="F75" s="448">
        <v>354.86</v>
      </c>
      <c r="H75" s="196"/>
      <c r="I75" s="451">
        <v>-3.4398</v>
      </c>
      <c r="J75" s="451">
        <v>-1.08</v>
      </c>
      <c r="K75" s="401">
        <f t="shared" si="1"/>
        <v>27.550651043600002</v>
      </c>
      <c r="L75" s="438" t="s">
        <v>672</v>
      </c>
      <c r="M75" s="296" t="s">
        <v>16</v>
      </c>
      <c r="N75" s="297" t="s">
        <v>82</v>
      </c>
      <c r="O75" s="298" t="s">
        <v>35</v>
      </c>
      <c r="P75" s="314" t="s">
        <v>58</v>
      </c>
      <c r="Q75" s="430" t="s">
        <v>598</v>
      </c>
      <c r="R75" s="299" t="s">
        <v>81</v>
      </c>
      <c r="S75" s="300"/>
    </row>
    <row r="76" spans="1:19">
      <c r="A76" s="427" t="s">
        <v>60</v>
      </c>
      <c r="B76" s="199"/>
      <c r="C76" s="199"/>
      <c r="D76" s="199"/>
      <c r="E76" s="199"/>
      <c r="F76" s="452">
        <v>354.99</v>
      </c>
      <c r="G76" s="156" t="s">
        <v>661</v>
      </c>
      <c r="H76" s="196"/>
      <c r="I76" s="451">
        <v>-3.4996999999999998</v>
      </c>
      <c r="J76" s="451">
        <v>-1.08</v>
      </c>
      <c r="K76" s="402">
        <f t="shared" si="1"/>
        <v>27.854353328099997</v>
      </c>
      <c r="L76" s="438" t="s">
        <v>672</v>
      </c>
      <c r="M76" s="296" t="s">
        <v>16</v>
      </c>
      <c r="N76" s="297" t="s">
        <v>82</v>
      </c>
      <c r="O76" s="298" t="s">
        <v>35</v>
      </c>
      <c r="P76" s="314" t="s">
        <v>58</v>
      </c>
      <c r="Q76" s="430" t="s">
        <v>598</v>
      </c>
      <c r="R76" s="299" t="s">
        <v>81</v>
      </c>
      <c r="S76" s="300"/>
    </row>
    <row r="77" spans="1:19">
      <c r="A77" s="427" t="s">
        <v>60</v>
      </c>
      <c r="B77" s="199"/>
      <c r="C77" s="199"/>
      <c r="D77" s="199"/>
      <c r="E77" s="199"/>
      <c r="F77" s="452">
        <v>355.14</v>
      </c>
      <c r="G77" s="156" t="s">
        <v>661</v>
      </c>
      <c r="H77" s="196"/>
      <c r="I77" s="451">
        <v>-2.9037000000000002</v>
      </c>
      <c r="J77" s="451">
        <v>-1.08</v>
      </c>
      <c r="K77" s="402">
        <f t="shared" si="1"/>
        <v>24.861297352099999</v>
      </c>
      <c r="L77" s="438" t="s">
        <v>672</v>
      </c>
      <c r="M77" s="296" t="s">
        <v>16</v>
      </c>
      <c r="N77" s="297" t="s">
        <v>82</v>
      </c>
      <c r="O77" s="298" t="s">
        <v>35</v>
      </c>
      <c r="P77" s="314" t="s">
        <v>58</v>
      </c>
      <c r="Q77" s="430" t="s">
        <v>598</v>
      </c>
      <c r="R77" s="299" t="s">
        <v>81</v>
      </c>
      <c r="S77" s="300"/>
    </row>
    <row r="78" spans="1:19">
      <c r="A78" s="427" t="s">
        <v>60</v>
      </c>
      <c r="B78" s="199"/>
      <c r="C78" s="199"/>
      <c r="D78" s="199"/>
      <c r="E78" s="199"/>
      <c r="F78" s="452">
        <v>355.26</v>
      </c>
      <c r="G78" s="156" t="s">
        <v>661</v>
      </c>
      <c r="H78" s="196"/>
      <c r="I78" s="451">
        <v>-3.0832000000000002</v>
      </c>
      <c r="J78" s="451">
        <v>-1.08</v>
      </c>
      <c r="K78" s="402">
        <f t="shared" si="1"/>
        <v>25.756000921600002</v>
      </c>
      <c r="L78" s="438" t="s">
        <v>672</v>
      </c>
      <c r="M78" s="296" t="s">
        <v>16</v>
      </c>
      <c r="N78" s="297" t="s">
        <v>82</v>
      </c>
      <c r="O78" s="298" t="s">
        <v>35</v>
      </c>
      <c r="P78" s="314" t="s">
        <v>58</v>
      </c>
      <c r="Q78" s="430" t="s">
        <v>598</v>
      </c>
      <c r="R78" s="299" t="s">
        <v>81</v>
      </c>
      <c r="S78" s="300"/>
    </row>
    <row r="79" spans="1:19">
      <c r="A79" s="427" t="s">
        <v>60</v>
      </c>
      <c r="B79" s="199"/>
      <c r="C79" s="199"/>
      <c r="D79" s="199"/>
      <c r="E79" s="199"/>
      <c r="F79" s="452">
        <v>355.53</v>
      </c>
      <c r="G79" s="156" t="s">
        <v>661</v>
      </c>
      <c r="H79" s="196"/>
      <c r="I79" s="451">
        <v>-3.0007999999999999</v>
      </c>
      <c r="J79" s="451">
        <v>-1.08</v>
      </c>
      <c r="K79" s="402">
        <f t="shared" si="1"/>
        <v>25.3445645376</v>
      </c>
      <c r="L79" s="438" t="s">
        <v>672</v>
      </c>
      <c r="M79" s="296" t="s">
        <v>16</v>
      </c>
      <c r="N79" s="297" t="s">
        <v>82</v>
      </c>
      <c r="O79" s="298" t="s">
        <v>35</v>
      </c>
      <c r="P79" s="314" t="s">
        <v>58</v>
      </c>
      <c r="Q79" s="430" t="s">
        <v>598</v>
      </c>
      <c r="R79" s="299" t="s">
        <v>81</v>
      </c>
      <c r="S79" s="300"/>
    </row>
    <row r="80" spans="1:19">
      <c r="A80" s="427" t="s">
        <v>60</v>
      </c>
      <c r="B80" s="199"/>
      <c r="C80" s="199"/>
      <c r="D80" s="199"/>
      <c r="E80" s="199"/>
      <c r="F80" s="452">
        <v>355.63</v>
      </c>
      <c r="G80" s="156" t="s">
        <v>661</v>
      </c>
      <c r="H80" s="196"/>
      <c r="I80" s="451">
        <v>-2.8815</v>
      </c>
      <c r="J80" s="451">
        <v>-1.08</v>
      </c>
      <c r="K80" s="402">
        <f t="shared" si="1"/>
        <v>24.7510462025</v>
      </c>
      <c r="L80" s="438" t="s">
        <v>672</v>
      </c>
      <c r="M80" s="296" t="s">
        <v>16</v>
      </c>
      <c r="N80" s="297" t="s">
        <v>82</v>
      </c>
      <c r="O80" s="298" t="s">
        <v>35</v>
      </c>
      <c r="P80" s="314" t="s">
        <v>58</v>
      </c>
      <c r="Q80" s="430" t="s">
        <v>598</v>
      </c>
      <c r="R80" s="299" t="s">
        <v>81</v>
      </c>
      <c r="S80" s="300"/>
    </row>
    <row r="81" spans="1:19">
      <c r="A81" s="427" t="s">
        <v>60</v>
      </c>
      <c r="B81" s="199"/>
      <c r="C81" s="199"/>
      <c r="D81" s="199"/>
      <c r="E81" s="199"/>
      <c r="F81" s="452">
        <v>355.72</v>
      </c>
      <c r="G81" s="156" t="s">
        <v>661</v>
      </c>
      <c r="H81" s="196"/>
      <c r="I81" s="451">
        <v>-2.8517999999999999</v>
      </c>
      <c r="J81" s="451">
        <v>-1.08</v>
      </c>
      <c r="K81" s="402">
        <f t="shared" si="1"/>
        <v>24.603686771599996</v>
      </c>
      <c r="L81" s="438" t="s">
        <v>672</v>
      </c>
      <c r="M81" s="296" t="s">
        <v>16</v>
      </c>
      <c r="N81" s="297" t="s">
        <v>82</v>
      </c>
      <c r="O81" s="298" t="s">
        <v>35</v>
      </c>
      <c r="P81" s="314" t="s">
        <v>58</v>
      </c>
      <c r="Q81" s="430" t="s">
        <v>598</v>
      </c>
      <c r="R81" s="299" t="s">
        <v>81</v>
      </c>
      <c r="S81" s="300"/>
    </row>
    <row r="82" spans="1:19">
      <c r="A82" s="427" t="s">
        <v>60</v>
      </c>
      <c r="B82" s="199"/>
      <c r="C82" s="199"/>
      <c r="D82" s="199"/>
      <c r="E82" s="199"/>
      <c r="F82" s="452">
        <v>355.84</v>
      </c>
      <c r="G82" s="156" t="s">
        <v>661</v>
      </c>
      <c r="H82" s="196"/>
      <c r="I82" s="451">
        <v>-2.9628000000000001</v>
      </c>
      <c r="J82" s="451">
        <v>-1.08</v>
      </c>
      <c r="K82" s="402">
        <f t="shared" si="1"/>
        <v>25.155236225599999</v>
      </c>
      <c r="L82" s="438" t="s">
        <v>672</v>
      </c>
      <c r="M82" s="296" t="s">
        <v>16</v>
      </c>
      <c r="N82" s="297" t="s">
        <v>82</v>
      </c>
      <c r="O82" s="298" t="s">
        <v>35</v>
      </c>
      <c r="P82" s="314" t="s">
        <v>58</v>
      </c>
      <c r="Q82" s="430" t="s">
        <v>598</v>
      </c>
      <c r="R82" s="299" t="s">
        <v>81</v>
      </c>
      <c r="S82" s="300"/>
    </row>
    <row r="83" spans="1:19">
      <c r="A83" s="427" t="s">
        <v>60</v>
      </c>
      <c r="B83" s="199"/>
      <c r="C83" s="199"/>
      <c r="D83" s="199"/>
      <c r="E83" s="199"/>
      <c r="F83" s="452">
        <v>355.93</v>
      </c>
      <c r="G83" s="156" t="s">
        <v>661</v>
      </c>
      <c r="H83" s="196"/>
      <c r="I83" s="451">
        <v>-2.9344000000000001</v>
      </c>
      <c r="J83" s="451">
        <v>-1.08</v>
      </c>
      <c r="K83" s="402">
        <f t="shared" si="1"/>
        <v>25.013907942400003</v>
      </c>
      <c r="L83" s="438" t="s">
        <v>672</v>
      </c>
      <c r="M83" s="296" t="s">
        <v>16</v>
      </c>
      <c r="N83" s="297" t="s">
        <v>82</v>
      </c>
      <c r="O83" s="298" t="s">
        <v>35</v>
      </c>
      <c r="P83" s="314" t="s">
        <v>58</v>
      </c>
      <c r="Q83" s="430" t="s">
        <v>598</v>
      </c>
      <c r="R83" s="299" t="s">
        <v>81</v>
      </c>
      <c r="S83" s="300"/>
    </row>
    <row r="84" spans="1:19">
      <c r="A84" s="427" t="s">
        <v>60</v>
      </c>
      <c r="B84" s="199"/>
      <c r="C84" s="199"/>
      <c r="D84" s="199"/>
      <c r="E84" s="199"/>
      <c r="F84" s="452">
        <v>356.02</v>
      </c>
      <c r="G84" s="156" t="s">
        <v>661</v>
      </c>
      <c r="H84" s="196"/>
      <c r="I84" s="451">
        <v>-2.8601999999999999</v>
      </c>
      <c r="J84" s="451">
        <v>-1.08</v>
      </c>
      <c r="K84" s="402">
        <f t="shared" si="1"/>
        <v>24.645348083599998</v>
      </c>
      <c r="L84" s="438" t="s">
        <v>672</v>
      </c>
      <c r="M84" s="296" t="s">
        <v>16</v>
      </c>
      <c r="N84" s="297" t="s">
        <v>82</v>
      </c>
      <c r="O84" s="298" t="s">
        <v>35</v>
      </c>
      <c r="P84" s="314" t="s">
        <v>58</v>
      </c>
      <c r="Q84" s="430" t="s">
        <v>598</v>
      </c>
      <c r="R84" s="299" t="s">
        <v>81</v>
      </c>
      <c r="S84" s="300"/>
    </row>
    <row r="85" spans="1:19">
      <c r="A85" s="427" t="s">
        <v>60</v>
      </c>
      <c r="B85" s="199"/>
      <c r="C85" s="199"/>
      <c r="D85" s="199"/>
      <c r="E85" s="199"/>
      <c r="F85" s="452">
        <v>356.11</v>
      </c>
      <c r="G85" s="156" t="s">
        <v>661</v>
      </c>
      <c r="H85" s="196"/>
      <c r="I85" s="451">
        <v>-3.0546000000000002</v>
      </c>
      <c r="J85" s="451">
        <v>-1.08</v>
      </c>
      <c r="K85" s="402">
        <f t="shared" si="1"/>
        <v>25.613058064400001</v>
      </c>
      <c r="L85" s="438" t="s">
        <v>672</v>
      </c>
      <c r="M85" s="296" t="s">
        <v>16</v>
      </c>
      <c r="N85" s="297" t="s">
        <v>82</v>
      </c>
      <c r="O85" s="298" t="s">
        <v>35</v>
      </c>
      <c r="P85" s="314" t="s">
        <v>58</v>
      </c>
      <c r="Q85" s="430" t="s">
        <v>598</v>
      </c>
      <c r="R85" s="299" t="s">
        <v>81</v>
      </c>
      <c r="S85" s="300"/>
    </row>
    <row r="86" spans="1:19">
      <c r="A86" s="427" t="s">
        <v>60</v>
      </c>
      <c r="B86" s="199"/>
      <c r="C86" s="199"/>
      <c r="D86" s="199"/>
      <c r="E86" s="199"/>
      <c r="F86" s="452">
        <v>356.2</v>
      </c>
      <c r="G86" s="156" t="s">
        <v>661</v>
      </c>
      <c r="H86" s="196"/>
      <c r="I86" s="451">
        <v>-2.6879</v>
      </c>
      <c r="J86" s="451">
        <v>-1.08</v>
      </c>
      <c r="K86" s="402">
        <f t="shared" si="1"/>
        <v>23.793336816900002</v>
      </c>
      <c r="L86" s="438" t="s">
        <v>672</v>
      </c>
      <c r="M86" s="296" t="s">
        <v>16</v>
      </c>
      <c r="N86" s="297" t="s">
        <v>82</v>
      </c>
      <c r="O86" s="298" t="s">
        <v>35</v>
      </c>
      <c r="P86" s="314" t="s">
        <v>58</v>
      </c>
      <c r="Q86" s="430" t="s">
        <v>598</v>
      </c>
      <c r="R86" s="299" t="s">
        <v>81</v>
      </c>
      <c r="S86" s="300"/>
    </row>
    <row r="87" spans="1:19">
      <c r="A87" s="427" t="s">
        <v>60</v>
      </c>
      <c r="B87" s="199"/>
      <c r="C87" s="199"/>
      <c r="D87" s="199"/>
      <c r="E87" s="199"/>
      <c r="F87" s="452">
        <v>356.3</v>
      </c>
      <c r="G87" s="156" t="s">
        <v>661</v>
      </c>
      <c r="H87" s="196"/>
      <c r="I87" s="451">
        <v>-3.0017</v>
      </c>
      <c r="J87" s="451">
        <v>-1.08</v>
      </c>
      <c r="K87" s="402">
        <f t="shared" si="1"/>
        <v>25.349051780100002</v>
      </c>
      <c r="L87" s="438" t="s">
        <v>672</v>
      </c>
      <c r="M87" s="296" t="s">
        <v>16</v>
      </c>
      <c r="N87" s="297" t="s">
        <v>82</v>
      </c>
      <c r="O87" s="298" t="s">
        <v>35</v>
      </c>
      <c r="P87" s="314" t="s">
        <v>58</v>
      </c>
      <c r="Q87" s="430" t="s">
        <v>598</v>
      </c>
      <c r="R87" s="299" t="s">
        <v>81</v>
      </c>
      <c r="S87" s="300"/>
    </row>
    <row r="88" spans="1:19">
      <c r="A88" s="427" t="s">
        <v>60</v>
      </c>
      <c r="B88" s="199"/>
      <c r="C88" s="199"/>
      <c r="D88" s="199"/>
      <c r="E88" s="199"/>
      <c r="F88" s="452">
        <v>356.39</v>
      </c>
      <c r="G88" s="156" t="s">
        <v>661</v>
      </c>
      <c r="H88" s="196"/>
      <c r="I88" s="451">
        <v>-3.0459999999999998</v>
      </c>
      <c r="J88" s="451">
        <v>-1.08</v>
      </c>
      <c r="K88" s="402">
        <f t="shared" si="1"/>
        <v>25.57010404</v>
      </c>
      <c r="L88" s="438" t="s">
        <v>672</v>
      </c>
      <c r="M88" s="296" t="s">
        <v>16</v>
      </c>
      <c r="N88" s="297" t="s">
        <v>82</v>
      </c>
      <c r="O88" s="298" t="s">
        <v>35</v>
      </c>
      <c r="P88" s="314" t="s">
        <v>58</v>
      </c>
      <c r="Q88" s="430" t="s">
        <v>598</v>
      </c>
      <c r="R88" s="299" t="s">
        <v>81</v>
      </c>
      <c r="S88" s="300"/>
    </row>
    <row r="89" spans="1:19">
      <c r="A89" s="427" t="s">
        <v>60</v>
      </c>
      <c r="B89" s="199"/>
      <c r="C89" s="199"/>
      <c r="D89" s="199"/>
      <c r="E89" s="199"/>
      <c r="F89" s="452">
        <v>356.45</v>
      </c>
      <c r="G89" s="156" t="s">
        <v>661</v>
      </c>
      <c r="H89" s="196"/>
      <c r="I89" s="451">
        <v>-3.0630000000000002</v>
      </c>
      <c r="J89" s="451">
        <v>-1.08</v>
      </c>
      <c r="K89" s="402">
        <f t="shared" si="1"/>
        <v>25.65502601</v>
      </c>
      <c r="L89" s="438" t="s">
        <v>672</v>
      </c>
      <c r="M89" s="296" t="s">
        <v>16</v>
      </c>
      <c r="N89" s="297" t="s">
        <v>82</v>
      </c>
      <c r="O89" s="298" t="s">
        <v>35</v>
      </c>
      <c r="P89" s="314" t="s">
        <v>58</v>
      </c>
      <c r="Q89" s="430" t="s">
        <v>598</v>
      </c>
      <c r="R89" s="299" t="s">
        <v>81</v>
      </c>
      <c r="S89" s="300"/>
    </row>
    <row r="90" spans="1:19">
      <c r="A90" s="427" t="s">
        <v>60</v>
      </c>
      <c r="B90" s="199"/>
      <c r="C90" s="199"/>
      <c r="D90" s="199"/>
      <c r="E90" s="199"/>
      <c r="F90" s="452">
        <v>356.69</v>
      </c>
      <c r="G90" s="156" t="s">
        <v>661</v>
      </c>
      <c r="H90" s="196"/>
      <c r="I90" s="451">
        <v>-3.0659999999999998</v>
      </c>
      <c r="J90" s="451">
        <v>-1.08</v>
      </c>
      <c r="K90" s="402">
        <f t="shared" si="1"/>
        <v>25.670017640000001</v>
      </c>
      <c r="L90" s="438" t="s">
        <v>672</v>
      </c>
      <c r="M90" s="296" t="s">
        <v>16</v>
      </c>
      <c r="N90" s="297" t="s">
        <v>82</v>
      </c>
      <c r="O90" s="298" t="s">
        <v>35</v>
      </c>
      <c r="P90" s="314" t="s">
        <v>58</v>
      </c>
      <c r="Q90" s="430" t="s">
        <v>598</v>
      </c>
      <c r="R90" s="299" t="s">
        <v>81</v>
      </c>
      <c r="S90" s="300"/>
    </row>
    <row r="91" spans="1:19">
      <c r="A91" s="427" t="s">
        <v>60</v>
      </c>
      <c r="B91" s="199"/>
      <c r="C91" s="199"/>
      <c r="D91" s="199"/>
      <c r="E91" s="199"/>
      <c r="F91" s="452">
        <v>356.84</v>
      </c>
      <c r="G91" s="156" t="s">
        <v>661</v>
      </c>
      <c r="H91" s="196"/>
      <c r="I91" s="451">
        <v>-2.7829000000000002</v>
      </c>
      <c r="J91" s="451">
        <v>-1.08</v>
      </c>
      <c r="K91" s="402">
        <f t="shared" si="1"/>
        <v>24.262444156900003</v>
      </c>
      <c r="L91" s="438" t="s">
        <v>672</v>
      </c>
      <c r="M91" s="296" t="s">
        <v>16</v>
      </c>
      <c r="N91" s="297" t="s">
        <v>82</v>
      </c>
      <c r="O91" s="298" t="s">
        <v>35</v>
      </c>
      <c r="P91" s="314" t="s">
        <v>58</v>
      </c>
      <c r="Q91" s="430" t="s">
        <v>598</v>
      </c>
      <c r="R91" s="299" t="s">
        <v>81</v>
      </c>
      <c r="S91" s="300"/>
    </row>
    <row r="92" spans="1:19">
      <c r="A92" s="427" t="s">
        <v>60</v>
      </c>
      <c r="B92" s="199"/>
      <c r="C92" s="199"/>
      <c r="D92" s="199"/>
      <c r="E92" s="199"/>
      <c r="F92" s="452">
        <v>357.03</v>
      </c>
      <c r="G92" s="156" t="s">
        <v>663</v>
      </c>
      <c r="H92" s="196"/>
      <c r="I92" s="451">
        <v>-3.5682</v>
      </c>
      <c r="J92" s="451">
        <v>-1.08</v>
      </c>
      <c r="K92" s="401">
        <f t="shared" si="1"/>
        <v>28.202450531600004</v>
      </c>
      <c r="L92" s="438" t="s">
        <v>672</v>
      </c>
      <c r="M92" s="296" t="s">
        <v>16</v>
      </c>
      <c r="N92" s="297" t="s">
        <v>82</v>
      </c>
      <c r="O92" s="298" t="s">
        <v>35</v>
      </c>
      <c r="P92" s="314" t="s">
        <v>58</v>
      </c>
      <c r="Q92" s="430" t="s">
        <v>598</v>
      </c>
      <c r="R92" s="299" t="s">
        <v>81</v>
      </c>
      <c r="S92" s="300"/>
    </row>
    <row r="93" spans="1:19">
      <c r="A93" s="427" t="s">
        <v>60</v>
      </c>
      <c r="B93" s="199"/>
      <c r="C93" s="199"/>
      <c r="D93" s="199"/>
      <c r="E93" s="199"/>
      <c r="F93" s="448">
        <v>357.12</v>
      </c>
      <c r="G93" s="144" t="s">
        <v>19</v>
      </c>
      <c r="H93" s="196"/>
      <c r="I93" s="451">
        <v>-2.3995000000000002</v>
      </c>
      <c r="J93" s="451">
        <v>-1.08</v>
      </c>
      <c r="K93" s="401">
        <f t="shared" si="1"/>
        <v>22.379177222500001</v>
      </c>
      <c r="L93" s="438" t="s">
        <v>672</v>
      </c>
      <c r="M93" s="296" t="s">
        <v>16</v>
      </c>
      <c r="N93" s="297" t="s">
        <v>82</v>
      </c>
      <c r="O93" s="298" t="s">
        <v>35</v>
      </c>
      <c r="P93" s="314" t="s">
        <v>58</v>
      </c>
      <c r="Q93" s="430" t="s">
        <v>598</v>
      </c>
      <c r="R93" s="299" t="s">
        <v>81</v>
      </c>
      <c r="S93" s="300"/>
    </row>
    <row r="94" spans="1:19">
      <c r="A94" s="427" t="s">
        <v>60</v>
      </c>
      <c r="B94" s="199"/>
      <c r="C94" s="199"/>
      <c r="D94" s="199"/>
      <c r="E94" s="199"/>
      <c r="F94" s="448">
        <v>357.21</v>
      </c>
      <c r="G94" s="144" t="s">
        <v>19</v>
      </c>
      <c r="H94" s="196"/>
      <c r="I94" s="451">
        <v>-3.0142000000000002</v>
      </c>
      <c r="J94" s="451">
        <v>-1.08</v>
      </c>
      <c r="K94" s="401">
        <f t="shared" si="1"/>
        <v>25.411389667600002</v>
      </c>
      <c r="L94" s="438" t="s">
        <v>672</v>
      </c>
      <c r="M94" s="296" t="s">
        <v>16</v>
      </c>
      <c r="N94" s="297" t="s">
        <v>82</v>
      </c>
      <c r="O94" s="298" t="s">
        <v>35</v>
      </c>
      <c r="P94" s="314" t="s">
        <v>58</v>
      </c>
      <c r="Q94" s="430" t="s">
        <v>598</v>
      </c>
      <c r="R94" s="299" t="s">
        <v>81</v>
      </c>
      <c r="S94" s="300"/>
    </row>
    <row r="95" spans="1:19">
      <c r="A95" s="427" t="s">
        <v>60</v>
      </c>
      <c r="B95" s="199"/>
      <c r="C95" s="199"/>
      <c r="D95" s="199"/>
      <c r="E95" s="199"/>
      <c r="F95" s="448">
        <v>357.49</v>
      </c>
      <c r="G95" s="144" t="s">
        <v>19</v>
      </c>
      <c r="H95" s="196"/>
      <c r="I95" s="451">
        <v>-2.0859000000000001</v>
      </c>
      <c r="J95" s="451">
        <v>-1.08</v>
      </c>
      <c r="K95" s="401">
        <f t="shared" si="1"/>
        <v>20.858441132900001</v>
      </c>
      <c r="L95" s="438" t="s">
        <v>672</v>
      </c>
      <c r="M95" s="296" t="s">
        <v>16</v>
      </c>
      <c r="N95" s="297" t="s">
        <v>82</v>
      </c>
      <c r="O95" s="298" t="s">
        <v>35</v>
      </c>
      <c r="P95" s="314" t="s">
        <v>58</v>
      </c>
      <c r="Q95" s="430" t="s">
        <v>598</v>
      </c>
      <c r="R95" s="299" t="s">
        <v>81</v>
      </c>
      <c r="S95" s="300"/>
    </row>
    <row r="96" spans="1:19">
      <c r="A96" s="427" t="s">
        <v>60</v>
      </c>
      <c r="B96" s="199"/>
      <c r="C96" s="199"/>
      <c r="D96" s="199"/>
      <c r="E96" s="199"/>
      <c r="F96" s="452">
        <v>357.67</v>
      </c>
      <c r="G96" s="144" t="s">
        <v>19</v>
      </c>
      <c r="H96" s="196"/>
      <c r="I96" s="451">
        <v>-2.6821000000000002</v>
      </c>
      <c r="J96" s="451">
        <v>-1.08</v>
      </c>
      <c r="K96" s="401">
        <f t="shared" si="1"/>
        <v>23.764749196900002</v>
      </c>
      <c r="L96" s="438" t="s">
        <v>672</v>
      </c>
      <c r="M96" s="296" t="s">
        <v>16</v>
      </c>
      <c r="N96" s="297" t="s">
        <v>82</v>
      </c>
      <c r="O96" s="298" t="s">
        <v>35</v>
      </c>
      <c r="P96" s="314" t="s">
        <v>58</v>
      </c>
      <c r="Q96" s="430" t="s">
        <v>598</v>
      </c>
      <c r="R96" s="299" t="s">
        <v>81</v>
      </c>
      <c r="S96" s="300"/>
    </row>
    <row r="97" spans="1:19">
      <c r="A97" s="427" t="s">
        <v>60</v>
      </c>
      <c r="B97" s="199"/>
      <c r="C97" s="199"/>
      <c r="D97" s="199"/>
      <c r="E97" s="199"/>
      <c r="F97" s="452">
        <v>357.85</v>
      </c>
      <c r="G97" s="144" t="s">
        <v>196</v>
      </c>
      <c r="H97" s="196"/>
      <c r="I97" s="451">
        <v>-2.4386999999999999</v>
      </c>
      <c r="J97" s="451">
        <v>-1.08</v>
      </c>
      <c r="K97" s="787">
        <f t="shared" si="1"/>
        <v>22.570513912099997</v>
      </c>
      <c r="L97" s="438" t="s">
        <v>672</v>
      </c>
      <c r="M97" s="296" t="s">
        <v>16</v>
      </c>
      <c r="N97" s="297" t="s">
        <v>82</v>
      </c>
      <c r="O97" s="298" t="s">
        <v>35</v>
      </c>
      <c r="P97" s="314" t="s">
        <v>58</v>
      </c>
      <c r="Q97" s="430" t="s">
        <v>598</v>
      </c>
      <c r="R97" s="299" t="s">
        <v>81</v>
      </c>
      <c r="S97" s="300"/>
    </row>
    <row r="98" spans="1:19">
      <c r="A98" s="427" t="s">
        <v>60</v>
      </c>
      <c r="B98" s="199"/>
      <c r="C98" s="199"/>
      <c r="D98" s="199"/>
      <c r="E98" s="199"/>
      <c r="F98" s="452">
        <v>358.64</v>
      </c>
      <c r="G98" s="144" t="s">
        <v>196</v>
      </c>
      <c r="H98" s="196"/>
      <c r="I98" s="451">
        <v>-2.0316999999999998</v>
      </c>
      <c r="J98" s="451">
        <v>-1.08</v>
      </c>
      <c r="K98" s="787">
        <f t="shared" si="1"/>
        <v>20.597403960099999</v>
      </c>
      <c r="L98" s="438" t="s">
        <v>672</v>
      </c>
      <c r="M98" s="296" t="s">
        <v>16</v>
      </c>
      <c r="N98" s="297" t="s">
        <v>82</v>
      </c>
      <c r="O98" s="298" t="s">
        <v>35</v>
      </c>
      <c r="P98" s="314" t="s">
        <v>58</v>
      </c>
      <c r="Q98" s="430" t="s">
        <v>598</v>
      </c>
      <c r="R98" s="299" t="s">
        <v>81</v>
      </c>
      <c r="S98" s="300"/>
    </row>
    <row r="99" spans="1:19">
      <c r="A99" s="431" t="s">
        <v>60</v>
      </c>
      <c r="B99" s="432"/>
      <c r="C99" s="432"/>
      <c r="D99" s="432"/>
      <c r="E99" s="432"/>
      <c r="F99" s="453">
        <v>358.83</v>
      </c>
      <c r="G99" s="221" t="s">
        <v>196</v>
      </c>
      <c r="H99" s="226"/>
      <c r="I99" s="454">
        <v>-2.3965000000000001</v>
      </c>
      <c r="J99" s="454">
        <v>-1.08</v>
      </c>
      <c r="K99" s="403">
        <f t="shared" si="1"/>
        <v>22.3645455025</v>
      </c>
      <c r="L99" s="439" t="s">
        <v>672</v>
      </c>
      <c r="M99" s="386" t="s">
        <v>16</v>
      </c>
      <c r="N99" s="399" t="s">
        <v>82</v>
      </c>
      <c r="O99" s="390" t="s">
        <v>35</v>
      </c>
      <c r="P99" s="388" t="s">
        <v>58</v>
      </c>
      <c r="Q99" s="436" t="s">
        <v>598</v>
      </c>
      <c r="R99" s="299" t="s">
        <v>81</v>
      </c>
      <c r="S99" s="300"/>
    </row>
    <row r="100" spans="1:19">
      <c r="A100" s="427" t="s">
        <v>60</v>
      </c>
      <c r="B100" s="199"/>
      <c r="C100" s="199"/>
      <c r="D100" s="199"/>
      <c r="E100" s="199"/>
      <c r="F100" s="450">
        <v>343.34</v>
      </c>
      <c r="H100" s="196"/>
      <c r="I100" s="449">
        <v>-4.1900000000000004</v>
      </c>
      <c r="J100" s="451">
        <v>-1.08</v>
      </c>
      <c r="K100" s="401">
        <f t="shared" ref="K100:K162" si="2">16.1-4.64*($I100-J100)+0.09*($I100-J100)^2</f>
        <v>31.400888999999999</v>
      </c>
      <c r="L100" s="438" t="s">
        <v>673</v>
      </c>
      <c r="M100" s="296" t="s">
        <v>16</v>
      </c>
      <c r="N100" s="297" t="s">
        <v>82</v>
      </c>
      <c r="O100" s="298" t="s">
        <v>35</v>
      </c>
      <c r="P100" s="314" t="s">
        <v>58</v>
      </c>
      <c r="Q100" s="430" t="s">
        <v>598</v>
      </c>
      <c r="R100" s="299" t="s">
        <v>81</v>
      </c>
      <c r="S100" s="300"/>
    </row>
    <row r="101" spans="1:19">
      <c r="A101" s="427" t="s">
        <v>60</v>
      </c>
      <c r="B101" s="199"/>
      <c r="C101" s="199"/>
      <c r="D101" s="199"/>
      <c r="E101" s="199"/>
      <c r="F101" s="450">
        <v>344.26</v>
      </c>
      <c r="H101" s="196"/>
      <c r="I101" s="449">
        <v>-2.73</v>
      </c>
      <c r="J101" s="451">
        <v>-1.08</v>
      </c>
      <c r="K101" s="401">
        <f t="shared" si="2"/>
        <v>24.001024999999998</v>
      </c>
      <c r="L101" s="438" t="s">
        <v>673</v>
      </c>
      <c r="M101" s="296" t="s">
        <v>16</v>
      </c>
      <c r="N101" s="297" t="s">
        <v>82</v>
      </c>
      <c r="O101" s="298" t="s">
        <v>35</v>
      </c>
      <c r="P101" s="314" t="s">
        <v>58</v>
      </c>
      <c r="Q101" s="430" t="s">
        <v>598</v>
      </c>
      <c r="R101" s="299" t="s">
        <v>81</v>
      </c>
      <c r="S101" s="300"/>
    </row>
    <row r="102" spans="1:19">
      <c r="A102" s="427" t="s">
        <v>60</v>
      </c>
      <c r="B102" s="199"/>
      <c r="C102" s="199"/>
      <c r="D102" s="199"/>
      <c r="E102" s="199"/>
      <c r="F102" s="450">
        <v>344.56</v>
      </c>
      <c r="H102" s="196"/>
      <c r="I102" s="449">
        <v>-2.64</v>
      </c>
      <c r="J102" s="451">
        <v>-1.08</v>
      </c>
      <c r="K102" s="401">
        <f t="shared" si="2"/>
        <v>23.557424000000001</v>
      </c>
      <c r="L102" s="438" t="s">
        <v>673</v>
      </c>
      <c r="M102" s="296" t="s">
        <v>16</v>
      </c>
      <c r="N102" s="297" t="s">
        <v>82</v>
      </c>
      <c r="O102" s="298" t="s">
        <v>35</v>
      </c>
      <c r="P102" s="314" t="s">
        <v>58</v>
      </c>
      <c r="Q102" s="430" t="s">
        <v>598</v>
      </c>
      <c r="R102" s="299" t="s">
        <v>81</v>
      </c>
      <c r="S102" s="300"/>
    </row>
    <row r="103" spans="1:19">
      <c r="A103" s="427" t="s">
        <v>60</v>
      </c>
      <c r="B103" s="199"/>
      <c r="C103" s="199"/>
      <c r="D103" s="199"/>
      <c r="E103" s="199"/>
      <c r="F103" s="450">
        <v>344.87</v>
      </c>
      <c r="H103" s="196"/>
      <c r="I103" s="449">
        <v>-3.51</v>
      </c>
      <c r="J103" s="451">
        <v>-1.08</v>
      </c>
      <c r="K103" s="401">
        <f t="shared" si="2"/>
        <v>27.906641</v>
      </c>
      <c r="L103" s="438" t="s">
        <v>673</v>
      </c>
      <c r="M103" s="296" t="s">
        <v>16</v>
      </c>
      <c r="N103" s="297" t="s">
        <v>82</v>
      </c>
      <c r="O103" s="298" t="s">
        <v>35</v>
      </c>
      <c r="P103" s="314" t="s">
        <v>58</v>
      </c>
      <c r="Q103" s="430" t="s">
        <v>598</v>
      </c>
      <c r="R103" s="299" t="s">
        <v>81</v>
      </c>
      <c r="S103" s="300"/>
    </row>
    <row r="104" spans="1:19">
      <c r="A104" s="427" t="s">
        <v>60</v>
      </c>
      <c r="B104" s="199"/>
      <c r="C104" s="199"/>
      <c r="D104" s="199"/>
      <c r="E104" s="199"/>
      <c r="F104" s="450">
        <v>345.17</v>
      </c>
      <c r="H104" s="196"/>
      <c r="I104" s="449">
        <v>-3.49</v>
      </c>
      <c r="J104" s="451">
        <v>-1.08</v>
      </c>
      <c r="K104" s="401">
        <f t="shared" si="2"/>
        <v>27.805129000000001</v>
      </c>
      <c r="L104" s="438" t="s">
        <v>673</v>
      </c>
      <c r="M104" s="296" t="s">
        <v>16</v>
      </c>
      <c r="N104" s="297" t="s">
        <v>82</v>
      </c>
      <c r="O104" s="298" t="s">
        <v>35</v>
      </c>
      <c r="P104" s="314" t="s">
        <v>58</v>
      </c>
      <c r="Q104" s="430" t="s">
        <v>598</v>
      </c>
      <c r="R104" s="299" t="s">
        <v>81</v>
      </c>
      <c r="S104" s="300"/>
    </row>
    <row r="105" spans="1:19">
      <c r="A105" s="427" t="s">
        <v>60</v>
      </c>
      <c r="B105" s="199"/>
      <c r="C105" s="199"/>
      <c r="D105" s="199"/>
      <c r="E105" s="199"/>
      <c r="F105" s="450">
        <v>345.48</v>
      </c>
      <c r="H105" s="196"/>
      <c r="I105" s="449">
        <v>-2.42</v>
      </c>
      <c r="J105" s="451">
        <v>-1.08</v>
      </c>
      <c r="K105" s="401">
        <f t="shared" si="2"/>
        <v>22.479203999999999</v>
      </c>
      <c r="L105" s="438" t="s">
        <v>673</v>
      </c>
      <c r="M105" s="296" t="s">
        <v>16</v>
      </c>
      <c r="N105" s="297" t="s">
        <v>82</v>
      </c>
      <c r="O105" s="298" t="s">
        <v>35</v>
      </c>
      <c r="P105" s="314" t="s">
        <v>58</v>
      </c>
      <c r="Q105" s="430" t="s">
        <v>598</v>
      </c>
      <c r="R105" s="299" t="s">
        <v>81</v>
      </c>
      <c r="S105" s="300"/>
    </row>
    <row r="106" spans="1:19">
      <c r="A106" s="427" t="s">
        <v>60</v>
      </c>
      <c r="B106" s="199"/>
      <c r="C106" s="199"/>
      <c r="D106" s="199"/>
      <c r="E106" s="199"/>
      <c r="F106" s="450">
        <v>346.82</v>
      </c>
      <c r="H106" s="196"/>
      <c r="I106" s="449">
        <v>-3.03</v>
      </c>
      <c r="J106" s="451">
        <v>-1.08</v>
      </c>
      <c r="K106" s="401">
        <f t="shared" si="2"/>
        <v>25.490224999999999</v>
      </c>
      <c r="L106" s="438" t="s">
        <v>673</v>
      </c>
      <c r="M106" s="296" t="s">
        <v>16</v>
      </c>
      <c r="N106" s="297" t="s">
        <v>82</v>
      </c>
      <c r="O106" s="298" t="s">
        <v>35</v>
      </c>
      <c r="P106" s="314" t="s">
        <v>58</v>
      </c>
      <c r="Q106" s="430" t="s">
        <v>598</v>
      </c>
      <c r="R106" s="299" t="s">
        <v>81</v>
      </c>
      <c r="S106" s="300"/>
    </row>
    <row r="107" spans="1:19">
      <c r="A107" s="427" t="s">
        <v>60</v>
      </c>
      <c r="B107" s="199"/>
      <c r="C107" s="199"/>
      <c r="D107" s="199"/>
      <c r="E107" s="199"/>
      <c r="F107" s="450">
        <v>347.06</v>
      </c>
      <c r="H107" s="196"/>
      <c r="I107" s="449">
        <v>-3.04</v>
      </c>
      <c r="J107" s="451">
        <v>-1.08</v>
      </c>
      <c r="K107" s="401">
        <f t="shared" si="2"/>
        <v>25.540144000000002</v>
      </c>
      <c r="L107" s="438" t="s">
        <v>673</v>
      </c>
      <c r="M107" s="296" t="s">
        <v>16</v>
      </c>
      <c r="N107" s="297" t="s">
        <v>82</v>
      </c>
      <c r="O107" s="298" t="s">
        <v>35</v>
      </c>
      <c r="P107" s="314" t="s">
        <v>58</v>
      </c>
      <c r="Q107" s="430" t="s">
        <v>598</v>
      </c>
      <c r="R107" s="299" t="s">
        <v>81</v>
      </c>
      <c r="S107" s="300"/>
    </row>
    <row r="108" spans="1:19">
      <c r="A108" s="427" t="s">
        <v>60</v>
      </c>
      <c r="B108" s="199"/>
      <c r="C108" s="199"/>
      <c r="D108" s="199"/>
      <c r="E108" s="199"/>
      <c r="F108" s="450">
        <v>349.04</v>
      </c>
      <c r="H108" s="196"/>
      <c r="I108" s="449">
        <v>-4.24</v>
      </c>
      <c r="J108" s="451">
        <v>-1.08</v>
      </c>
      <c r="K108" s="401">
        <f t="shared" si="2"/>
        <v>31.661103999999998</v>
      </c>
      <c r="L108" s="438" t="s">
        <v>673</v>
      </c>
      <c r="M108" s="296" t="s">
        <v>16</v>
      </c>
      <c r="N108" s="297" t="s">
        <v>82</v>
      </c>
      <c r="O108" s="298" t="s">
        <v>35</v>
      </c>
      <c r="P108" s="314" t="s">
        <v>58</v>
      </c>
      <c r="Q108" s="430" t="s">
        <v>598</v>
      </c>
      <c r="R108" s="299" t="s">
        <v>81</v>
      </c>
      <c r="S108" s="300"/>
    </row>
    <row r="109" spans="1:19">
      <c r="A109" s="427" t="s">
        <v>60</v>
      </c>
      <c r="B109" s="199"/>
      <c r="C109" s="199"/>
      <c r="D109" s="199"/>
      <c r="E109" s="199"/>
      <c r="F109" s="450">
        <v>349.19</v>
      </c>
      <c r="H109" s="196"/>
      <c r="I109" s="449">
        <v>-3.37</v>
      </c>
      <c r="J109" s="451">
        <v>-1.08</v>
      </c>
      <c r="K109" s="401">
        <f t="shared" si="2"/>
        <v>27.197569000000001</v>
      </c>
      <c r="L109" s="438" t="s">
        <v>673</v>
      </c>
      <c r="M109" s="296" t="s">
        <v>16</v>
      </c>
      <c r="N109" s="297" t="s">
        <v>82</v>
      </c>
      <c r="O109" s="298" t="s">
        <v>35</v>
      </c>
      <c r="P109" s="314" t="s">
        <v>58</v>
      </c>
      <c r="Q109" s="430" t="s">
        <v>598</v>
      </c>
      <c r="R109" s="299" t="s">
        <v>81</v>
      </c>
      <c r="S109" s="300"/>
    </row>
    <row r="110" spans="1:19">
      <c r="A110" s="427" t="s">
        <v>60</v>
      </c>
      <c r="B110" s="199"/>
      <c r="C110" s="199"/>
      <c r="D110" s="199"/>
      <c r="E110" s="199"/>
      <c r="F110" s="450">
        <v>349.44</v>
      </c>
      <c r="H110" s="196"/>
      <c r="I110" s="449">
        <v>-3.56</v>
      </c>
      <c r="J110" s="451">
        <v>-1.08</v>
      </c>
      <c r="K110" s="401">
        <f t="shared" si="2"/>
        <v>28.160736</v>
      </c>
      <c r="L110" s="438" t="s">
        <v>673</v>
      </c>
      <c r="M110" s="296" t="s">
        <v>16</v>
      </c>
      <c r="N110" s="297" t="s">
        <v>82</v>
      </c>
      <c r="O110" s="298" t="s">
        <v>35</v>
      </c>
      <c r="P110" s="314" t="s">
        <v>58</v>
      </c>
      <c r="Q110" s="430" t="s">
        <v>598</v>
      </c>
      <c r="R110" s="299" t="s">
        <v>81</v>
      </c>
      <c r="S110" s="300"/>
    </row>
    <row r="111" spans="1:19">
      <c r="A111" s="427" t="s">
        <v>60</v>
      </c>
      <c r="B111" s="199"/>
      <c r="C111" s="199"/>
      <c r="D111" s="199"/>
      <c r="E111" s="199"/>
      <c r="F111" s="450">
        <v>349.65</v>
      </c>
      <c r="H111" s="196"/>
      <c r="I111" s="449">
        <v>-3.82</v>
      </c>
      <c r="J111" s="451">
        <v>-1.08</v>
      </c>
      <c r="K111" s="401">
        <f t="shared" si="2"/>
        <v>29.489284000000001</v>
      </c>
      <c r="L111" s="438" t="s">
        <v>673</v>
      </c>
      <c r="M111" s="296" t="s">
        <v>16</v>
      </c>
      <c r="N111" s="297" t="s">
        <v>82</v>
      </c>
      <c r="O111" s="298" t="s">
        <v>35</v>
      </c>
      <c r="P111" s="314" t="s">
        <v>58</v>
      </c>
      <c r="Q111" s="430" t="s">
        <v>598</v>
      </c>
      <c r="R111" s="299" t="s">
        <v>81</v>
      </c>
      <c r="S111" s="300"/>
    </row>
    <row r="112" spans="1:19">
      <c r="A112" s="427" t="s">
        <v>60</v>
      </c>
      <c r="B112" s="199"/>
      <c r="C112" s="199"/>
      <c r="D112" s="199"/>
      <c r="E112" s="199"/>
      <c r="F112" s="450">
        <v>349.83</v>
      </c>
      <c r="H112" s="196"/>
      <c r="I112" s="449">
        <v>-4.05</v>
      </c>
      <c r="J112" s="451">
        <v>-1.08</v>
      </c>
      <c r="K112" s="401">
        <f t="shared" si="2"/>
        <v>30.674681</v>
      </c>
      <c r="L112" s="438" t="s">
        <v>673</v>
      </c>
      <c r="M112" s="296" t="s">
        <v>16</v>
      </c>
      <c r="N112" s="297" t="s">
        <v>82</v>
      </c>
      <c r="O112" s="298" t="s">
        <v>35</v>
      </c>
      <c r="P112" s="314" t="s">
        <v>58</v>
      </c>
      <c r="Q112" s="430" t="s">
        <v>598</v>
      </c>
      <c r="R112" s="299" t="s">
        <v>81</v>
      </c>
      <c r="S112" s="300"/>
    </row>
    <row r="113" spans="1:19">
      <c r="A113" s="427" t="s">
        <v>60</v>
      </c>
      <c r="B113" s="199"/>
      <c r="C113" s="199"/>
      <c r="D113" s="199"/>
      <c r="E113" s="199"/>
      <c r="F113" s="450">
        <v>350.05</v>
      </c>
      <c r="H113" s="196"/>
      <c r="I113" s="449">
        <v>-4.0599999999999996</v>
      </c>
      <c r="J113" s="451">
        <v>-1.08</v>
      </c>
      <c r="K113" s="401">
        <f t="shared" si="2"/>
        <v>30.726436</v>
      </c>
      <c r="L113" s="438" t="s">
        <v>673</v>
      </c>
      <c r="M113" s="296" t="s">
        <v>16</v>
      </c>
      <c r="N113" s="297" t="s">
        <v>82</v>
      </c>
      <c r="O113" s="298" t="s">
        <v>35</v>
      </c>
      <c r="P113" s="314" t="s">
        <v>58</v>
      </c>
      <c r="Q113" s="430" t="s">
        <v>598</v>
      </c>
      <c r="R113" s="299" t="s">
        <v>81</v>
      </c>
      <c r="S113" s="300"/>
    </row>
    <row r="114" spans="1:19">
      <c r="A114" s="427" t="s">
        <v>60</v>
      </c>
      <c r="B114" s="199"/>
      <c r="C114" s="199"/>
      <c r="D114" s="199"/>
      <c r="E114" s="199"/>
      <c r="F114" s="450">
        <v>350.26</v>
      </c>
      <c r="H114" s="196"/>
      <c r="I114" s="449">
        <v>-4.0599999999999996</v>
      </c>
      <c r="J114" s="451">
        <v>-1.08</v>
      </c>
      <c r="K114" s="401">
        <f t="shared" si="2"/>
        <v>30.726436</v>
      </c>
      <c r="L114" s="438" t="s">
        <v>673</v>
      </c>
      <c r="M114" s="296" t="s">
        <v>16</v>
      </c>
      <c r="N114" s="297" t="s">
        <v>82</v>
      </c>
      <c r="O114" s="298" t="s">
        <v>35</v>
      </c>
      <c r="P114" s="314" t="s">
        <v>58</v>
      </c>
      <c r="Q114" s="430" t="s">
        <v>598</v>
      </c>
      <c r="R114" s="299" t="s">
        <v>81</v>
      </c>
      <c r="S114" s="300"/>
    </row>
    <row r="115" spans="1:19">
      <c r="A115" s="427" t="s">
        <v>60</v>
      </c>
      <c r="B115" s="199"/>
      <c r="C115" s="199"/>
      <c r="D115" s="199"/>
      <c r="E115" s="199"/>
      <c r="F115" s="450">
        <v>350.44</v>
      </c>
      <c r="H115" s="196"/>
      <c r="I115" s="449">
        <v>-3.96</v>
      </c>
      <c r="J115" s="451">
        <v>-1.08</v>
      </c>
      <c r="K115" s="401">
        <f t="shared" si="2"/>
        <v>30.209696000000001</v>
      </c>
      <c r="L115" s="438" t="s">
        <v>673</v>
      </c>
      <c r="M115" s="296" t="s">
        <v>16</v>
      </c>
      <c r="N115" s="297" t="s">
        <v>82</v>
      </c>
      <c r="O115" s="298" t="s">
        <v>35</v>
      </c>
      <c r="P115" s="314" t="s">
        <v>58</v>
      </c>
      <c r="Q115" s="430" t="s">
        <v>598</v>
      </c>
      <c r="R115" s="299" t="s">
        <v>81</v>
      </c>
      <c r="S115" s="300"/>
    </row>
    <row r="116" spans="1:19">
      <c r="A116" s="427" t="s">
        <v>60</v>
      </c>
      <c r="B116" s="199"/>
      <c r="C116" s="199"/>
      <c r="D116" s="199"/>
      <c r="E116" s="199"/>
      <c r="F116" s="450">
        <v>350.66</v>
      </c>
      <c r="H116" s="196"/>
      <c r="I116" s="449">
        <v>-3.9</v>
      </c>
      <c r="J116" s="451">
        <v>-1.08</v>
      </c>
      <c r="K116" s="401">
        <f t="shared" si="2"/>
        <v>29.900516</v>
      </c>
      <c r="L116" s="438" t="s">
        <v>673</v>
      </c>
      <c r="M116" s="296" t="s">
        <v>16</v>
      </c>
      <c r="N116" s="297" t="s">
        <v>82</v>
      </c>
      <c r="O116" s="298" t="s">
        <v>35</v>
      </c>
      <c r="P116" s="314" t="s">
        <v>58</v>
      </c>
      <c r="Q116" s="430" t="s">
        <v>598</v>
      </c>
      <c r="R116" s="299" t="s">
        <v>81</v>
      </c>
      <c r="S116" s="300"/>
    </row>
    <row r="117" spans="1:19">
      <c r="A117" s="427" t="s">
        <v>60</v>
      </c>
      <c r="B117" s="199"/>
      <c r="C117" s="199"/>
      <c r="D117" s="199"/>
      <c r="E117" s="199"/>
      <c r="F117" s="450">
        <v>350.87</v>
      </c>
      <c r="H117" s="196"/>
      <c r="I117" s="449">
        <v>-4.25</v>
      </c>
      <c r="J117" s="451">
        <v>-1.08</v>
      </c>
      <c r="K117" s="401">
        <f t="shared" si="2"/>
        <v>31.713200999999998</v>
      </c>
      <c r="L117" s="438" t="s">
        <v>673</v>
      </c>
      <c r="M117" s="296" t="s">
        <v>16</v>
      </c>
      <c r="N117" s="297" t="s">
        <v>82</v>
      </c>
      <c r="O117" s="298" t="s">
        <v>35</v>
      </c>
      <c r="P117" s="314" t="s">
        <v>58</v>
      </c>
      <c r="Q117" s="430" t="s">
        <v>598</v>
      </c>
      <c r="R117" s="299" t="s">
        <v>81</v>
      </c>
      <c r="S117" s="300"/>
    </row>
    <row r="118" spans="1:19">
      <c r="A118" s="427" t="s">
        <v>60</v>
      </c>
      <c r="B118" s="199"/>
      <c r="C118" s="199"/>
      <c r="D118" s="199"/>
      <c r="E118" s="199"/>
      <c r="F118" s="450">
        <v>351.3</v>
      </c>
      <c r="H118" s="196"/>
      <c r="I118" s="449">
        <v>-4.22</v>
      </c>
      <c r="J118" s="451">
        <v>-1.08</v>
      </c>
      <c r="K118" s="401">
        <f t="shared" si="2"/>
        <v>31.556964000000001</v>
      </c>
      <c r="L118" s="438" t="s">
        <v>673</v>
      </c>
      <c r="M118" s="296" t="s">
        <v>16</v>
      </c>
      <c r="N118" s="297" t="s">
        <v>82</v>
      </c>
      <c r="O118" s="298" t="s">
        <v>35</v>
      </c>
      <c r="P118" s="314" t="s">
        <v>58</v>
      </c>
      <c r="Q118" s="430" t="s">
        <v>598</v>
      </c>
      <c r="R118" s="299" t="s">
        <v>81</v>
      </c>
      <c r="S118" s="300"/>
    </row>
    <row r="119" spans="1:19">
      <c r="A119" s="427" t="s">
        <v>60</v>
      </c>
      <c r="B119" s="199"/>
      <c r="C119" s="199"/>
      <c r="D119" s="199"/>
      <c r="E119" s="199"/>
      <c r="F119" s="450">
        <v>351.51</v>
      </c>
      <c r="H119" s="196"/>
      <c r="I119" s="449">
        <v>-4</v>
      </c>
      <c r="J119" s="451">
        <v>-1.08</v>
      </c>
      <c r="K119" s="401">
        <f t="shared" si="2"/>
        <v>30.416176</v>
      </c>
      <c r="L119" s="438" t="s">
        <v>673</v>
      </c>
      <c r="M119" s="296" t="s">
        <v>16</v>
      </c>
      <c r="N119" s="297" t="s">
        <v>82</v>
      </c>
      <c r="O119" s="298" t="s">
        <v>35</v>
      </c>
      <c r="P119" s="314" t="s">
        <v>58</v>
      </c>
      <c r="Q119" s="430" t="s">
        <v>598</v>
      </c>
      <c r="R119" s="299" t="s">
        <v>81</v>
      </c>
      <c r="S119" s="300"/>
    </row>
    <row r="120" spans="1:19">
      <c r="A120" s="427" t="s">
        <v>60</v>
      </c>
      <c r="B120" s="199"/>
      <c r="C120" s="199"/>
      <c r="D120" s="199"/>
      <c r="E120" s="199"/>
      <c r="F120" s="450">
        <v>351.72</v>
      </c>
      <c r="H120" s="196"/>
      <c r="I120" s="449">
        <v>-3.83</v>
      </c>
      <c r="J120" s="451">
        <v>-1.08</v>
      </c>
      <c r="K120" s="401">
        <f t="shared" si="2"/>
        <v>29.540624999999999</v>
      </c>
      <c r="L120" s="438" t="s">
        <v>673</v>
      </c>
      <c r="M120" s="296" t="s">
        <v>16</v>
      </c>
      <c r="N120" s="297" t="s">
        <v>82</v>
      </c>
      <c r="O120" s="298" t="s">
        <v>35</v>
      </c>
      <c r="P120" s="314" t="s">
        <v>58</v>
      </c>
      <c r="Q120" s="430" t="s">
        <v>598</v>
      </c>
      <c r="R120" s="299" t="s">
        <v>81</v>
      </c>
      <c r="S120" s="300"/>
    </row>
    <row r="121" spans="1:19">
      <c r="A121" s="427" t="s">
        <v>60</v>
      </c>
      <c r="B121" s="199"/>
      <c r="C121" s="199"/>
      <c r="D121" s="199"/>
      <c r="E121" s="199"/>
      <c r="F121" s="450">
        <v>352.18</v>
      </c>
      <c r="H121" s="196"/>
      <c r="I121" s="449">
        <v>-4.5</v>
      </c>
      <c r="J121" s="451">
        <v>-1.08</v>
      </c>
      <c r="K121" s="401">
        <f t="shared" si="2"/>
        <v>33.021476</v>
      </c>
      <c r="L121" s="438" t="s">
        <v>673</v>
      </c>
      <c r="M121" s="296" t="s">
        <v>16</v>
      </c>
      <c r="N121" s="297" t="s">
        <v>82</v>
      </c>
      <c r="O121" s="298" t="s">
        <v>35</v>
      </c>
      <c r="P121" s="314" t="s">
        <v>58</v>
      </c>
      <c r="Q121" s="430" t="s">
        <v>598</v>
      </c>
      <c r="R121" s="299" t="s">
        <v>81</v>
      </c>
      <c r="S121" s="300"/>
    </row>
    <row r="122" spans="1:19">
      <c r="A122" s="427" t="s">
        <v>60</v>
      </c>
      <c r="B122" s="199"/>
      <c r="C122" s="199"/>
      <c r="D122" s="199"/>
      <c r="E122" s="199"/>
      <c r="F122" s="450">
        <v>352.39</v>
      </c>
      <c r="H122" s="196"/>
      <c r="I122" s="449">
        <v>-4.26</v>
      </c>
      <c r="J122" s="451">
        <v>-1.08</v>
      </c>
      <c r="K122" s="401">
        <f t="shared" si="2"/>
        <v>31.765315999999999</v>
      </c>
      <c r="L122" s="438" t="s">
        <v>673</v>
      </c>
      <c r="M122" s="296" t="s">
        <v>16</v>
      </c>
      <c r="N122" s="297" t="s">
        <v>82</v>
      </c>
      <c r="O122" s="298" t="s">
        <v>35</v>
      </c>
      <c r="P122" s="314" t="s">
        <v>58</v>
      </c>
      <c r="Q122" s="430" t="s">
        <v>598</v>
      </c>
      <c r="R122" s="299" t="s">
        <v>81</v>
      </c>
      <c r="S122" s="300"/>
    </row>
    <row r="123" spans="1:19">
      <c r="A123" s="427" t="s">
        <v>60</v>
      </c>
      <c r="B123" s="199"/>
      <c r="C123" s="199"/>
      <c r="D123" s="199"/>
      <c r="E123" s="199"/>
      <c r="F123" s="450">
        <v>352.61</v>
      </c>
      <c r="H123" s="196"/>
      <c r="I123" s="449">
        <v>-4.28</v>
      </c>
      <c r="J123" s="451">
        <v>-1.08</v>
      </c>
      <c r="K123" s="401">
        <f t="shared" si="2"/>
        <v>31.869600000000002</v>
      </c>
      <c r="L123" s="438" t="s">
        <v>673</v>
      </c>
      <c r="M123" s="296" t="s">
        <v>16</v>
      </c>
      <c r="N123" s="297" t="s">
        <v>82</v>
      </c>
      <c r="O123" s="298" t="s">
        <v>35</v>
      </c>
      <c r="P123" s="314" t="s">
        <v>58</v>
      </c>
      <c r="Q123" s="430" t="s">
        <v>598</v>
      </c>
      <c r="R123" s="299" t="s">
        <v>81</v>
      </c>
      <c r="S123" s="300"/>
    </row>
    <row r="124" spans="1:19">
      <c r="A124" s="427" t="s">
        <v>60</v>
      </c>
      <c r="B124" s="199"/>
      <c r="C124" s="199"/>
      <c r="D124" s="199"/>
      <c r="E124" s="199"/>
      <c r="F124" s="450">
        <v>352.82</v>
      </c>
      <c r="H124" s="196"/>
      <c r="I124" s="449">
        <v>-4.16</v>
      </c>
      <c r="J124" s="451">
        <v>-1.08</v>
      </c>
      <c r="K124" s="401">
        <f t="shared" si="2"/>
        <v>31.244976000000001</v>
      </c>
      <c r="L124" s="438" t="s">
        <v>673</v>
      </c>
      <c r="M124" s="296" t="s">
        <v>16</v>
      </c>
      <c r="N124" s="297" t="s">
        <v>82</v>
      </c>
      <c r="O124" s="298" t="s">
        <v>35</v>
      </c>
      <c r="P124" s="314" t="s">
        <v>58</v>
      </c>
      <c r="Q124" s="430" t="s">
        <v>598</v>
      </c>
      <c r="R124" s="299" t="s">
        <v>81</v>
      </c>
      <c r="S124" s="300"/>
    </row>
    <row r="125" spans="1:19">
      <c r="A125" s="427" t="s">
        <v>60</v>
      </c>
      <c r="B125" s="199"/>
      <c r="C125" s="199"/>
      <c r="D125" s="199"/>
      <c r="E125" s="199"/>
      <c r="F125" s="450">
        <v>353.03</v>
      </c>
      <c r="H125" s="196"/>
      <c r="I125" s="449">
        <v>-4.24</v>
      </c>
      <c r="J125" s="451">
        <v>-1.08</v>
      </c>
      <c r="K125" s="401">
        <f t="shared" si="2"/>
        <v>31.661103999999998</v>
      </c>
      <c r="L125" s="438" t="s">
        <v>673</v>
      </c>
      <c r="M125" s="296" t="s">
        <v>16</v>
      </c>
      <c r="N125" s="297" t="s">
        <v>82</v>
      </c>
      <c r="O125" s="298" t="s">
        <v>35</v>
      </c>
      <c r="P125" s="314" t="s">
        <v>58</v>
      </c>
      <c r="Q125" s="430" t="s">
        <v>598</v>
      </c>
      <c r="R125" s="299" t="s">
        <v>81</v>
      </c>
      <c r="S125" s="300"/>
    </row>
    <row r="126" spans="1:19">
      <c r="A126" s="427" t="s">
        <v>60</v>
      </c>
      <c r="B126" s="199"/>
      <c r="C126" s="199"/>
      <c r="D126" s="199"/>
      <c r="E126" s="199"/>
      <c r="F126" s="450">
        <v>353.25</v>
      </c>
      <c r="H126" s="196"/>
      <c r="I126" s="449">
        <v>-4.03</v>
      </c>
      <c r="J126" s="451">
        <v>-1.08</v>
      </c>
      <c r="K126" s="401">
        <f t="shared" si="2"/>
        <v>30.571225000000005</v>
      </c>
      <c r="L126" s="438" t="s">
        <v>673</v>
      </c>
      <c r="M126" s="296" t="s">
        <v>16</v>
      </c>
      <c r="N126" s="297" t="s">
        <v>82</v>
      </c>
      <c r="O126" s="298" t="s">
        <v>35</v>
      </c>
      <c r="P126" s="314" t="s">
        <v>58</v>
      </c>
      <c r="Q126" s="430" t="s">
        <v>598</v>
      </c>
      <c r="R126" s="299" t="s">
        <v>81</v>
      </c>
      <c r="S126" s="300"/>
    </row>
    <row r="127" spans="1:19">
      <c r="A127" s="427" t="s">
        <v>60</v>
      </c>
      <c r="B127" s="199"/>
      <c r="C127" s="199"/>
      <c r="D127" s="199"/>
      <c r="E127" s="199"/>
      <c r="F127" s="450">
        <v>353.61</v>
      </c>
      <c r="H127" s="196"/>
      <c r="I127" s="449">
        <v>-3.34</v>
      </c>
      <c r="J127" s="451">
        <v>-1.08</v>
      </c>
      <c r="K127" s="401">
        <f t="shared" si="2"/>
        <v>27.046083999999997</v>
      </c>
      <c r="L127" s="438" t="s">
        <v>673</v>
      </c>
      <c r="M127" s="296" t="s">
        <v>16</v>
      </c>
      <c r="N127" s="297" t="s">
        <v>82</v>
      </c>
      <c r="O127" s="298" t="s">
        <v>35</v>
      </c>
      <c r="P127" s="314" t="s">
        <v>58</v>
      </c>
      <c r="Q127" s="430" t="s">
        <v>598</v>
      </c>
      <c r="R127" s="299" t="s">
        <v>81</v>
      </c>
      <c r="S127" s="300"/>
    </row>
    <row r="128" spans="1:19">
      <c r="A128" s="427" t="s">
        <v>60</v>
      </c>
      <c r="B128" s="199"/>
      <c r="C128" s="199"/>
      <c r="D128" s="199"/>
      <c r="E128" s="199"/>
      <c r="F128" s="450">
        <v>353.8</v>
      </c>
      <c r="H128" s="196"/>
      <c r="I128" s="449">
        <v>-3.7</v>
      </c>
      <c r="J128" s="451">
        <v>-1.08</v>
      </c>
      <c r="K128" s="401">
        <f t="shared" si="2"/>
        <v>28.874596</v>
      </c>
      <c r="L128" s="438" t="s">
        <v>673</v>
      </c>
      <c r="M128" s="296" t="s">
        <v>16</v>
      </c>
      <c r="N128" s="297" t="s">
        <v>82</v>
      </c>
      <c r="O128" s="298" t="s">
        <v>35</v>
      </c>
      <c r="P128" s="314" t="s">
        <v>58</v>
      </c>
      <c r="Q128" s="430" t="s">
        <v>598</v>
      </c>
      <c r="R128" s="299" t="s">
        <v>81</v>
      </c>
      <c r="S128" s="300"/>
    </row>
    <row r="129" spans="1:19">
      <c r="A129" s="427" t="s">
        <v>60</v>
      </c>
      <c r="B129" s="199"/>
      <c r="C129" s="199"/>
      <c r="D129" s="199"/>
      <c r="E129" s="199"/>
      <c r="F129" s="450">
        <v>353.95</v>
      </c>
      <c r="H129" s="196"/>
      <c r="I129" s="449">
        <v>-4.3099999999999996</v>
      </c>
      <c r="J129" s="451">
        <v>-1.08</v>
      </c>
      <c r="K129" s="401">
        <f t="shared" si="2"/>
        <v>32.026160999999995</v>
      </c>
      <c r="L129" s="438" t="s">
        <v>673</v>
      </c>
      <c r="M129" s="296" t="s">
        <v>16</v>
      </c>
      <c r="N129" s="297" t="s">
        <v>82</v>
      </c>
      <c r="O129" s="298" t="s">
        <v>35</v>
      </c>
      <c r="P129" s="314" t="s">
        <v>58</v>
      </c>
      <c r="Q129" s="430" t="s">
        <v>598</v>
      </c>
      <c r="R129" s="299" t="s">
        <v>81</v>
      </c>
      <c r="S129" s="300"/>
    </row>
    <row r="130" spans="1:19">
      <c r="A130" s="427" t="s">
        <v>60</v>
      </c>
      <c r="B130" s="199"/>
      <c r="C130" s="199"/>
      <c r="D130" s="199"/>
      <c r="E130" s="199"/>
      <c r="F130" s="450">
        <v>354.1</v>
      </c>
      <c r="H130" s="196"/>
      <c r="I130" s="449">
        <v>-4.49</v>
      </c>
      <c r="J130" s="451">
        <v>-1.08</v>
      </c>
      <c r="K130" s="401">
        <f t="shared" si="2"/>
        <v>32.968929000000003</v>
      </c>
      <c r="L130" s="438" t="s">
        <v>673</v>
      </c>
      <c r="M130" s="296" t="s">
        <v>16</v>
      </c>
      <c r="N130" s="297" t="s">
        <v>82</v>
      </c>
      <c r="O130" s="298" t="s">
        <v>35</v>
      </c>
      <c r="P130" s="314" t="s">
        <v>58</v>
      </c>
      <c r="Q130" s="430" t="s">
        <v>598</v>
      </c>
      <c r="R130" s="299" t="s">
        <v>81</v>
      </c>
      <c r="S130" s="300"/>
    </row>
    <row r="131" spans="1:19">
      <c r="A131" s="427" t="s">
        <v>60</v>
      </c>
      <c r="B131" s="199"/>
      <c r="C131" s="199"/>
      <c r="D131" s="199"/>
      <c r="E131" s="199"/>
      <c r="F131" s="450">
        <v>354.25</v>
      </c>
      <c r="H131" s="196"/>
      <c r="I131" s="449">
        <v>-2.59</v>
      </c>
      <c r="J131" s="451">
        <v>-1.08</v>
      </c>
      <c r="K131" s="401">
        <f t="shared" si="2"/>
        <v>23.311609000000001</v>
      </c>
      <c r="L131" s="438" t="s">
        <v>673</v>
      </c>
      <c r="M131" s="296" t="s">
        <v>16</v>
      </c>
      <c r="N131" s="297" t="s">
        <v>82</v>
      </c>
      <c r="O131" s="298" t="s">
        <v>35</v>
      </c>
      <c r="P131" s="314" t="s">
        <v>58</v>
      </c>
      <c r="Q131" s="430" t="s">
        <v>598</v>
      </c>
      <c r="R131" s="299" t="s">
        <v>81</v>
      </c>
      <c r="S131" s="300"/>
    </row>
    <row r="132" spans="1:19">
      <c r="A132" s="427" t="s">
        <v>60</v>
      </c>
      <c r="B132" s="199"/>
      <c r="C132" s="199"/>
      <c r="D132" s="199"/>
      <c r="E132" s="199"/>
      <c r="F132" s="450">
        <v>354.41</v>
      </c>
      <c r="H132" s="196"/>
      <c r="I132" s="449">
        <v>-4.2</v>
      </c>
      <c r="J132" s="451">
        <v>-1.08</v>
      </c>
      <c r="K132" s="401">
        <f t="shared" si="2"/>
        <v>31.452895999999999</v>
      </c>
      <c r="L132" s="438" t="s">
        <v>673</v>
      </c>
      <c r="M132" s="296" t="s">
        <v>16</v>
      </c>
      <c r="N132" s="297" t="s">
        <v>82</v>
      </c>
      <c r="O132" s="298" t="s">
        <v>35</v>
      </c>
      <c r="P132" s="314" t="s">
        <v>58</v>
      </c>
      <c r="Q132" s="430" t="s">
        <v>598</v>
      </c>
      <c r="R132" s="299" t="s">
        <v>81</v>
      </c>
      <c r="S132" s="300"/>
    </row>
    <row r="133" spans="1:19">
      <c r="A133" s="427" t="s">
        <v>60</v>
      </c>
      <c r="B133" s="199"/>
      <c r="C133" s="199"/>
      <c r="D133" s="199"/>
      <c r="E133" s="199"/>
      <c r="F133" s="450">
        <v>354.56</v>
      </c>
      <c r="H133" s="196"/>
      <c r="I133" s="449">
        <v>-3.94</v>
      </c>
      <c r="J133" s="451">
        <v>-1.08</v>
      </c>
      <c r="K133" s="401">
        <f t="shared" si="2"/>
        <v>30.106563999999999</v>
      </c>
      <c r="L133" s="438" t="s">
        <v>673</v>
      </c>
      <c r="M133" s="296" t="s">
        <v>16</v>
      </c>
      <c r="N133" s="297" t="s">
        <v>82</v>
      </c>
      <c r="O133" s="298" t="s">
        <v>35</v>
      </c>
      <c r="P133" s="314" t="s">
        <v>58</v>
      </c>
      <c r="Q133" s="430" t="s">
        <v>598</v>
      </c>
      <c r="R133" s="299" t="s">
        <v>81</v>
      </c>
      <c r="S133" s="300"/>
    </row>
    <row r="134" spans="1:19">
      <c r="A134" s="427" t="s">
        <v>60</v>
      </c>
      <c r="B134" s="199"/>
      <c r="C134" s="199"/>
      <c r="D134" s="199"/>
      <c r="E134" s="199"/>
      <c r="F134" s="450">
        <v>354.71</v>
      </c>
      <c r="H134" s="196"/>
      <c r="I134" s="449">
        <v>-4.21</v>
      </c>
      <c r="J134" s="451">
        <v>-1.08</v>
      </c>
      <c r="K134" s="401">
        <f t="shared" si="2"/>
        <v>31.504921</v>
      </c>
      <c r="L134" s="438" t="s">
        <v>673</v>
      </c>
      <c r="M134" s="296" t="s">
        <v>16</v>
      </c>
      <c r="N134" s="297" t="s">
        <v>82</v>
      </c>
      <c r="O134" s="298" t="s">
        <v>35</v>
      </c>
      <c r="P134" s="314" t="s">
        <v>58</v>
      </c>
      <c r="Q134" s="430" t="s">
        <v>598</v>
      </c>
      <c r="R134" s="299" t="s">
        <v>81</v>
      </c>
      <c r="S134" s="300"/>
    </row>
    <row r="135" spans="1:19">
      <c r="A135" s="427" t="s">
        <v>60</v>
      </c>
      <c r="B135" s="199"/>
      <c r="C135" s="199"/>
      <c r="D135" s="199"/>
      <c r="E135" s="199"/>
      <c r="F135" s="450">
        <v>354.86</v>
      </c>
      <c r="H135" s="196"/>
      <c r="I135" s="449">
        <v>-3.87</v>
      </c>
      <c r="J135" s="451">
        <v>-1.08</v>
      </c>
      <c r="K135" s="401">
        <f t="shared" si="2"/>
        <v>29.746169000000002</v>
      </c>
      <c r="L135" s="438" t="s">
        <v>673</v>
      </c>
      <c r="M135" s="296" t="s">
        <v>16</v>
      </c>
      <c r="N135" s="297" t="s">
        <v>82</v>
      </c>
      <c r="O135" s="298" t="s">
        <v>35</v>
      </c>
      <c r="P135" s="314" t="s">
        <v>58</v>
      </c>
      <c r="Q135" s="430" t="s">
        <v>598</v>
      </c>
      <c r="R135" s="299" t="s">
        <v>81</v>
      </c>
      <c r="S135" s="300"/>
    </row>
    <row r="136" spans="1:19">
      <c r="A136" s="427" t="s">
        <v>60</v>
      </c>
      <c r="B136" s="199"/>
      <c r="C136" s="199"/>
      <c r="D136" s="199"/>
      <c r="E136" s="199"/>
      <c r="F136" s="455">
        <v>354.99</v>
      </c>
      <c r="G136" s="156" t="s">
        <v>661</v>
      </c>
      <c r="H136" s="196"/>
      <c r="I136" s="449">
        <v>-4.01</v>
      </c>
      <c r="J136" s="451">
        <v>-1.08</v>
      </c>
      <c r="K136" s="402">
        <f t="shared" si="2"/>
        <v>30.467841</v>
      </c>
      <c r="L136" s="438" t="s">
        <v>673</v>
      </c>
      <c r="M136" s="296" t="s">
        <v>16</v>
      </c>
      <c r="N136" s="297" t="s">
        <v>82</v>
      </c>
      <c r="O136" s="298" t="s">
        <v>35</v>
      </c>
      <c r="P136" s="314" t="s">
        <v>58</v>
      </c>
      <c r="Q136" s="430" t="s">
        <v>598</v>
      </c>
      <c r="R136" s="299" t="s">
        <v>81</v>
      </c>
      <c r="S136" s="300"/>
    </row>
    <row r="137" spans="1:19">
      <c r="A137" s="427" t="s">
        <v>60</v>
      </c>
      <c r="B137" s="199"/>
      <c r="C137" s="199"/>
      <c r="D137" s="199"/>
      <c r="E137" s="199"/>
      <c r="F137" s="455">
        <v>355.14</v>
      </c>
      <c r="G137" s="156" t="s">
        <v>661</v>
      </c>
      <c r="H137" s="196"/>
      <c r="I137" s="449">
        <v>-4.1900000000000004</v>
      </c>
      <c r="J137" s="451">
        <v>-1.08</v>
      </c>
      <c r="K137" s="402">
        <f t="shared" si="2"/>
        <v>31.400888999999999</v>
      </c>
      <c r="L137" s="438" t="s">
        <v>673</v>
      </c>
      <c r="M137" s="296" t="s">
        <v>16</v>
      </c>
      <c r="N137" s="297" t="s">
        <v>82</v>
      </c>
      <c r="O137" s="298" t="s">
        <v>35</v>
      </c>
      <c r="P137" s="314" t="s">
        <v>58</v>
      </c>
      <c r="Q137" s="430" t="s">
        <v>598</v>
      </c>
      <c r="R137" s="299" t="s">
        <v>81</v>
      </c>
      <c r="S137" s="300"/>
    </row>
    <row r="138" spans="1:19">
      <c r="A138" s="427" t="s">
        <v>60</v>
      </c>
      <c r="B138" s="199"/>
      <c r="C138" s="199"/>
      <c r="D138" s="199"/>
      <c r="E138" s="199"/>
      <c r="F138" s="455">
        <v>355.26</v>
      </c>
      <c r="G138" s="156" t="s">
        <v>661</v>
      </c>
      <c r="H138" s="196"/>
      <c r="I138" s="449">
        <v>-4.04</v>
      </c>
      <c r="J138" s="451">
        <v>-1.08</v>
      </c>
      <c r="K138" s="402">
        <f t="shared" si="2"/>
        <v>30.622944000000004</v>
      </c>
      <c r="L138" s="438" t="s">
        <v>673</v>
      </c>
      <c r="M138" s="296" t="s">
        <v>16</v>
      </c>
      <c r="N138" s="297" t="s">
        <v>82</v>
      </c>
      <c r="O138" s="298" t="s">
        <v>35</v>
      </c>
      <c r="P138" s="314" t="s">
        <v>58</v>
      </c>
      <c r="Q138" s="430" t="s">
        <v>598</v>
      </c>
      <c r="R138" s="299" t="s">
        <v>81</v>
      </c>
      <c r="S138" s="300"/>
    </row>
    <row r="139" spans="1:19">
      <c r="A139" s="427" t="s">
        <v>60</v>
      </c>
      <c r="B139" s="199"/>
      <c r="C139" s="199"/>
      <c r="D139" s="199"/>
      <c r="E139" s="199"/>
      <c r="F139" s="455">
        <v>355.53</v>
      </c>
      <c r="G139" s="156" t="s">
        <v>661</v>
      </c>
      <c r="H139" s="196"/>
      <c r="I139" s="449">
        <v>-3.81</v>
      </c>
      <c r="J139" s="451">
        <v>-1.08</v>
      </c>
      <c r="K139" s="402">
        <f t="shared" si="2"/>
        <v>29.437961000000001</v>
      </c>
      <c r="L139" s="438" t="s">
        <v>673</v>
      </c>
      <c r="M139" s="296" t="s">
        <v>16</v>
      </c>
      <c r="N139" s="297" t="s">
        <v>82</v>
      </c>
      <c r="O139" s="298" t="s">
        <v>35</v>
      </c>
      <c r="P139" s="314" t="s">
        <v>58</v>
      </c>
      <c r="Q139" s="430" t="s">
        <v>598</v>
      </c>
      <c r="R139" s="299" t="s">
        <v>81</v>
      </c>
      <c r="S139" s="300"/>
    </row>
    <row r="140" spans="1:19">
      <c r="A140" s="427" t="s">
        <v>60</v>
      </c>
      <c r="B140" s="199"/>
      <c r="C140" s="199"/>
      <c r="D140" s="199"/>
      <c r="E140" s="199"/>
      <c r="F140" s="455">
        <v>355.63</v>
      </c>
      <c r="G140" s="156" t="s">
        <v>661</v>
      </c>
      <c r="H140" s="196"/>
      <c r="I140" s="449">
        <v>-3.83</v>
      </c>
      <c r="J140" s="451">
        <v>-1.08</v>
      </c>
      <c r="K140" s="402">
        <f t="shared" si="2"/>
        <v>29.540624999999999</v>
      </c>
      <c r="L140" s="438" t="s">
        <v>673</v>
      </c>
      <c r="M140" s="296" t="s">
        <v>16</v>
      </c>
      <c r="N140" s="297" t="s">
        <v>82</v>
      </c>
      <c r="O140" s="298" t="s">
        <v>35</v>
      </c>
      <c r="P140" s="314" t="s">
        <v>58</v>
      </c>
      <c r="Q140" s="430" t="s">
        <v>598</v>
      </c>
      <c r="R140" s="299" t="s">
        <v>81</v>
      </c>
      <c r="S140" s="300"/>
    </row>
    <row r="141" spans="1:19">
      <c r="A141" s="427" t="s">
        <v>60</v>
      </c>
      <c r="B141" s="199"/>
      <c r="C141" s="199"/>
      <c r="D141" s="199"/>
      <c r="E141" s="199"/>
      <c r="F141" s="455">
        <v>355.72</v>
      </c>
      <c r="G141" s="156" t="s">
        <v>661</v>
      </c>
      <c r="H141" s="196"/>
      <c r="I141" s="449">
        <v>-4.21</v>
      </c>
      <c r="J141" s="451">
        <v>-1.08</v>
      </c>
      <c r="K141" s="402">
        <f t="shared" si="2"/>
        <v>31.504921</v>
      </c>
      <c r="L141" s="438" t="s">
        <v>673</v>
      </c>
      <c r="M141" s="296" t="s">
        <v>16</v>
      </c>
      <c r="N141" s="297" t="s">
        <v>82</v>
      </c>
      <c r="O141" s="298" t="s">
        <v>35</v>
      </c>
      <c r="P141" s="314" t="s">
        <v>58</v>
      </c>
      <c r="Q141" s="430" t="s">
        <v>598</v>
      </c>
      <c r="R141" s="299" t="s">
        <v>81</v>
      </c>
      <c r="S141" s="300"/>
    </row>
    <row r="142" spans="1:19">
      <c r="A142" s="427" t="s">
        <v>60</v>
      </c>
      <c r="B142" s="199"/>
      <c r="C142" s="199"/>
      <c r="D142" s="199"/>
      <c r="E142" s="199"/>
      <c r="F142" s="455">
        <v>355.84</v>
      </c>
      <c r="G142" s="156" t="s">
        <v>661</v>
      </c>
      <c r="H142" s="196"/>
      <c r="I142" s="449">
        <v>-2.9</v>
      </c>
      <c r="J142" s="451">
        <v>-1.08</v>
      </c>
      <c r="K142" s="402">
        <f t="shared" si="2"/>
        <v>24.842916000000002</v>
      </c>
      <c r="L142" s="438" t="s">
        <v>673</v>
      </c>
      <c r="M142" s="296" t="s">
        <v>16</v>
      </c>
      <c r="N142" s="297" t="s">
        <v>82</v>
      </c>
      <c r="O142" s="298" t="s">
        <v>35</v>
      </c>
      <c r="P142" s="314" t="s">
        <v>58</v>
      </c>
      <c r="Q142" s="430" t="s">
        <v>598</v>
      </c>
      <c r="R142" s="299" t="s">
        <v>81</v>
      </c>
      <c r="S142" s="300"/>
    </row>
    <row r="143" spans="1:19">
      <c r="A143" s="427" t="s">
        <v>60</v>
      </c>
      <c r="B143" s="199"/>
      <c r="C143" s="199"/>
      <c r="D143" s="199"/>
      <c r="E143" s="199"/>
      <c r="F143" s="455">
        <v>355.93</v>
      </c>
      <c r="G143" s="156" t="s">
        <v>661</v>
      </c>
      <c r="H143" s="196"/>
      <c r="I143" s="449">
        <v>-3.97</v>
      </c>
      <c r="J143" s="451">
        <v>-1.08</v>
      </c>
      <c r="K143" s="402">
        <f t="shared" si="2"/>
        <v>30.261288999999998</v>
      </c>
      <c r="L143" s="438" t="s">
        <v>673</v>
      </c>
      <c r="M143" s="296" t="s">
        <v>16</v>
      </c>
      <c r="N143" s="297" t="s">
        <v>82</v>
      </c>
      <c r="O143" s="298" t="s">
        <v>35</v>
      </c>
      <c r="P143" s="314" t="s">
        <v>58</v>
      </c>
      <c r="Q143" s="430" t="s">
        <v>598</v>
      </c>
      <c r="R143" s="299" t="s">
        <v>81</v>
      </c>
      <c r="S143" s="300"/>
    </row>
    <row r="144" spans="1:19">
      <c r="A144" s="427" t="s">
        <v>60</v>
      </c>
      <c r="B144" s="199"/>
      <c r="C144" s="199"/>
      <c r="D144" s="199"/>
      <c r="E144" s="199"/>
      <c r="F144" s="455">
        <v>356.02</v>
      </c>
      <c r="G144" s="156" t="s">
        <v>661</v>
      </c>
      <c r="H144" s="196"/>
      <c r="I144" s="449">
        <v>-3.71</v>
      </c>
      <c r="J144" s="451">
        <v>-1.08</v>
      </c>
      <c r="K144" s="402">
        <f t="shared" si="2"/>
        <v>28.925720999999999</v>
      </c>
      <c r="L144" s="438" t="s">
        <v>673</v>
      </c>
      <c r="M144" s="296" t="s">
        <v>16</v>
      </c>
      <c r="N144" s="297" t="s">
        <v>82</v>
      </c>
      <c r="O144" s="298" t="s">
        <v>35</v>
      </c>
      <c r="P144" s="314" t="s">
        <v>58</v>
      </c>
      <c r="Q144" s="430" t="s">
        <v>598</v>
      </c>
      <c r="R144" s="299" t="s">
        <v>81</v>
      </c>
      <c r="S144" s="300"/>
    </row>
    <row r="145" spans="1:19">
      <c r="A145" s="427" t="s">
        <v>60</v>
      </c>
      <c r="B145" s="199"/>
      <c r="C145" s="199"/>
      <c r="D145" s="199"/>
      <c r="E145" s="199"/>
      <c r="F145" s="455">
        <v>356.11</v>
      </c>
      <c r="G145" s="156" t="s">
        <v>661</v>
      </c>
      <c r="H145" s="196"/>
      <c r="I145" s="449">
        <v>-3.67</v>
      </c>
      <c r="J145" s="451">
        <v>-1.08</v>
      </c>
      <c r="K145" s="402">
        <f t="shared" si="2"/>
        <v>28.721329000000001</v>
      </c>
      <c r="L145" s="438" t="s">
        <v>673</v>
      </c>
      <c r="M145" s="296" t="s">
        <v>16</v>
      </c>
      <c r="N145" s="297" t="s">
        <v>82</v>
      </c>
      <c r="O145" s="298" t="s">
        <v>35</v>
      </c>
      <c r="P145" s="314" t="s">
        <v>58</v>
      </c>
      <c r="Q145" s="430" t="s">
        <v>598</v>
      </c>
      <c r="R145" s="299" t="s">
        <v>81</v>
      </c>
      <c r="S145" s="300"/>
    </row>
    <row r="146" spans="1:19">
      <c r="A146" s="427" t="s">
        <v>60</v>
      </c>
      <c r="B146" s="199"/>
      <c r="C146" s="199"/>
      <c r="D146" s="199"/>
      <c r="E146" s="199"/>
      <c r="F146" s="455">
        <v>356.2</v>
      </c>
      <c r="G146" s="156" t="s">
        <v>661</v>
      </c>
      <c r="H146" s="196"/>
      <c r="I146" s="449">
        <v>-3.72</v>
      </c>
      <c r="J146" s="451">
        <v>-1.08</v>
      </c>
      <c r="K146" s="402">
        <f t="shared" si="2"/>
        <v>28.976864000000003</v>
      </c>
      <c r="L146" s="438" t="s">
        <v>673</v>
      </c>
      <c r="M146" s="296" t="s">
        <v>16</v>
      </c>
      <c r="N146" s="297" t="s">
        <v>82</v>
      </c>
      <c r="O146" s="298" t="s">
        <v>35</v>
      </c>
      <c r="P146" s="314" t="s">
        <v>58</v>
      </c>
      <c r="Q146" s="430" t="s">
        <v>598</v>
      </c>
      <c r="R146" s="299" t="s">
        <v>81</v>
      </c>
      <c r="S146" s="300"/>
    </row>
    <row r="147" spans="1:19">
      <c r="A147" s="427" t="s">
        <v>60</v>
      </c>
      <c r="B147" s="199"/>
      <c r="C147" s="199"/>
      <c r="D147" s="199"/>
      <c r="E147" s="199"/>
      <c r="F147" s="455">
        <v>356.3</v>
      </c>
      <c r="G147" s="156" t="s">
        <v>661</v>
      </c>
      <c r="H147" s="196"/>
      <c r="I147" s="449">
        <v>-3.85</v>
      </c>
      <c r="J147" s="451">
        <v>-1.08</v>
      </c>
      <c r="K147" s="402">
        <f t="shared" si="2"/>
        <v>29.643360999999999</v>
      </c>
      <c r="L147" s="438" t="s">
        <v>673</v>
      </c>
      <c r="M147" s="296" t="s">
        <v>16</v>
      </c>
      <c r="N147" s="297" t="s">
        <v>82</v>
      </c>
      <c r="O147" s="298" t="s">
        <v>35</v>
      </c>
      <c r="P147" s="314" t="s">
        <v>58</v>
      </c>
      <c r="Q147" s="430" t="s">
        <v>598</v>
      </c>
      <c r="R147" s="299" t="s">
        <v>81</v>
      </c>
      <c r="S147" s="300"/>
    </row>
    <row r="148" spans="1:19">
      <c r="A148" s="427" t="s">
        <v>60</v>
      </c>
      <c r="B148" s="199"/>
      <c r="C148" s="199"/>
      <c r="D148" s="199"/>
      <c r="E148" s="199"/>
      <c r="F148" s="455">
        <v>356.39</v>
      </c>
      <c r="G148" s="156" t="s">
        <v>661</v>
      </c>
      <c r="H148" s="196"/>
      <c r="I148" s="449">
        <v>-4.0999999999999996</v>
      </c>
      <c r="J148" s="451">
        <v>-1.08</v>
      </c>
      <c r="K148" s="402">
        <f t="shared" si="2"/>
        <v>30.933636</v>
      </c>
      <c r="L148" s="438" t="s">
        <v>673</v>
      </c>
      <c r="M148" s="296" t="s">
        <v>16</v>
      </c>
      <c r="N148" s="297" t="s">
        <v>82</v>
      </c>
      <c r="O148" s="298" t="s">
        <v>35</v>
      </c>
      <c r="P148" s="314" t="s">
        <v>58</v>
      </c>
      <c r="Q148" s="430" t="s">
        <v>598</v>
      </c>
      <c r="R148" s="299" t="s">
        <v>81</v>
      </c>
      <c r="S148" s="300"/>
    </row>
    <row r="149" spans="1:19">
      <c r="A149" s="427" t="s">
        <v>60</v>
      </c>
      <c r="B149" s="199"/>
      <c r="C149" s="199"/>
      <c r="D149" s="199"/>
      <c r="E149" s="199"/>
      <c r="F149" s="455">
        <v>356.45</v>
      </c>
      <c r="G149" s="156" t="s">
        <v>661</v>
      </c>
      <c r="H149" s="196"/>
      <c r="I149" s="449">
        <v>-3.87</v>
      </c>
      <c r="J149" s="451">
        <v>-1.08</v>
      </c>
      <c r="K149" s="402">
        <f t="shared" si="2"/>
        <v>29.746169000000002</v>
      </c>
      <c r="L149" s="438" t="s">
        <v>673</v>
      </c>
      <c r="M149" s="296" t="s">
        <v>16</v>
      </c>
      <c r="N149" s="297" t="s">
        <v>82</v>
      </c>
      <c r="O149" s="298" t="s">
        <v>35</v>
      </c>
      <c r="P149" s="314" t="s">
        <v>58</v>
      </c>
      <c r="Q149" s="430" t="s">
        <v>598</v>
      </c>
      <c r="R149" s="299" t="s">
        <v>81</v>
      </c>
      <c r="S149" s="300"/>
    </row>
    <row r="150" spans="1:19">
      <c r="A150" s="427" t="s">
        <v>60</v>
      </c>
      <c r="B150" s="199"/>
      <c r="C150" s="199"/>
      <c r="D150" s="199"/>
      <c r="E150" s="199"/>
      <c r="F150" s="455">
        <v>356.69</v>
      </c>
      <c r="G150" s="156" t="s">
        <v>661</v>
      </c>
      <c r="H150" s="196"/>
      <c r="I150" s="449">
        <v>-4.05</v>
      </c>
      <c r="J150" s="451">
        <v>-1.08</v>
      </c>
      <c r="K150" s="402">
        <f t="shared" si="2"/>
        <v>30.674681</v>
      </c>
      <c r="L150" s="438" t="s">
        <v>673</v>
      </c>
      <c r="M150" s="296" t="s">
        <v>16</v>
      </c>
      <c r="N150" s="297" t="s">
        <v>82</v>
      </c>
      <c r="O150" s="298" t="s">
        <v>35</v>
      </c>
      <c r="P150" s="314" t="s">
        <v>58</v>
      </c>
      <c r="Q150" s="430" t="s">
        <v>598</v>
      </c>
      <c r="R150" s="299" t="s">
        <v>81</v>
      </c>
      <c r="S150" s="300"/>
    </row>
    <row r="151" spans="1:19">
      <c r="A151" s="427" t="s">
        <v>60</v>
      </c>
      <c r="B151" s="199"/>
      <c r="C151" s="199"/>
      <c r="D151" s="199"/>
      <c r="E151" s="199"/>
      <c r="F151" s="455">
        <v>356.84</v>
      </c>
      <c r="G151" s="156" t="s">
        <v>661</v>
      </c>
      <c r="H151" s="196"/>
      <c r="I151" s="449">
        <v>-4</v>
      </c>
      <c r="J151" s="451">
        <v>-1.08</v>
      </c>
      <c r="K151" s="402">
        <f t="shared" si="2"/>
        <v>30.416176</v>
      </c>
      <c r="L151" s="438" t="s">
        <v>673</v>
      </c>
      <c r="M151" s="296" t="s">
        <v>16</v>
      </c>
      <c r="N151" s="297" t="s">
        <v>82</v>
      </c>
      <c r="O151" s="298" t="s">
        <v>35</v>
      </c>
      <c r="P151" s="314" t="s">
        <v>58</v>
      </c>
      <c r="Q151" s="430" t="s">
        <v>598</v>
      </c>
      <c r="R151" s="299" t="s">
        <v>81</v>
      </c>
      <c r="S151" s="300"/>
    </row>
    <row r="152" spans="1:19">
      <c r="A152" s="427" t="s">
        <v>60</v>
      </c>
      <c r="B152" s="199"/>
      <c r="C152" s="199"/>
      <c r="D152" s="199"/>
      <c r="E152" s="199"/>
      <c r="F152" s="455">
        <v>356.97</v>
      </c>
      <c r="G152" s="156" t="s">
        <v>661</v>
      </c>
      <c r="H152" s="196"/>
      <c r="I152" s="449">
        <v>-3.45</v>
      </c>
      <c r="J152" s="451">
        <v>-1.08</v>
      </c>
      <c r="K152" s="402">
        <f t="shared" si="2"/>
        <v>27.602321000000003</v>
      </c>
      <c r="L152" s="438" t="s">
        <v>673</v>
      </c>
      <c r="M152" s="296" t="s">
        <v>16</v>
      </c>
      <c r="N152" s="297" t="s">
        <v>82</v>
      </c>
      <c r="O152" s="298" t="s">
        <v>35</v>
      </c>
      <c r="P152" s="314" t="s">
        <v>58</v>
      </c>
      <c r="Q152" s="430" t="s">
        <v>598</v>
      </c>
      <c r="R152" s="299" t="s">
        <v>81</v>
      </c>
      <c r="S152" s="300"/>
    </row>
    <row r="153" spans="1:19">
      <c r="A153" s="427" t="s">
        <v>60</v>
      </c>
      <c r="B153" s="199"/>
      <c r="C153" s="199"/>
      <c r="D153" s="199"/>
      <c r="E153" s="199"/>
      <c r="F153" s="455">
        <v>357.03</v>
      </c>
      <c r="G153" s="156" t="s">
        <v>663</v>
      </c>
      <c r="H153" s="196"/>
      <c r="I153" s="449">
        <v>-4.24</v>
      </c>
      <c r="J153" s="451">
        <v>-1.08</v>
      </c>
      <c r="K153" s="401">
        <f t="shared" si="2"/>
        <v>31.661103999999998</v>
      </c>
      <c r="L153" s="438" t="s">
        <v>673</v>
      </c>
      <c r="M153" s="296" t="s">
        <v>16</v>
      </c>
      <c r="N153" s="297" t="s">
        <v>82</v>
      </c>
      <c r="O153" s="298" t="s">
        <v>35</v>
      </c>
      <c r="P153" s="314" t="s">
        <v>58</v>
      </c>
      <c r="Q153" s="430" t="s">
        <v>598</v>
      </c>
      <c r="R153" s="299" t="s">
        <v>81</v>
      </c>
      <c r="S153" s="300"/>
    </row>
    <row r="154" spans="1:19">
      <c r="A154" s="431" t="s">
        <v>60</v>
      </c>
      <c r="B154" s="432"/>
      <c r="C154" s="432"/>
      <c r="D154" s="432"/>
      <c r="E154" s="432"/>
      <c r="F154" s="385">
        <v>357.12</v>
      </c>
      <c r="G154" s="226" t="s">
        <v>19</v>
      </c>
      <c r="H154" s="226"/>
      <c r="I154" s="456">
        <v>-2.52</v>
      </c>
      <c r="J154" s="454">
        <v>-1.08</v>
      </c>
      <c r="K154" s="786">
        <f t="shared" si="2"/>
        <v>22.968223999999999</v>
      </c>
      <c r="L154" s="439" t="s">
        <v>673</v>
      </c>
      <c r="M154" s="386" t="s">
        <v>16</v>
      </c>
      <c r="N154" s="399" t="s">
        <v>82</v>
      </c>
      <c r="O154" s="390" t="s">
        <v>35</v>
      </c>
      <c r="P154" s="388" t="s">
        <v>58</v>
      </c>
      <c r="Q154" s="436" t="s">
        <v>598</v>
      </c>
      <c r="R154" s="299" t="s">
        <v>81</v>
      </c>
      <c r="S154" s="300"/>
    </row>
    <row r="155" spans="1:19">
      <c r="A155" s="427" t="s">
        <v>60</v>
      </c>
      <c r="B155" s="199"/>
      <c r="C155" s="199"/>
      <c r="D155" s="199"/>
      <c r="E155" s="199"/>
      <c r="F155" s="450">
        <v>343.34</v>
      </c>
      <c r="H155" s="196"/>
      <c r="I155" s="449">
        <v>-1.75</v>
      </c>
      <c r="J155" s="451">
        <v>-1.08</v>
      </c>
      <c r="K155" s="401">
        <f t="shared" si="2"/>
        <v>19.249200999999999</v>
      </c>
      <c r="L155" s="753" t="s">
        <v>674</v>
      </c>
      <c r="M155" s="296" t="s">
        <v>74</v>
      </c>
      <c r="N155" s="296" t="s">
        <v>82</v>
      </c>
      <c r="O155" s="298" t="s">
        <v>44</v>
      </c>
      <c r="P155" s="314" t="s">
        <v>58</v>
      </c>
      <c r="Q155" s="430" t="s">
        <v>598</v>
      </c>
      <c r="R155" s="299" t="s">
        <v>81</v>
      </c>
      <c r="S155" s="300"/>
    </row>
    <row r="156" spans="1:19">
      <c r="A156" s="427" t="s">
        <v>60</v>
      </c>
      <c r="B156" s="199"/>
      <c r="C156" s="199"/>
      <c r="D156" s="199"/>
      <c r="E156" s="199"/>
      <c r="F156" s="450">
        <v>344.26</v>
      </c>
      <c r="H156" s="196"/>
      <c r="I156" s="449">
        <v>0.04</v>
      </c>
      <c r="J156" s="451">
        <v>-1.08</v>
      </c>
      <c r="K156" s="401">
        <f t="shared" si="2"/>
        <v>11.016096000000001</v>
      </c>
      <c r="L156" s="753" t="s">
        <v>674</v>
      </c>
      <c r="M156" s="296" t="s">
        <v>74</v>
      </c>
      <c r="N156" s="296" t="s">
        <v>82</v>
      </c>
      <c r="O156" s="298" t="s">
        <v>44</v>
      </c>
      <c r="P156" s="314" t="s">
        <v>58</v>
      </c>
      <c r="Q156" s="430" t="s">
        <v>598</v>
      </c>
      <c r="R156" s="299" t="s">
        <v>81</v>
      </c>
      <c r="S156" s="300"/>
    </row>
    <row r="157" spans="1:19">
      <c r="A157" s="427" t="s">
        <v>60</v>
      </c>
      <c r="B157" s="199"/>
      <c r="C157" s="199"/>
      <c r="D157" s="199"/>
      <c r="E157" s="199"/>
      <c r="F157" s="450">
        <v>344.56</v>
      </c>
      <c r="H157" s="196"/>
      <c r="I157" s="449">
        <v>-0.05</v>
      </c>
      <c r="J157" s="451">
        <v>-1.08</v>
      </c>
      <c r="K157" s="401">
        <f t="shared" si="2"/>
        <v>11.416281000000001</v>
      </c>
      <c r="L157" s="753" t="s">
        <v>674</v>
      </c>
      <c r="M157" s="296" t="s">
        <v>74</v>
      </c>
      <c r="N157" s="296" t="s">
        <v>82</v>
      </c>
      <c r="O157" s="298" t="s">
        <v>44</v>
      </c>
      <c r="P157" s="314" t="s">
        <v>58</v>
      </c>
      <c r="Q157" s="430" t="s">
        <v>598</v>
      </c>
      <c r="R157" s="299" t="s">
        <v>81</v>
      </c>
      <c r="S157" s="300"/>
    </row>
    <row r="158" spans="1:19">
      <c r="A158" s="427" t="s">
        <v>60</v>
      </c>
      <c r="B158" s="199"/>
      <c r="C158" s="199"/>
      <c r="D158" s="199"/>
      <c r="E158" s="199"/>
      <c r="F158" s="450">
        <v>344.87</v>
      </c>
      <c r="H158" s="196"/>
      <c r="I158" s="449">
        <v>-0.46</v>
      </c>
      <c r="J158" s="451">
        <v>-1.08</v>
      </c>
      <c r="K158" s="401">
        <f t="shared" si="2"/>
        <v>13.257796000000003</v>
      </c>
      <c r="L158" s="753" t="s">
        <v>674</v>
      </c>
      <c r="M158" s="296" t="s">
        <v>74</v>
      </c>
      <c r="N158" s="296" t="s">
        <v>82</v>
      </c>
      <c r="O158" s="298" t="s">
        <v>44</v>
      </c>
      <c r="P158" s="314" t="s">
        <v>58</v>
      </c>
      <c r="Q158" s="430" t="s">
        <v>598</v>
      </c>
      <c r="R158" s="299" t="s">
        <v>81</v>
      </c>
      <c r="S158" s="300"/>
    </row>
    <row r="159" spans="1:19">
      <c r="A159" s="427" t="s">
        <v>60</v>
      </c>
      <c r="B159" s="199"/>
      <c r="C159" s="199"/>
      <c r="D159" s="199"/>
      <c r="E159" s="199"/>
      <c r="F159" s="450">
        <v>345.17</v>
      </c>
      <c r="H159" s="196"/>
      <c r="I159" s="449">
        <v>-2.2000000000000002</v>
      </c>
      <c r="J159" s="451">
        <v>-1.08</v>
      </c>
      <c r="K159" s="401">
        <f t="shared" si="2"/>
        <v>21.409696</v>
      </c>
      <c r="L159" s="753" t="s">
        <v>674</v>
      </c>
      <c r="M159" s="296" t="s">
        <v>74</v>
      </c>
      <c r="N159" s="296" t="s">
        <v>82</v>
      </c>
      <c r="O159" s="298" t="s">
        <v>44</v>
      </c>
      <c r="P159" s="314" t="s">
        <v>58</v>
      </c>
      <c r="Q159" s="430" t="s">
        <v>598</v>
      </c>
      <c r="R159" s="299" t="s">
        <v>81</v>
      </c>
      <c r="S159" s="300"/>
    </row>
    <row r="160" spans="1:19">
      <c r="A160" s="427" t="s">
        <v>60</v>
      </c>
      <c r="B160" s="199"/>
      <c r="C160" s="199"/>
      <c r="D160" s="199"/>
      <c r="E160" s="199"/>
      <c r="F160" s="450">
        <v>345.48</v>
      </c>
      <c r="H160" s="196"/>
      <c r="I160" s="449">
        <v>-1.7828999999999999</v>
      </c>
      <c r="J160" s="451">
        <v>-1.08</v>
      </c>
      <c r="K160" s="401">
        <f t="shared" si="2"/>
        <v>19.405922156900001</v>
      </c>
      <c r="L160" s="753" t="s">
        <v>674</v>
      </c>
      <c r="M160" s="296" t="s">
        <v>74</v>
      </c>
      <c r="N160" s="296" t="s">
        <v>82</v>
      </c>
      <c r="O160" s="298" t="s">
        <v>44</v>
      </c>
      <c r="P160" s="314" t="s">
        <v>58</v>
      </c>
      <c r="Q160" s="430" t="s">
        <v>598</v>
      </c>
      <c r="R160" s="299" t="s">
        <v>81</v>
      </c>
      <c r="S160" s="300"/>
    </row>
    <row r="161" spans="1:19">
      <c r="A161" s="427" t="s">
        <v>60</v>
      </c>
      <c r="B161" s="199"/>
      <c r="C161" s="199"/>
      <c r="D161" s="199"/>
      <c r="E161" s="199"/>
      <c r="F161" s="450">
        <v>346.82</v>
      </c>
      <c r="H161" s="196"/>
      <c r="I161" s="449">
        <v>-1.9390000000000001</v>
      </c>
      <c r="J161" s="451">
        <v>-1.08</v>
      </c>
      <c r="K161" s="401">
        <f t="shared" si="2"/>
        <v>20.15216929</v>
      </c>
      <c r="L161" s="753" t="s">
        <v>674</v>
      </c>
      <c r="M161" s="296" t="s">
        <v>74</v>
      </c>
      <c r="N161" s="296" t="s">
        <v>82</v>
      </c>
      <c r="O161" s="298" t="s">
        <v>44</v>
      </c>
      <c r="P161" s="314" t="s">
        <v>58</v>
      </c>
      <c r="Q161" s="430" t="s">
        <v>598</v>
      </c>
      <c r="R161" s="299" t="s">
        <v>81</v>
      </c>
      <c r="S161" s="300"/>
    </row>
    <row r="162" spans="1:19">
      <c r="A162" s="427" t="s">
        <v>60</v>
      </c>
      <c r="B162" s="199"/>
      <c r="C162" s="199"/>
      <c r="D162" s="199"/>
      <c r="E162" s="199"/>
      <c r="F162" s="450">
        <v>347.06</v>
      </c>
      <c r="H162" s="196"/>
      <c r="I162" s="449">
        <v>-1.5732999999999999</v>
      </c>
      <c r="J162" s="451">
        <v>-1.08</v>
      </c>
      <c r="K162" s="401">
        <f t="shared" si="2"/>
        <v>18.410813040100003</v>
      </c>
      <c r="L162" s="753" t="s">
        <v>674</v>
      </c>
      <c r="M162" s="296" t="s">
        <v>74</v>
      </c>
      <c r="N162" s="296" t="s">
        <v>82</v>
      </c>
      <c r="O162" s="298" t="s">
        <v>44</v>
      </c>
      <c r="P162" s="314" t="s">
        <v>58</v>
      </c>
      <c r="Q162" s="430" t="s">
        <v>598</v>
      </c>
      <c r="R162" s="299" t="s">
        <v>81</v>
      </c>
      <c r="S162" s="300"/>
    </row>
    <row r="163" spans="1:19">
      <c r="A163" s="427" t="s">
        <v>60</v>
      </c>
      <c r="B163" s="199"/>
      <c r="C163" s="199"/>
      <c r="D163" s="199"/>
      <c r="E163" s="199"/>
      <c r="F163" s="450">
        <v>349.04</v>
      </c>
      <c r="H163" s="196"/>
      <c r="I163" s="449">
        <v>-2.2084000000000001</v>
      </c>
      <c r="J163" s="451">
        <v>-1.08</v>
      </c>
      <c r="K163" s="401">
        <f t="shared" ref="K163:K213" si="3">16.1-4.64*($I163-J163)+0.09*($I163-J163)^2</f>
        <v>21.450371790400002</v>
      </c>
      <c r="L163" s="753" t="s">
        <v>674</v>
      </c>
      <c r="M163" s="296" t="s">
        <v>74</v>
      </c>
      <c r="N163" s="296" t="s">
        <v>82</v>
      </c>
      <c r="O163" s="298" t="s">
        <v>44</v>
      </c>
      <c r="P163" s="314" t="s">
        <v>58</v>
      </c>
      <c r="Q163" s="430" t="s">
        <v>598</v>
      </c>
      <c r="R163" s="299" t="s">
        <v>81</v>
      </c>
      <c r="S163" s="300"/>
    </row>
    <row r="164" spans="1:19">
      <c r="A164" s="427" t="s">
        <v>60</v>
      </c>
      <c r="B164" s="199"/>
      <c r="C164" s="199"/>
      <c r="D164" s="199"/>
      <c r="E164" s="199"/>
      <c r="F164" s="450">
        <v>349.19</v>
      </c>
      <c r="H164" s="196"/>
      <c r="I164" s="449">
        <v>-2.6023000000000001</v>
      </c>
      <c r="J164" s="451">
        <v>-1.08</v>
      </c>
      <c r="K164" s="401">
        <f t="shared" si="3"/>
        <v>23.372037756099999</v>
      </c>
      <c r="L164" s="753" t="s">
        <v>674</v>
      </c>
      <c r="M164" s="296" t="s">
        <v>74</v>
      </c>
      <c r="N164" s="296" t="s">
        <v>82</v>
      </c>
      <c r="O164" s="298" t="s">
        <v>44</v>
      </c>
      <c r="P164" s="314" t="s">
        <v>58</v>
      </c>
      <c r="Q164" s="430" t="s">
        <v>598</v>
      </c>
      <c r="R164" s="299" t="s">
        <v>81</v>
      </c>
      <c r="S164" s="300"/>
    </row>
    <row r="165" spans="1:19">
      <c r="A165" s="427" t="s">
        <v>60</v>
      </c>
      <c r="B165" s="199"/>
      <c r="C165" s="199"/>
      <c r="D165" s="199"/>
      <c r="E165" s="199"/>
      <c r="F165" s="450">
        <v>349.44</v>
      </c>
      <c r="H165" s="196"/>
      <c r="I165" s="449">
        <v>-1.5891</v>
      </c>
      <c r="J165" s="451">
        <v>-1.08</v>
      </c>
      <c r="K165" s="401">
        <f t="shared" si="3"/>
        <v>18.4855504529</v>
      </c>
      <c r="L165" s="753" t="s">
        <v>674</v>
      </c>
      <c r="M165" s="296" t="s">
        <v>74</v>
      </c>
      <c r="N165" s="296" t="s">
        <v>82</v>
      </c>
      <c r="O165" s="298" t="s">
        <v>44</v>
      </c>
      <c r="P165" s="314" t="s">
        <v>58</v>
      </c>
      <c r="Q165" s="430" t="s">
        <v>598</v>
      </c>
      <c r="R165" s="299" t="s">
        <v>81</v>
      </c>
      <c r="S165" s="300"/>
    </row>
    <row r="166" spans="1:19">
      <c r="A166" s="427" t="s">
        <v>60</v>
      </c>
      <c r="B166" s="199"/>
      <c r="C166" s="199"/>
      <c r="D166" s="199"/>
      <c r="E166" s="199"/>
      <c r="F166" s="450">
        <v>349.65</v>
      </c>
      <c r="H166" s="196"/>
      <c r="I166" s="449">
        <v>-2.4388000000000001</v>
      </c>
      <c r="J166" s="451">
        <v>-1.08</v>
      </c>
      <c r="K166" s="401">
        <f t="shared" si="3"/>
        <v>22.571002369599999</v>
      </c>
      <c r="L166" s="753" t="s">
        <v>674</v>
      </c>
      <c r="M166" s="296" t="s">
        <v>74</v>
      </c>
      <c r="N166" s="296" t="s">
        <v>82</v>
      </c>
      <c r="O166" s="298" t="s">
        <v>44</v>
      </c>
      <c r="P166" s="314" t="s">
        <v>58</v>
      </c>
      <c r="Q166" s="430" t="s">
        <v>598</v>
      </c>
      <c r="R166" s="299" t="s">
        <v>81</v>
      </c>
      <c r="S166" s="300"/>
    </row>
    <row r="167" spans="1:19">
      <c r="A167" s="427" t="s">
        <v>60</v>
      </c>
      <c r="B167" s="199"/>
      <c r="C167" s="199"/>
      <c r="D167" s="199"/>
      <c r="E167" s="199"/>
      <c r="F167" s="450">
        <v>349.83</v>
      </c>
      <c r="H167" s="196"/>
      <c r="I167" s="449">
        <v>-2.4195000000000002</v>
      </c>
      <c r="J167" s="451">
        <v>-1.08</v>
      </c>
      <c r="K167" s="401">
        <f t="shared" si="3"/>
        <v>22.476763422500003</v>
      </c>
      <c r="L167" s="753" t="s">
        <v>674</v>
      </c>
      <c r="M167" s="296" t="s">
        <v>74</v>
      </c>
      <c r="N167" s="296" t="s">
        <v>82</v>
      </c>
      <c r="O167" s="298" t="s">
        <v>44</v>
      </c>
      <c r="P167" s="314" t="s">
        <v>58</v>
      </c>
      <c r="Q167" s="430" t="s">
        <v>598</v>
      </c>
      <c r="R167" s="299" t="s">
        <v>81</v>
      </c>
      <c r="S167" s="300"/>
    </row>
    <row r="168" spans="1:19">
      <c r="A168" s="427" t="s">
        <v>60</v>
      </c>
      <c r="B168" s="199"/>
      <c r="C168" s="199"/>
      <c r="D168" s="199"/>
      <c r="E168" s="199"/>
      <c r="F168" s="450">
        <v>350.05</v>
      </c>
      <c r="H168" s="196"/>
      <c r="I168" s="449">
        <v>-2.3127</v>
      </c>
      <c r="J168" s="451">
        <v>-1.08</v>
      </c>
      <c r="K168" s="401">
        <f t="shared" si="3"/>
        <v>21.956487436100002</v>
      </c>
      <c r="L168" s="753" t="s">
        <v>674</v>
      </c>
      <c r="M168" s="296" t="s">
        <v>74</v>
      </c>
      <c r="N168" s="296" t="s">
        <v>82</v>
      </c>
      <c r="O168" s="298" t="s">
        <v>44</v>
      </c>
      <c r="P168" s="314" t="s">
        <v>58</v>
      </c>
      <c r="Q168" s="430" t="s">
        <v>598</v>
      </c>
      <c r="R168" s="299" t="s">
        <v>81</v>
      </c>
      <c r="S168" s="300"/>
    </row>
    <row r="169" spans="1:19">
      <c r="A169" s="427" t="s">
        <v>60</v>
      </c>
      <c r="B169" s="199"/>
      <c r="C169" s="199"/>
      <c r="D169" s="199"/>
      <c r="E169" s="199"/>
      <c r="F169" s="450">
        <v>350.26</v>
      </c>
      <c r="H169" s="196"/>
      <c r="I169" s="449">
        <v>-2.59</v>
      </c>
      <c r="J169" s="451">
        <v>-1.08</v>
      </c>
      <c r="K169" s="401">
        <f t="shared" si="3"/>
        <v>23.311609000000001</v>
      </c>
      <c r="L169" s="753" t="s">
        <v>674</v>
      </c>
      <c r="M169" s="296" t="s">
        <v>74</v>
      </c>
      <c r="N169" s="296" t="s">
        <v>82</v>
      </c>
      <c r="O169" s="298" t="s">
        <v>44</v>
      </c>
      <c r="P169" s="314" t="s">
        <v>58</v>
      </c>
      <c r="Q169" s="430" t="s">
        <v>598</v>
      </c>
      <c r="R169" s="299" t="s">
        <v>81</v>
      </c>
      <c r="S169" s="300"/>
    </row>
    <row r="170" spans="1:19">
      <c r="A170" s="427" t="s">
        <v>60</v>
      </c>
      <c r="B170" s="199"/>
      <c r="C170" s="199"/>
      <c r="D170" s="199"/>
      <c r="E170" s="199"/>
      <c r="F170" s="450">
        <v>350.44</v>
      </c>
      <c r="H170" s="196"/>
      <c r="I170" s="449">
        <v>-2.3847999999999998</v>
      </c>
      <c r="J170" s="451">
        <v>-1.08</v>
      </c>
      <c r="K170" s="401">
        <f t="shared" si="3"/>
        <v>22.307497273599999</v>
      </c>
      <c r="L170" s="753" t="s">
        <v>674</v>
      </c>
      <c r="M170" s="296" t="s">
        <v>74</v>
      </c>
      <c r="N170" s="296" t="s">
        <v>82</v>
      </c>
      <c r="O170" s="298" t="s">
        <v>44</v>
      </c>
      <c r="P170" s="314" t="s">
        <v>58</v>
      </c>
      <c r="Q170" s="430" t="s">
        <v>598</v>
      </c>
      <c r="R170" s="299" t="s">
        <v>81</v>
      </c>
      <c r="S170" s="300"/>
    </row>
    <row r="171" spans="1:19">
      <c r="A171" s="427" t="s">
        <v>60</v>
      </c>
      <c r="B171" s="199"/>
      <c r="C171" s="199"/>
      <c r="D171" s="199"/>
      <c r="E171" s="199"/>
      <c r="F171" s="450">
        <v>350.66</v>
      </c>
      <c r="H171" s="196"/>
      <c r="I171" s="449">
        <v>-2.6467999999999998</v>
      </c>
      <c r="J171" s="451">
        <v>-1.08</v>
      </c>
      <c r="K171" s="401">
        <f t="shared" si="3"/>
        <v>23.590889601599997</v>
      </c>
      <c r="L171" s="753" t="s">
        <v>674</v>
      </c>
      <c r="M171" s="296" t="s">
        <v>74</v>
      </c>
      <c r="N171" s="296" t="s">
        <v>82</v>
      </c>
      <c r="O171" s="298" t="s">
        <v>44</v>
      </c>
      <c r="P171" s="314" t="s">
        <v>58</v>
      </c>
      <c r="Q171" s="430" t="s">
        <v>598</v>
      </c>
      <c r="R171" s="299" t="s">
        <v>81</v>
      </c>
      <c r="S171" s="300"/>
    </row>
    <row r="172" spans="1:19">
      <c r="A172" s="427" t="s">
        <v>60</v>
      </c>
      <c r="B172" s="199"/>
      <c r="C172" s="199"/>
      <c r="D172" s="199"/>
      <c r="E172" s="199"/>
      <c r="F172" s="450">
        <v>351.3</v>
      </c>
      <c r="H172" s="196"/>
      <c r="I172" s="449">
        <v>-1.0900000000000001</v>
      </c>
      <c r="J172" s="451">
        <v>-1.08</v>
      </c>
      <c r="K172" s="401">
        <f t="shared" si="3"/>
        <v>16.146408999999998</v>
      </c>
      <c r="L172" s="753" t="s">
        <v>674</v>
      </c>
      <c r="M172" s="296" t="s">
        <v>74</v>
      </c>
      <c r="N172" s="296" t="s">
        <v>82</v>
      </c>
      <c r="O172" s="298" t="s">
        <v>44</v>
      </c>
      <c r="P172" s="314" t="s">
        <v>58</v>
      </c>
      <c r="Q172" s="430" t="s">
        <v>598</v>
      </c>
      <c r="R172" s="299" t="s">
        <v>81</v>
      </c>
      <c r="S172" s="300"/>
    </row>
    <row r="173" spans="1:19">
      <c r="A173" s="427" t="s">
        <v>60</v>
      </c>
      <c r="B173" s="199"/>
      <c r="C173" s="199"/>
      <c r="D173" s="199"/>
      <c r="E173" s="199"/>
      <c r="F173" s="450">
        <v>351.51</v>
      </c>
      <c r="H173" s="196"/>
      <c r="I173" s="449">
        <v>-1.44</v>
      </c>
      <c r="J173" s="451">
        <v>-1.08</v>
      </c>
      <c r="K173" s="401">
        <f t="shared" si="3"/>
        <v>17.782064000000002</v>
      </c>
      <c r="L173" s="753" t="s">
        <v>674</v>
      </c>
      <c r="M173" s="296" t="s">
        <v>74</v>
      </c>
      <c r="N173" s="296" t="s">
        <v>82</v>
      </c>
      <c r="O173" s="298" t="s">
        <v>44</v>
      </c>
      <c r="P173" s="314" t="s">
        <v>58</v>
      </c>
      <c r="Q173" s="430" t="s">
        <v>598</v>
      </c>
      <c r="R173" s="299" t="s">
        <v>81</v>
      </c>
      <c r="S173" s="300"/>
    </row>
    <row r="174" spans="1:19">
      <c r="A174" s="427" t="s">
        <v>60</v>
      </c>
      <c r="B174" s="199"/>
      <c r="C174" s="199"/>
      <c r="D174" s="199"/>
      <c r="E174" s="199"/>
      <c r="F174" s="450">
        <v>352.39</v>
      </c>
      <c r="H174" s="196"/>
      <c r="I174" s="449">
        <v>-2.5819999999999999</v>
      </c>
      <c r="J174" s="451">
        <v>-1.08</v>
      </c>
      <c r="K174" s="401">
        <f t="shared" si="3"/>
        <v>23.272320359999998</v>
      </c>
      <c r="L174" s="753" t="s">
        <v>674</v>
      </c>
      <c r="M174" s="296" t="s">
        <v>74</v>
      </c>
      <c r="N174" s="296" t="s">
        <v>82</v>
      </c>
      <c r="O174" s="298" t="s">
        <v>44</v>
      </c>
      <c r="P174" s="314" t="s">
        <v>58</v>
      </c>
      <c r="Q174" s="430" t="s">
        <v>598</v>
      </c>
      <c r="R174" s="299" t="s">
        <v>81</v>
      </c>
      <c r="S174" s="300"/>
    </row>
    <row r="175" spans="1:19">
      <c r="A175" s="427" t="s">
        <v>60</v>
      </c>
      <c r="B175" s="199"/>
      <c r="C175" s="199"/>
      <c r="D175" s="199"/>
      <c r="E175" s="199"/>
      <c r="F175" s="450">
        <v>352.61</v>
      </c>
      <c r="H175" s="196"/>
      <c r="I175" s="449">
        <v>-2.7841</v>
      </c>
      <c r="J175" s="451">
        <v>-1.08</v>
      </c>
      <c r="K175" s="401">
        <f t="shared" si="3"/>
        <v>24.268380112900001</v>
      </c>
      <c r="L175" s="753" t="s">
        <v>674</v>
      </c>
      <c r="M175" s="296" t="s">
        <v>74</v>
      </c>
      <c r="N175" s="296" t="s">
        <v>82</v>
      </c>
      <c r="O175" s="298" t="s">
        <v>44</v>
      </c>
      <c r="P175" s="314" t="s">
        <v>58</v>
      </c>
      <c r="Q175" s="430" t="s">
        <v>598</v>
      </c>
      <c r="R175" s="299" t="s">
        <v>81</v>
      </c>
      <c r="S175" s="300"/>
    </row>
    <row r="176" spans="1:19">
      <c r="A176" s="427" t="s">
        <v>60</v>
      </c>
      <c r="B176" s="199"/>
      <c r="C176" s="199"/>
      <c r="D176" s="199"/>
      <c r="E176" s="199"/>
      <c r="F176" s="450">
        <v>352.82</v>
      </c>
      <c r="H176" s="196"/>
      <c r="I176" s="449">
        <v>-2.76</v>
      </c>
      <c r="J176" s="451">
        <v>-1.08</v>
      </c>
      <c r="K176" s="401">
        <f t="shared" si="3"/>
        <v>24.149215999999999</v>
      </c>
      <c r="L176" s="753" t="s">
        <v>674</v>
      </c>
      <c r="M176" s="296" t="s">
        <v>74</v>
      </c>
      <c r="N176" s="296" t="s">
        <v>82</v>
      </c>
      <c r="O176" s="298" t="s">
        <v>44</v>
      </c>
      <c r="P176" s="314" t="s">
        <v>58</v>
      </c>
      <c r="Q176" s="430" t="s">
        <v>598</v>
      </c>
      <c r="R176" s="299" t="s">
        <v>81</v>
      </c>
      <c r="S176" s="300"/>
    </row>
    <row r="177" spans="1:19">
      <c r="A177" s="427" t="s">
        <v>60</v>
      </c>
      <c r="B177" s="199"/>
      <c r="C177" s="199"/>
      <c r="D177" s="199"/>
      <c r="E177" s="199"/>
      <c r="F177" s="450">
        <v>353.03</v>
      </c>
      <c r="H177" s="196"/>
      <c r="I177" s="449">
        <v>-3.0981000000000001</v>
      </c>
      <c r="J177" s="451">
        <v>-1.08</v>
      </c>
      <c r="K177" s="401">
        <f t="shared" si="3"/>
        <v>25.830529484900001</v>
      </c>
      <c r="L177" s="753" t="s">
        <v>674</v>
      </c>
      <c r="M177" s="296" t="s">
        <v>74</v>
      </c>
      <c r="N177" s="296" t="s">
        <v>82</v>
      </c>
      <c r="O177" s="298" t="s">
        <v>44</v>
      </c>
      <c r="P177" s="314" t="s">
        <v>58</v>
      </c>
      <c r="Q177" s="430" t="s">
        <v>598</v>
      </c>
      <c r="R177" s="299" t="s">
        <v>81</v>
      </c>
      <c r="S177" s="300"/>
    </row>
    <row r="178" spans="1:19">
      <c r="A178" s="427" t="s">
        <v>60</v>
      </c>
      <c r="B178" s="199"/>
      <c r="C178" s="199"/>
      <c r="D178" s="199"/>
      <c r="E178" s="199"/>
      <c r="F178" s="450">
        <v>353.25</v>
      </c>
      <c r="H178" s="196"/>
      <c r="I178" s="449">
        <v>-2.75</v>
      </c>
      <c r="J178" s="451">
        <v>-1.08</v>
      </c>
      <c r="K178" s="401">
        <f t="shared" si="3"/>
        <v>24.099800999999999</v>
      </c>
      <c r="L178" s="753" t="s">
        <v>674</v>
      </c>
      <c r="M178" s="296" t="s">
        <v>74</v>
      </c>
      <c r="N178" s="296" t="s">
        <v>82</v>
      </c>
      <c r="O178" s="298" t="s">
        <v>44</v>
      </c>
      <c r="P178" s="314" t="s">
        <v>58</v>
      </c>
      <c r="Q178" s="430" t="s">
        <v>598</v>
      </c>
      <c r="R178" s="299" t="s">
        <v>81</v>
      </c>
      <c r="S178" s="300"/>
    </row>
    <row r="179" spans="1:19">
      <c r="A179" s="427" t="s">
        <v>60</v>
      </c>
      <c r="B179" s="199"/>
      <c r="C179" s="199"/>
      <c r="D179" s="199"/>
      <c r="E179" s="199"/>
      <c r="F179" s="450">
        <v>353.61</v>
      </c>
      <c r="H179" s="196"/>
      <c r="I179" s="449">
        <v>-1.58</v>
      </c>
      <c r="J179" s="451">
        <v>-1.08</v>
      </c>
      <c r="K179" s="401">
        <f t="shared" si="3"/>
        <v>18.442500000000003</v>
      </c>
      <c r="L179" s="753" t="s">
        <v>674</v>
      </c>
      <c r="M179" s="296" t="s">
        <v>74</v>
      </c>
      <c r="N179" s="296" t="s">
        <v>82</v>
      </c>
      <c r="O179" s="298" t="s">
        <v>44</v>
      </c>
      <c r="P179" s="314" t="s">
        <v>58</v>
      </c>
      <c r="Q179" s="430" t="s">
        <v>598</v>
      </c>
      <c r="R179" s="299" t="s">
        <v>81</v>
      </c>
      <c r="S179" s="300"/>
    </row>
    <row r="180" spans="1:19">
      <c r="A180" s="427" t="s">
        <v>60</v>
      </c>
      <c r="B180" s="199"/>
      <c r="C180" s="199"/>
      <c r="D180" s="199"/>
      <c r="E180" s="199"/>
      <c r="F180" s="450">
        <v>353.8</v>
      </c>
      <c r="H180" s="196"/>
      <c r="I180" s="449">
        <v>-2.2561</v>
      </c>
      <c r="J180" s="451">
        <v>-1.08</v>
      </c>
      <c r="K180" s="401">
        <f t="shared" si="3"/>
        <v>21.681593008900002</v>
      </c>
      <c r="L180" s="753" t="s">
        <v>674</v>
      </c>
      <c r="M180" s="296" t="s">
        <v>74</v>
      </c>
      <c r="N180" s="296" t="s">
        <v>82</v>
      </c>
      <c r="O180" s="298" t="s">
        <v>44</v>
      </c>
      <c r="P180" s="314" t="s">
        <v>58</v>
      </c>
      <c r="Q180" s="430" t="s">
        <v>598</v>
      </c>
      <c r="R180" s="299" t="s">
        <v>81</v>
      </c>
      <c r="S180" s="300"/>
    </row>
    <row r="181" spans="1:19">
      <c r="A181" s="427" t="s">
        <v>60</v>
      </c>
      <c r="B181" s="199"/>
      <c r="C181" s="199"/>
      <c r="D181" s="199"/>
      <c r="E181" s="199"/>
      <c r="F181" s="450">
        <v>353.95</v>
      </c>
      <c r="H181" s="196"/>
      <c r="I181" s="449">
        <v>-2.86</v>
      </c>
      <c r="J181" s="451">
        <v>-1.08</v>
      </c>
      <c r="K181" s="401">
        <f t="shared" si="3"/>
        <v>24.644356000000002</v>
      </c>
      <c r="L181" s="753" t="s">
        <v>674</v>
      </c>
      <c r="M181" s="296" t="s">
        <v>74</v>
      </c>
      <c r="N181" s="296" t="s">
        <v>82</v>
      </c>
      <c r="O181" s="298" t="s">
        <v>44</v>
      </c>
      <c r="P181" s="314" t="s">
        <v>58</v>
      </c>
      <c r="Q181" s="430" t="s">
        <v>598</v>
      </c>
      <c r="R181" s="299" t="s">
        <v>81</v>
      </c>
      <c r="S181" s="300"/>
    </row>
    <row r="182" spans="1:19">
      <c r="A182" s="427" t="s">
        <v>60</v>
      </c>
      <c r="B182" s="199"/>
      <c r="C182" s="199"/>
      <c r="D182" s="199"/>
      <c r="E182" s="199"/>
      <c r="F182" s="448">
        <v>354.1</v>
      </c>
      <c r="H182" s="196"/>
      <c r="I182" s="451">
        <v>-2.78</v>
      </c>
      <c r="J182" s="451">
        <v>-1.08</v>
      </c>
      <c r="K182" s="401">
        <f t="shared" si="3"/>
        <v>24.248100000000001</v>
      </c>
      <c r="L182" s="753" t="s">
        <v>674</v>
      </c>
      <c r="M182" s="296" t="s">
        <v>74</v>
      </c>
      <c r="N182" s="296" t="s">
        <v>82</v>
      </c>
      <c r="O182" s="298" t="s">
        <v>44</v>
      </c>
      <c r="P182" s="314" t="s">
        <v>58</v>
      </c>
      <c r="Q182" s="430" t="s">
        <v>598</v>
      </c>
      <c r="R182" s="299" t="s">
        <v>81</v>
      </c>
      <c r="S182" s="300"/>
    </row>
    <row r="183" spans="1:19">
      <c r="A183" s="427" t="s">
        <v>60</v>
      </c>
      <c r="B183" s="199"/>
      <c r="C183" s="199"/>
      <c r="D183" s="199"/>
      <c r="E183" s="199"/>
      <c r="F183" s="448">
        <v>354.25</v>
      </c>
      <c r="H183" s="196"/>
      <c r="I183" s="451">
        <v>-2.8441000000000001</v>
      </c>
      <c r="J183" s="451">
        <v>-1.08</v>
      </c>
      <c r="K183" s="401">
        <f t="shared" si="3"/>
        <v>24.5655083929</v>
      </c>
      <c r="L183" s="753" t="s">
        <v>674</v>
      </c>
      <c r="M183" s="296" t="s">
        <v>74</v>
      </c>
      <c r="N183" s="296" t="s">
        <v>82</v>
      </c>
      <c r="O183" s="298" t="s">
        <v>44</v>
      </c>
      <c r="P183" s="314" t="s">
        <v>58</v>
      </c>
      <c r="Q183" s="430" t="s">
        <v>598</v>
      </c>
      <c r="R183" s="299" t="s">
        <v>81</v>
      </c>
      <c r="S183" s="300"/>
    </row>
    <row r="184" spans="1:19">
      <c r="A184" s="427" t="s">
        <v>60</v>
      </c>
      <c r="B184" s="199"/>
      <c r="C184" s="199"/>
      <c r="D184" s="199"/>
      <c r="E184" s="199"/>
      <c r="F184" s="448">
        <v>354.41</v>
      </c>
      <c r="H184" s="196"/>
      <c r="I184" s="451">
        <v>-2.8323999999999998</v>
      </c>
      <c r="J184" s="451">
        <v>-1.08</v>
      </c>
      <c r="K184" s="401">
        <f t="shared" si="3"/>
        <v>24.5075175184</v>
      </c>
      <c r="L184" s="753" t="s">
        <v>674</v>
      </c>
      <c r="M184" s="296" t="s">
        <v>74</v>
      </c>
      <c r="N184" s="296" t="s">
        <v>82</v>
      </c>
      <c r="O184" s="298" t="s">
        <v>44</v>
      </c>
      <c r="P184" s="314" t="s">
        <v>58</v>
      </c>
      <c r="Q184" s="430" t="s">
        <v>598</v>
      </c>
      <c r="R184" s="299" t="s">
        <v>81</v>
      </c>
      <c r="S184" s="300"/>
    </row>
    <row r="185" spans="1:19">
      <c r="A185" s="427" t="s">
        <v>60</v>
      </c>
      <c r="B185" s="199"/>
      <c r="C185" s="199"/>
      <c r="D185" s="199"/>
      <c r="E185" s="199"/>
      <c r="F185" s="448">
        <v>354.56</v>
      </c>
      <c r="H185" s="196"/>
      <c r="I185" s="451">
        <v>-2.93</v>
      </c>
      <c r="J185" s="451">
        <v>-1.08</v>
      </c>
      <c r="K185" s="401">
        <f t="shared" si="3"/>
        <v>24.992025000000002</v>
      </c>
      <c r="L185" s="753" t="s">
        <v>674</v>
      </c>
      <c r="M185" s="296" t="s">
        <v>74</v>
      </c>
      <c r="N185" s="296" t="s">
        <v>82</v>
      </c>
      <c r="O185" s="298" t="s">
        <v>44</v>
      </c>
      <c r="P185" s="314" t="s">
        <v>58</v>
      </c>
      <c r="Q185" s="430" t="s">
        <v>598</v>
      </c>
      <c r="R185" s="299" t="s">
        <v>81</v>
      </c>
      <c r="S185" s="300"/>
    </row>
    <row r="186" spans="1:19">
      <c r="A186" s="427" t="s">
        <v>60</v>
      </c>
      <c r="B186" s="199"/>
      <c r="C186" s="199"/>
      <c r="D186" s="199"/>
      <c r="E186" s="199"/>
      <c r="F186" s="448">
        <v>354.71</v>
      </c>
      <c r="H186" s="196"/>
      <c r="I186" s="451">
        <v>-2.8355000000000001</v>
      </c>
      <c r="J186" s="451">
        <v>-1.08</v>
      </c>
      <c r="K186" s="401">
        <f t="shared" si="3"/>
        <v>24.5228802225</v>
      </c>
      <c r="L186" s="753" t="s">
        <v>674</v>
      </c>
      <c r="M186" s="296" t="s">
        <v>74</v>
      </c>
      <c r="N186" s="296" t="s">
        <v>82</v>
      </c>
      <c r="O186" s="298" t="s">
        <v>44</v>
      </c>
      <c r="P186" s="314" t="s">
        <v>58</v>
      </c>
      <c r="Q186" s="430" t="s">
        <v>598</v>
      </c>
      <c r="R186" s="299" t="s">
        <v>81</v>
      </c>
      <c r="S186" s="300"/>
    </row>
    <row r="187" spans="1:19">
      <c r="A187" s="427" t="s">
        <v>60</v>
      </c>
      <c r="B187" s="199"/>
      <c r="C187" s="199"/>
      <c r="D187" s="199"/>
      <c r="E187" s="199"/>
      <c r="F187" s="448">
        <v>354.86</v>
      </c>
      <c r="H187" s="196"/>
      <c r="I187" s="451">
        <v>-2.8250999999999999</v>
      </c>
      <c r="J187" s="451">
        <v>-1.08</v>
      </c>
      <c r="K187" s="401">
        <f t="shared" si="3"/>
        <v>24.471347660900001</v>
      </c>
      <c r="L187" s="753" t="s">
        <v>674</v>
      </c>
      <c r="M187" s="296" t="s">
        <v>74</v>
      </c>
      <c r="N187" s="296" t="s">
        <v>82</v>
      </c>
      <c r="O187" s="298" t="s">
        <v>44</v>
      </c>
      <c r="P187" s="314" t="s">
        <v>58</v>
      </c>
      <c r="Q187" s="430" t="s">
        <v>598</v>
      </c>
      <c r="R187" s="299" t="s">
        <v>81</v>
      </c>
      <c r="S187" s="300"/>
    </row>
    <row r="188" spans="1:19">
      <c r="A188" s="427" t="s">
        <v>60</v>
      </c>
      <c r="B188" s="199"/>
      <c r="C188" s="199"/>
      <c r="D188" s="199"/>
      <c r="E188" s="199"/>
      <c r="F188" s="452">
        <v>354.99</v>
      </c>
      <c r="G188" s="156" t="s">
        <v>661</v>
      </c>
      <c r="H188" s="196"/>
      <c r="I188" s="451">
        <v>-3.2793000000000001</v>
      </c>
      <c r="J188" s="451">
        <v>-1.08</v>
      </c>
      <c r="K188" s="401">
        <f t="shared" si="3"/>
        <v>26.7400748441</v>
      </c>
      <c r="L188" s="753" t="s">
        <v>674</v>
      </c>
      <c r="M188" s="296" t="s">
        <v>74</v>
      </c>
      <c r="N188" s="296" t="s">
        <v>82</v>
      </c>
      <c r="O188" s="298" t="s">
        <v>44</v>
      </c>
      <c r="P188" s="314" t="s">
        <v>58</v>
      </c>
      <c r="Q188" s="430" t="s">
        <v>598</v>
      </c>
      <c r="R188" s="299" t="s">
        <v>81</v>
      </c>
      <c r="S188" s="300"/>
    </row>
    <row r="189" spans="1:19">
      <c r="A189" s="427" t="s">
        <v>60</v>
      </c>
      <c r="B189" s="199"/>
      <c r="C189" s="199"/>
      <c r="D189" s="199"/>
      <c r="E189" s="199"/>
      <c r="F189" s="452">
        <v>355.26</v>
      </c>
      <c r="G189" s="156" t="s">
        <v>661</v>
      </c>
      <c r="H189" s="196"/>
      <c r="I189" s="451">
        <v>-2.9018000000000002</v>
      </c>
      <c r="J189" s="451">
        <v>-1.08</v>
      </c>
      <c r="K189" s="401">
        <f t="shared" si="3"/>
        <v>24.851857971600001</v>
      </c>
      <c r="L189" s="753" t="s">
        <v>674</v>
      </c>
      <c r="M189" s="296" t="s">
        <v>74</v>
      </c>
      <c r="N189" s="296" t="s">
        <v>82</v>
      </c>
      <c r="O189" s="298" t="s">
        <v>44</v>
      </c>
      <c r="P189" s="314" t="s">
        <v>58</v>
      </c>
      <c r="Q189" s="430" t="s">
        <v>598</v>
      </c>
      <c r="R189" s="299" t="s">
        <v>81</v>
      </c>
      <c r="S189" s="300"/>
    </row>
    <row r="190" spans="1:19">
      <c r="A190" s="427" t="s">
        <v>60</v>
      </c>
      <c r="B190" s="199"/>
      <c r="C190" s="199"/>
      <c r="D190" s="199"/>
      <c r="E190" s="199"/>
      <c r="F190" s="452">
        <v>355.53</v>
      </c>
      <c r="G190" s="156" t="s">
        <v>661</v>
      </c>
      <c r="H190" s="196"/>
      <c r="I190" s="451">
        <v>-2.8791000000000002</v>
      </c>
      <c r="J190" s="451">
        <v>-1.08</v>
      </c>
      <c r="K190" s="401">
        <f t="shared" si="3"/>
        <v>24.7391324729</v>
      </c>
      <c r="L190" s="753" t="s">
        <v>674</v>
      </c>
      <c r="M190" s="296" t="s">
        <v>74</v>
      </c>
      <c r="N190" s="296" t="s">
        <v>82</v>
      </c>
      <c r="O190" s="298" t="s">
        <v>44</v>
      </c>
      <c r="P190" s="314" t="s">
        <v>58</v>
      </c>
      <c r="Q190" s="430" t="s">
        <v>598</v>
      </c>
      <c r="R190" s="299" t="s">
        <v>81</v>
      </c>
      <c r="S190" s="300"/>
    </row>
    <row r="191" spans="1:19">
      <c r="A191" s="427" t="s">
        <v>60</v>
      </c>
      <c r="B191" s="199"/>
      <c r="C191" s="199"/>
      <c r="D191" s="199"/>
      <c r="E191" s="199"/>
      <c r="F191" s="452">
        <v>355.63</v>
      </c>
      <c r="G191" s="156" t="s">
        <v>661</v>
      </c>
      <c r="H191" s="196"/>
      <c r="I191" s="451">
        <v>-2.7865000000000002</v>
      </c>
      <c r="J191" s="451">
        <v>-1.08</v>
      </c>
      <c r="K191" s="401">
        <f t="shared" si="3"/>
        <v>24.280252802500002</v>
      </c>
      <c r="L191" s="753" t="s">
        <v>674</v>
      </c>
      <c r="M191" s="296" t="s">
        <v>74</v>
      </c>
      <c r="N191" s="296" t="s">
        <v>82</v>
      </c>
      <c r="O191" s="298" t="s">
        <v>44</v>
      </c>
      <c r="P191" s="314" t="s">
        <v>58</v>
      </c>
      <c r="Q191" s="430" t="s">
        <v>598</v>
      </c>
      <c r="R191" s="299" t="s">
        <v>81</v>
      </c>
      <c r="S191" s="300"/>
    </row>
    <row r="192" spans="1:19">
      <c r="A192" s="427" t="s">
        <v>60</v>
      </c>
      <c r="B192" s="199"/>
      <c r="C192" s="199"/>
      <c r="D192" s="199"/>
      <c r="E192" s="199"/>
      <c r="F192" s="452">
        <v>355.72</v>
      </c>
      <c r="G192" s="156" t="s">
        <v>661</v>
      </c>
      <c r="H192" s="196"/>
      <c r="I192" s="451">
        <v>-3.2808999999999999</v>
      </c>
      <c r="J192" s="451">
        <v>-1.08</v>
      </c>
      <c r="K192" s="401">
        <f t="shared" si="3"/>
        <v>26.7481324729</v>
      </c>
      <c r="L192" s="753" t="s">
        <v>674</v>
      </c>
      <c r="M192" s="296" t="s">
        <v>74</v>
      </c>
      <c r="N192" s="296" t="s">
        <v>82</v>
      </c>
      <c r="O192" s="298" t="s">
        <v>44</v>
      </c>
      <c r="P192" s="314" t="s">
        <v>58</v>
      </c>
      <c r="Q192" s="430" t="s">
        <v>598</v>
      </c>
      <c r="R192" s="299" t="s">
        <v>81</v>
      </c>
      <c r="S192" s="300"/>
    </row>
    <row r="193" spans="1:19">
      <c r="A193" s="427" t="s">
        <v>60</v>
      </c>
      <c r="B193" s="199"/>
      <c r="C193" s="199"/>
      <c r="D193" s="199"/>
      <c r="E193" s="199"/>
      <c r="F193" s="452">
        <v>355.84</v>
      </c>
      <c r="G193" s="156" t="s">
        <v>661</v>
      </c>
      <c r="H193" s="196"/>
      <c r="I193" s="451">
        <v>-3.097</v>
      </c>
      <c r="J193" s="451">
        <v>-1.08</v>
      </c>
      <c r="K193" s="401">
        <f t="shared" si="3"/>
        <v>25.825026010000002</v>
      </c>
      <c r="L193" s="753" t="s">
        <v>674</v>
      </c>
      <c r="M193" s="296" t="s">
        <v>74</v>
      </c>
      <c r="N193" s="296" t="s">
        <v>82</v>
      </c>
      <c r="O193" s="298" t="s">
        <v>44</v>
      </c>
      <c r="P193" s="314" t="s">
        <v>58</v>
      </c>
      <c r="Q193" s="430" t="s">
        <v>598</v>
      </c>
      <c r="R193" s="299" t="s">
        <v>81</v>
      </c>
      <c r="S193" s="300"/>
    </row>
    <row r="194" spans="1:19">
      <c r="A194" s="427" t="s">
        <v>60</v>
      </c>
      <c r="B194" s="199"/>
      <c r="C194" s="199"/>
      <c r="D194" s="199"/>
      <c r="E194" s="199"/>
      <c r="F194" s="452">
        <v>355.93</v>
      </c>
      <c r="G194" s="156" t="s">
        <v>661</v>
      </c>
      <c r="H194" s="196"/>
      <c r="I194" s="451">
        <v>-1.5</v>
      </c>
      <c r="J194" s="451">
        <v>-1.08</v>
      </c>
      <c r="K194" s="401">
        <f t="shared" si="3"/>
        <v>18.064675999999999</v>
      </c>
      <c r="L194" s="753" t="s">
        <v>674</v>
      </c>
      <c r="M194" s="296" t="s">
        <v>74</v>
      </c>
      <c r="N194" s="296" t="s">
        <v>82</v>
      </c>
      <c r="O194" s="298" t="s">
        <v>44</v>
      </c>
      <c r="P194" s="314" t="s">
        <v>58</v>
      </c>
      <c r="Q194" s="430" t="s">
        <v>598</v>
      </c>
      <c r="R194" s="299" t="s">
        <v>81</v>
      </c>
      <c r="S194" s="300"/>
    </row>
    <row r="195" spans="1:19">
      <c r="A195" s="427" t="s">
        <v>60</v>
      </c>
      <c r="B195" s="199"/>
      <c r="C195" s="199"/>
      <c r="D195" s="199"/>
      <c r="E195" s="199"/>
      <c r="F195" s="452">
        <v>356.02</v>
      </c>
      <c r="G195" s="156" t="s">
        <v>661</v>
      </c>
      <c r="H195" s="196"/>
      <c r="I195" s="451">
        <v>-2.8795000000000002</v>
      </c>
      <c r="J195" s="451">
        <v>-1.08</v>
      </c>
      <c r="K195" s="401">
        <f t="shared" si="3"/>
        <v>24.7411180225</v>
      </c>
      <c r="L195" s="753" t="s">
        <v>674</v>
      </c>
      <c r="M195" s="296" t="s">
        <v>74</v>
      </c>
      <c r="N195" s="296" t="s">
        <v>82</v>
      </c>
      <c r="O195" s="298" t="s">
        <v>44</v>
      </c>
      <c r="P195" s="314" t="s">
        <v>58</v>
      </c>
      <c r="Q195" s="430" t="s">
        <v>598</v>
      </c>
      <c r="R195" s="299" t="s">
        <v>81</v>
      </c>
      <c r="S195" s="300"/>
    </row>
    <row r="196" spans="1:19">
      <c r="A196" s="427" t="s">
        <v>60</v>
      </c>
      <c r="B196" s="199"/>
      <c r="C196" s="199"/>
      <c r="D196" s="199"/>
      <c r="E196" s="199"/>
      <c r="F196" s="452">
        <v>356.11</v>
      </c>
      <c r="G196" s="156" t="s">
        <v>661</v>
      </c>
      <c r="H196" s="196"/>
      <c r="I196" s="451">
        <v>-2.8932000000000002</v>
      </c>
      <c r="J196" s="451">
        <v>-1.08</v>
      </c>
      <c r="K196" s="401">
        <f t="shared" si="3"/>
        <v>24.8091404816</v>
      </c>
      <c r="L196" s="753" t="s">
        <v>674</v>
      </c>
      <c r="M196" s="296" t="s">
        <v>74</v>
      </c>
      <c r="N196" s="296" t="s">
        <v>82</v>
      </c>
      <c r="O196" s="298" t="s">
        <v>44</v>
      </c>
      <c r="P196" s="314" t="s">
        <v>58</v>
      </c>
      <c r="Q196" s="430" t="s">
        <v>598</v>
      </c>
      <c r="R196" s="299" t="s">
        <v>81</v>
      </c>
      <c r="S196" s="300"/>
    </row>
    <row r="197" spans="1:19">
      <c r="A197" s="427" t="s">
        <v>60</v>
      </c>
      <c r="B197" s="199"/>
      <c r="C197" s="199"/>
      <c r="D197" s="199"/>
      <c r="E197" s="199"/>
      <c r="F197" s="452">
        <v>356.2</v>
      </c>
      <c r="G197" s="156" t="s">
        <v>661</v>
      </c>
      <c r="H197" s="196"/>
      <c r="I197" s="451">
        <v>-2.9687999999999999</v>
      </c>
      <c r="J197" s="451">
        <v>-1.08</v>
      </c>
      <c r="K197" s="401">
        <f t="shared" si="3"/>
        <v>25.185112889600003</v>
      </c>
      <c r="L197" s="753" t="s">
        <v>674</v>
      </c>
      <c r="M197" s="296" t="s">
        <v>74</v>
      </c>
      <c r="N197" s="296" t="s">
        <v>82</v>
      </c>
      <c r="O197" s="298" t="s">
        <v>44</v>
      </c>
      <c r="P197" s="314" t="s">
        <v>58</v>
      </c>
      <c r="Q197" s="430" t="s">
        <v>598</v>
      </c>
      <c r="R197" s="299" t="s">
        <v>81</v>
      </c>
      <c r="S197" s="300"/>
    </row>
    <row r="198" spans="1:19">
      <c r="A198" s="427" t="s">
        <v>60</v>
      </c>
      <c r="B198" s="199"/>
      <c r="C198" s="199"/>
      <c r="D198" s="199"/>
      <c r="E198" s="199"/>
      <c r="F198" s="452">
        <v>356.39</v>
      </c>
      <c r="G198" s="156" t="s">
        <v>661</v>
      </c>
      <c r="H198" s="196"/>
      <c r="I198" s="451">
        <v>-3.0912999999999999</v>
      </c>
      <c r="J198" s="451">
        <v>-1.08</v>
      </c>
      <c r="K198" s="401">
        <f t="shared" si="3"/>
        <v>25.796511492099999</v>
      </c>
      <c r="L198" s="753" t="s">
        <v>674</v>
      </c>
      <c r="M198" s="296" t="s">
        <v>74</v>
      </c>
      <c r="N198" s="296" t="s">
        <v>82</v>
      </c>
      <c r="O198" s="298" t="s">
        <v>44</v>
      </c>
      <c r="P198" s="314" t="s">
        <v>58</v>
      </c>
      <c r="Q198" s="430" t="s">
        <v>598</v>
      </c>
      <c r="R198" s="299" t="s">
        <v>81</v>
      </c>
      <c r="S198" s="300"/>
    </row>
    <row r="199" spans="1:19">
      <c r="A199" s="427" t="s">
        <v>60</v>
      </c>
      <c r="B199" s="199"/>
      <c r="C199" s="199"/>
      <c r="D199" s="199"/>
      <c r="E199" s="199"/>
      <c r="F199" s="452">
        <v>356.45</v>
      </c>
      <c r="G199" s="156" t="s">
        <v>661</v>
      </c>
      <c r="H199" s="196"/>
      <c r="I199" s="451">
        <v>-2.9422000000000001</v>
      </c>
      <c r="J199" s="451">
        <v>-1.08</v>
      </c>
      <c r="K199" s="401">
        <f t="shared" si="3"/>
        <v>25.052708995600003</v>
      </c>
      <c r="L199" s="753" t="s">
        <v>674</v>
      </c>
      <c r="M199" s="296" t="s">
        <v>74</v>
      </c>
      <c r="N199" s="296" t="s">
        <v>82</v>
      </c>
      <c r="O199" s="298" t="s">
        <v>44</v>
      </c>
      <c r="P199" s="314" t="s">
        <v>58</v>
      </c>
      <c r="Q199" s="430" t="s">
        <v>598</v>
      </c>
      <c r="R199" s="299" t="s">
        <v>81</v>
      </c>
      <c r="S199" s="300"/>
    </row>
    <row r="200" spans="1:19">
      <c r="A200" s="427" t="s">
        <v>60</v>
      </c>
      <c r="B200" s="199"/>
      <c r="C200" s="199"/>
      <c r="D200" s="199"/>
      <c r="E200" s="199"/>
      <c r="F200" s="452">
        <v>356.69</v>
      </c>
      <c r="G200" s="156" t="s">
        <v>661</v>
      </c>
      <c r="H200" s="196"/>
      <c r="I200" s="451">
        <v>-3.1873</v>
      </c>
      <c r="J200" s="451">
        <v>-1.08</v>
      </c>
      <c r="K200" s="401">
        <f t="shared" si="3"/>
        <v>26.277536196100002</v>
      </c>
      <c r="L200" s="753" t="s">
        <v>674</v>
      </c>
      <c r="M200" s="296" t="s">
        <v>74</v>
      </c>
      <c r="N200" s="296" t="s">
        <v>82</v>
      </c>
      <c r="O200" s="298" t="s">
        <v>44</v>
      </c>
      <c r="P200" s="314" t="s">
        <v>58</v>
      </c>
      <c r="Q200" s="430" t="s">
        <v>598</v>
      </c>
      <c r="R200" s="299" t="s">
        <v>81</v>
      </c>
      <c r="S200" s="300"/>
    </row>
    <row r="201" spans="1:19">
      <c r="A201" s="427" t="s">
        <v>60</v>
      </c>
      <c r="B201" s="199"/>
      <c r="C201" s="199"/>
      <c r="D201" s="199"/>
      <c r="E201" s="199"/>
      <c r="F201" s="452">
        <v>356.84</v>
      </c>
      <c r="G201" s="156" t="s">
        <v>661</v>
      </c>
      <c r="H201" s="196"/>
      <c r="I201" s="451">
        <v>-3.2879999999999998</v>
      </c>
      <c r="J201" s="451">
        <v>-1.08</v>
      </c>
      <c r="K201" s="401">
        <f t="shared" si="3"/>
        <v>26.783893760000002</v>
      </c>
      <c r="L201" s="753" t="s">
        <v>674</v>
      </c>
      <c r="M201" s="296" t="s">
        <v>74</v>
      </c>
      <c r="N201" s="296" t="s">
        <v>82</v>
      </c>
      <c r="O201" s="298" t="s">
        <v>44</v>
      </c>
      <c r="P201" s="314" t="s">
        <v>58</v>
      </c>
      <c r="Q201" s="430" t="s">
        <v>598</v>
      </c>
      <c r="R201" s="299" t="s">
        <v>81</v>
      </c>
      <c r="S201" s="300"/>
    </row>
    <row r="202" spans="1:19">
      <c r="A202" s="427" t="s">
        <v>60</v>
      </c>
      <c r="B202" s="199"/>
      <c r="C202" s="199"/>
      <c r="D202" s="199"/>
      <c r="E202" s="199"/>
      <c r="F202" s="452">
        <v>357.03</v>
      </c>
      <c r="G202" s="156" t="s">
        <v>663</v>
      </c>
      <c r="H202" s="196"/>
      <c r="I202" s="451">
        <v>-3.5156999999999998</v>
      </c>
      <c r="J202" s="451">
        <v>-1.08</v>
      </c>
      <c r="K202" s="401">
        <f t="shared" si="3"/>
        <v>27.935585104100003</v>
      </c>
      <c r="L202" s="753" t="s">
        <v>674</v>
      </c>
      <c r="M202" s="296" t="s">
        <v>74</v>
      </c>
      <c r="N202" s="296" t="s">
        <v>82</v>
      </c>
      <c r="O202" s="298" t="s">
        <v>44</v>
      </c>
      <c r="P202" s="314" t="s">
        <v>58</v>
      </c>
      <c r="Q202" s="430" t="s">
        <v>598</v>
      </c>
      <c r="R202" s="299" t="s">
        <v>81</v>
      </c>
      <c r="S202" s="300"/>
    </row>
    <row r="203" spans="1:19">
      <c r="A203" s="427" t="s">
        <v>60</v>
      </c>
      <c r="B203" s="199"/>
      <c r="C203" s="199"/>
      <c r="D203" s="199"/>
      <c r="E203" s="199"/>
      <c r="F203" s="448">
        <v>357.12</v>
      </c>
      <c r="H203" s="196"/>
      <c r="I203" s="451">
        <v>-2.8675999999999999</v>
      </c>
      <c r="J203" s="451">
        <v>-1.08</v>
      </c>
      <c r="K203" s="401">
        <f t="shared" si="3"/>
        <v>24.682060238399998</v>
      </c>
      <c r="L203" s="753" t="s">
        <v>674</v>
      </c>
      <c r="M203" s="296" t="s">
        <v>74</v>
      </c>
      <c r="N203" s="296" t="s">
        <v>82</v>
      </c>
      <c r="O203" s="298" t="s">
        <v>44</v>
      </c>
      <c r="P203" s="314" t="s">
        <v>58</v>
      </c>
      <c r="Q203" s="430" t="s">
        <v>598</v>
      </c>
      <c r="R203" s="299" t="s">
        <v>81</v>
      </c>
      <c r="S203" s="300"/>
    </row>
    <row r="204" spans="1:19">
      <c r="A204" s="427" t="s">
        <v>60</v>
      </c>
      <c r="B204" s="199"/>
      <c r="C204" s="199"/>
      <c r="D204" s="199"/>
      <c r="E204" s="199"/>
      <c r="F204" s="448">
        <v>357.21</v>
      </c>
      <c r="H204" s="196"/>
      <c r="I204" s="451">
        <v>-3.1737000000000002</v>
      </c>
      <c r="J204" s="451">
        <v>-1.08</v>
      </c>
      <c r="K204" s="401">
        <f t="shared" si="3"/>
        <v>26.209290172100001</v>
      </c>
      <c r="L204" s="753" t="s">
        <v>674</v>
      </c>
      <c r="M204" s="296" t="s">
        <v>74</v>
      </c>
      <c r="N204" s="296" t="s">
        <v>82</v>
      </c>
      <c r="O204" s="298" t="s">
        <v>44</v>
      </c>
      <c r="P204" s="314" t="s">
        <v>58</v>
      </c>
      <c r="Q204" s="430" t="s">
        <v>598</v>
      </c>
      <c r="R204" s="299" t="s">
        <v>81</v>
      </c>
      <c r="S204" s="300"/>
    </row>
    <row r="205" spans="1:19">
      <c r="A205" s="427" t="s">
        <v>60</v>
      </c>
      <c r="B205" s="199"/>
      <c r="C205" s="199"/>
      <c r="D205" s="199"/>
      <c r="E205" s="199"/>
      <c r="F205" s="448">
        <v>357.39</v>
      </c>
      <c r="H205" s="196"/>
      <c r="I205" s="451">
        <v>-1.6108</v>
      </c>
      <c r="J205" s="451">
        <v>-1.08</v>
      </c>
      <c r="K205" s="401">
        <f t="shared" si="3"/>
        <v>18.5882693776</v>
      </c>
      <c r="L205" s="753" t="s">
        <v>674</v>
      </c>
      <c r="M205" s="296" t="s">
        <v>74</v>
      </c>
      <c r="N205" s="296" t="s">
        <v>82</v>
      </c>
      <c r="O205" s="298" t="s">
        <v>44</v>
      </c>
      <c r="P205" s="314" t="s">
        <v>58</v>
      </c>
      <c r="Q205" s="430" t="s">
        <v>598</v>
      </c>
      <c r="R205" s="299" t="s">
        <v>81</v>
      </c>
      <c r="S205" s="300"/>
    </row>
    <row r="206" spans="1:19">
      <c r="A206" s="427" t="s">
        <v>60</v>
      </c>
      <c r="B206" s="199"/>
      <c r="C206" s="199"/>
      <c r="D206" s="199"/>
      <c r="E206" s="199"/>
      <c r="F206" s="448">
        <v>357.49</v>
      </c>
      <c r="H206" s="196"/>
      <c r="I206" s="451">
        <v>-2.3614999999999999</v>
      </c>
      <c r="J206" s="451">
        <v>-1.08</v>
      </c>
      <c r="K206" s="401">
        <f t="shared" si="3"/>
        <v>22.193961802499999</v>
      </c>
      <c r="L206" s="753" t="s">
        <v>674</v>
      </c>
      <c r="M206" s="296" t="s">
        <v>74</v>
      </c>
      <c r="N206" s="296" t="s">
        <v>82</v>
      </c>
      <c r="O206" s="298" t="s">
        <v>44</v>
      </c>
      <c r="P206" s="314" t="s">
        <v>58</v>
      </c>
      <c r="Q206" s="430" t="s">
        <v>598</v>
      </c>
      <c r="R206" s="299" t="s">
        <v>81</v>
      </c>
      <c r="S206" s="300"/>
    </row>
    <row r="207" spans="1:19">
      <c r="A207" s="427" t="s">
        <v>60</v>
      </c>
      <c r="B207" s="199"/>
      <c r="C207" s="199"/>
      <c r="D207" s="199"/>
      <c r="E207" s="199"/>
      <c r="F207" s="452">
        <v>357.58</v>
      </c>
      <c r="G207" s="144" t="s">
        <v>196</v>
      </c>
      <c r="H207" s="196"/>
      <c r="I207" s="451">
        <v>-1.861</v>
      </c>
      <c r="J207" s="451">
        <v>-1.08</v>
      </c>
      <c r="K207" s="401">
        <f t="shared" si="3"/>
        <v>19.778736490000004</v>
      </c>
      <c r="L207" s="753" t="s">
        <v>674</v>
      </c>
      <c r="M207" s="296" t="s">
        <v>74</v>
      </c>
      <c r="N207" s="296" t="s">
        <v>82</v>
      </c>
      <c r="O207" s="298" t="s">
        <v>44</v>
      </c>
      <c r="P207" s="314" t="s">
        <v>58</v>
      </c>
      <c r="Q207" s="430" t="s">
        <v>598</v>
      </c>
      <c r="R207" s="299" t="s">
        <v>81</v>
      </c>
      <c r="S207" s="300"/>
    </row>
    <row r="208" spans="1:19">
      <c r="A208" s="427" t="s">
        <v>60</v>
      </c>
      <c r="B208" s="199"/>
      <c r="C208" s="199"/>
      <c r="D208" s="199"/>
      <c r="E208" s="199"/>
      <c r="F208" s="452">
        <v>357.67</v>
      </c>
      <c r="G208" s="144" t="s">
        <v>196</v>
      </c>
      <c r="H208" s="196"/>
      <c r="I208" s="451">
        <v>-2.2275</v>
      </c>
      <c r="J208" s="451">
        <v>-1.08</v>
      </c>
      <c r="K208" s="401">
        <f t="shared" si="3"/>
        <v>21.5429080625</v>
      </c>
      <c r="L208" s="753" t="s">
        <v>674</v>
      </c>
      <c r="M208" s="296" t="s">
        <v>74</v>
      </c>
      <c r="N208" s="296" t="s">
        <v>82</v>
      </c>
      <c r="O208" s="298" t="s">
        <v>44</v>
      </c>
      <c r="P208" s="314" t="s">
        <v>58</v>
      </c>
      <c r="Q208" s="430" t="s">
        <v>598</v>
      </c>
      <c r="R208" s="299" t="s">
        <v>81</v>
      </c>
      <c r="S208" s="300"/>
    </row>
    <row r="209" spans="1:19">
      <c r="A209" s="427" t="s">
        <v>60</v>
      </c>
      <c r="B209" s="199"/>
      <c r="C209" s="199"/>
      <c r="D209" s="199"/>
      <c r="E209" s="199"/>
      <c r="F209" s="452">
        <v>357.76</v>
      </c>
      <c r="G209" s="144" t="s">
        <v>196</v>
      </c>
      <c r="H209" s="196"/>
      <c r="I209" s="451">
        <v>-1.5105</v>
      </c>
      <c r="J209" s="451">
        <v>-1.08</v>
      </c>
      <c r="K209" s="401">
        <f t="shared" si="3"/>
        <v>18.1141997225</v>
      </c>
      <c r="L209" s="753" t="s">
        <v>674</v>
      </c>
      <c r="M209" s="296" t="s">
        <v>74</v>
      </c>
      <c r="N209" s="296" t="s">
        <v>82</v>
      </c>
      <c r="O209" s="298" t="s">
        <v>44</v>
      </c>
      <c r="P209" s="314" t="s">
        <v>58</v>
      </c>
      <c r="Q209" s="430" t="s">
        <v>598</v>
      </c>
      <c r="R209" s="299" t="s">
        <v>81</v>
      </c>
      <c r="S209" s="300"/>
    </row>
    <row r="210" spans="1:19">
      <c r="A210" s="427" t="s">
        <v>60</v>
      </c>
      <c r="B210" s="199"/>
      <c r="C210" s="199"/>
      <c r="D210" s="199"/>
      <c r="E210" s="199"/>
      <c r="F210" s="452">
        <v>357.85</v>
      </c>
      <c r="G210" s="144" t="s">
        <v>196</v>
      </c>
      <c r="H210" s="196"/>
      <c r="I210" s="451">
        <v>-2.3397000000000001</v>
      </c>
      <c r="J210" s="451">
        <v>-1.08</v>
      </c>
      <c r="K210" s="401">
        <f t="shared" si="3"/>
        <v>22.0878239681</v>
      </c>
      <c r="L210" s="753" t="s">
        <v>674</v>
      </c>
      <c r="M210" s="296" t="s">
        <v>74</v>
      </c>
      <c r="N210" s="296" t="s">
        <v>82</v>
      </c>
      <c r="O210" s="298" t="s">
        <v>44</v>
      </c>
      <c r="P210" s="314" t="s">
        <v>58</v>
      </c>
      <c r="Q210" s="430" t="s">
        <v>598</v>
      </c>
      <c r="R210" s="299" t="s">
        <v>81</v>
      </c>
      <c r="S210" s="300"/>
    </row>
    <row r="211" spans="1:19">
      <c r="A211" s="427" t="s">
        <v>60</v>
      </c>
      <c r="B211" s="199"/>
      <c r="C211" s="199"/>
      <c r="D211" s="199"/>
      <c r="E211" s="199"/>
      <c r="F211" s="452">
        <v>357.91</v>
      </c>
      <c r="G211" s="144" t="s">
        <v>196</v>
      </c>
      <c r="H211" s="196"/>
      <c r="I211" s="451">
        <v>-2.7277</v>
      </c>
      <c r="J211" s="451">
        <v>-1.08</v>
      </c>
      <c r="K211" s="401">
        <f t="shared" si="3"/>
        <v>23.989670376100001</v>
      </c>
      <c r="L211" s="753" t="s">
        <v>674</v>
      </c>
      <c r="M211" s="296" t="s">
        <v>74</v>
      </c>
      <c r="N211" s="296" t="s">
        <v>82</v>
      </c>
      <c r="O211" s="298" t="s">
        <v>44</v>
      </c>
      <c r="P211" s="314" t="s">
        <v>58</v>
      </c>
      <c r="Q211" s="430" t="s">
        <v>598</v>
      </c>
      <c r="R211" s="299" t="s">
        <v>81</v>
      </c>
      <c r="S211" s="300"/>
    </row>
    <row r="212" spans="1:19">
      <c r="A212" s="427" t="s">
        <v>60</v>
      </c>
      <c r="B212" s="199"/>
      <c r="C212" s="199"/>
      <c r="D212" s="199"/>
      <c r="E212" s="199"/>
      <c r="F212" s="452">
        <v>358.03</v>
      </c>
      <c r="G212" s="144" t="s">
        <v>196</v>
      </c>
      <c r="H212" s="196"/>
      <c r="I212" s="451">
        <v>-1.9877</v>
      </c>
      <c r="J212" s="451">
        <v>-1.08</v>
      </c>
      <c r="K212" s="401">
        <f t="shared" si="3"/>
        <v>20.385880736100003</v>
      </c>
      <c r="L212" s="753" t="s">
        <v>674</v>
      </c>
      <c r="M212" s="296" t="s">
        <v>74</v>
      </c>
      <c r="N212" s="296" t="s">
        <v>82</v>
      </c>
      <c r="O212" s="298" t="s">
        <v>44</v>
      </c>
      <c r="P212" s="314" t="s">
        <v>58</v>
      </c>
      <c r="Q212" s="430" t="s">
        <v>598</v>
      </c>
      <c r="R212" s="299" t="s">
        <v>81</v>
      </c>
      <c r="S212" s="300"/>
    </row>
    <row r="213" spans="1:19">
      <c r="A213" s="431" t="s">
        <v>60</v>
      </c>
      <c r="B213" s="432"/>
      <c r="C213" s="432"/>
      <c r="D213" s="432"/>
      <c r="E213" s="432"/>
      <c r="F213" s="453">
        <v>358.12</v>
      </c>
      <c r="G213" s="221" t="s">
        <v>196</v>
      </c>
      <c r="H213" s="226"/>
      <c r="I213" s="454">
        <v>-2.4456000000000002</v>
      </c>
      <c r="J213" s="454">
        <v>-1.08</v>
      </c>
      <c r="K213" s="786">
        <f t="shared" si="3"/>
        <v>22.604221702400004</v>
      </c>
      <c r="L213" s="754" t="s">
        <v>674</v>
      </c>
      <c r="M213" s="386" t="s">
        <v>74</v>
      </c>
      <c r="N213" s="386" t="s">
        <v>82</v>
      </c>
      <c r="O213" s="390" t="s">
        <v>44</v>
      </c>
      <c r="P213" s="388" t="s">
        <v>58</v>
      </c>
      <c r="Q213" s="436" t="s">
        <v>598</v>
      </c>
      <c r="R213" s="299" t="s">
        <v>81</v>
      </c>
      <c r="S213" s="300"/>
    </row>
    <row r="214" spans="1:19">
      <c r="A214" s="427" t="s">
        <v>60</v>
      </c>
      <c r="B214" s="199"/>
      <c r="C214" s="199"/>
      <c r="D214" s="199"/>
      <c r="E214" s="199"/>
      <c r="F214" s="156">
        <v>349.01</v>
      </c>
      <c r="H214" s="196"/>
      <c r="I214" s="457">
        <v>-3.12</v>
      </c>
      <c r="J214" s="451">
        <v>-1.08</v>
      </c>
      <c r="K214" s="401">
        <f t="shared" ref="K214:K221" si="4">16.1-4.64*($I214-J214)+0.09*($I214-J214)^2</f>
        <v>25.940144000000004</v>
      </c>
      <c r="L214" s="438" t="s">
        <v>673</v>
      </c>
      <c r="M214" s="296" t="s">
        <v>74</v>
      </c>
      <c r="N214" s="296" t="s">
        <v>405</v>
      </c>
      <c r="O214" s="298" t="s">
        <v>35</v>
      </c>
      <c r="P214" s="314" t="s">
        <v>58</v>
      </c>
      <c r="Q214" s="430" t="s">
        <v>406</v>
      </c>
      <c r="R214" s="299" t="s">
        <v>404</v>
      </c>
      <c r="S214" s="300"/>
    </row>
    <row r="215" spans="1:19">
      <c r="A215" s="427" t="s">
        <v>60</v>
      </c>
      <c r="B215" s="199"/>
      <c r="C215" s="199"/>
      <c r="D215" s="199"/>
      <c r="E215" s="199"/>
      <c r="F215" s="156">
        <v>349.62</v>
      </c>
      <c r="H215" s="196"/>
      <c r="I215" s="449">
        <v>-3.2</v>
      </c>
      <c r="J215" s="451">
        <v>-1.08</v>
      </c>
      <c r="K215" s="401">
        <f t="shared" si="4"/>
        <v>26.341296000000003</v>
      </c>
      <c r="L215" s="438" t="s">
        <v>673</v>
      </c>
      <c r="M215" s="296" t="s">
        <v>74</v>
      </c>
      <c r="N215" s="296" t="s">
        <v>405</v>
      </c>
      <c r="O215" s="298" t="s">
        <v>35</v>
      </c>
      <c r="P215" s="314" t="s">
        <v>58</v>
      </c>
      <c r="Q215" s="430" t="s">
        <v>406</v>
      </c>
      <c r="R215" s="299" t="s">
        <v>404</v>
      </c>
      <c r="S215" s="300"/>
    </row>
    <row r="216" spans="1:19">
      <c r="A216" s="427" t="s">
        <v>60</v>
      </c>
      <c r="B216" s="199"/>
      <c r="C216" s="199"/>
      <c r="D216" s="199"/>
      <c r="E216" s="199"/>
      <c r="F216" s="156">
        <v>350.02</v>
      </c>
      <c r="H216" s="196"/>
      <c r="I216" s="457">
        <v>-3.89</v>
      </c>
      <c r="J216" s="451">
        <v>-1.08</v>
      </c>
      <c r="K216" s="401">
        <f t="shared" si="4"/>
        <v>29.849049000000001</v>
      </c>
      <c r="L216" s="438" t="s">
        <v>673</v>
      </c>
      <c r="M216" s="296" t="s">
        <v>74</v>
      </c>
      <c r="N216" s="296" t="s">
        <v>405</v>
      </c>
      <c r="O216" s="298" t="s">
        <v>35</v>
      </c>
      <c r="P216" s="314" t="s">
        <v>58</v>
      </c>
      <c r="Q216" s="430" t="s">
        <v>406</v>
      </c>
      <c r="R216" s="299" t="s">
        <v>404</v>
      </c>
      <c r="S216" s="300"/>
    </row>
    <row r="217" spans="1:19">
      <c r="A217" s="427" t="s">
        <v>60</v>
      </c>
      <c r="B217" s="199"/>
      <c r="C217" s="199"/>
      <c r="D217" s="199"/>
      <c r="E217" s="199"/>
      <c r="F217" s="156">
        <v>352.67</v>
      </c>
      <c r="H217" s="196"/>
      <c r="I217" s="457">
        <v>-3.42</v>
      </c>
      <c r="J217" s="451">
        <v>-1.08</v>
      </c>
      <c r="K217" s="401">
        <f t="shared" si="4"/>
        <v>27.450403999999999</v>
      </c>
      <c r="L217" s="438" t="s">
        <v>673</v>
      </c>
      <c r="M217" s="296" t="s">
        <v>74</v>
      </c>
      <c r="N217" s="296" t="s">
        <v>405</v>
      </c>
      <c r="O217" s="298" t="s">
        <v>35</v>
      </c>
      <c r="P217" s="314" t="s">
        <v>58</v>
      </c>
      <c r="Q217" s="430" t="s">
        <v>406</v>
      </c>
      <c r="R217" s="299" t="s">
        <v>404</v>
      </c>
      <c r="S217" s="300"/>
    </row>
    <row r="218" spans="1:19">
      <c r="A218" s="427" t="s">
        <v>60</v>
      </c>
      <c r="B218" s="199"/>
      <c r="C218" s="199"/>
      <c r="D218" s="199"/>
      <c r="E218" s="199"/>
      <c r="F218" s="156">
        <v>352.97</v>
      </c>
      <c r="H218" s="196"/>
      <c r="I218" s="457">
        <v>-3.62</v>
      </c>
      <c r="J218" s="451">
        <v>-1.08</v>
      </c>
      <c r="K218" s="401">
        <f t="shared" si="4"/>
        <v>28.466244</v>
      </c>
      <c r="L218" s="438" t="s">
        <v>673</v>
      </c>
      <c r="M218" s="296" t="s">
        <v>74</v>
      </c>
      <c r="N218" s="296" t="s">
        <v>405</v>
      </c>
      <c r="O218" s="298" t="s">
        <v>35</v>
      </c>
      <c r="P218" s="314" t="s">
        <v>58</v>
      </c>
      <c r="Q218" s="430" t="s">
        <v>406</v>
      </c>
      <c r="R218" s="299" t="s">
        <v>404</v>
      </c>
      <c r="S218" s="300"/>
    </row>
    <row r="219" spans="1:19">
      <c r="A219" s="427" t="s">
        <v>60</v>
      </c>
      <c r="B219" s="199"/>
      <c r="C219" s="199"/>
      <c r="D219" s="199"/>
      <c r="E219" s="199"/>
      <c r="F219" s="156">
        <v>353.89</v>
      </c>
      <c r="H219" s="196"/>
      <c r="I219" s="457">
        <v>-3.27</v>
      </c>
      <c r="J219" s="451">
        <v>-1.08</v>
      </c>
      <c r="K219" s="401">
        <f t="shared" si="4"/>
        <v>26.693249000000002</v>
      </c>
      <c r="L219" s="438" t="s">
        <v>673</v>
      </c>
      <c r="M219" s="296" t="s">
        <v>74</v>
      </c>
      <c r="N219" s="296" t="s">
        <v>405</v>
      </c>
      <c r="O219" s="298" t="s">
        <v>35</v>
      </c>
      <c r="P219" s="314" t="s">
        <v>58</v>
      </c>
      <c r="Q219" s="430" t="s">
        <v>406</v>
      </c>
      <c r="R219" s="299" t="s">
        <v>404</v>
      </c>
      <c r="S219" s="300"/>
    </row>
    <row r="220" spans="1:19">
      <c r="A220" s="427" t="s">
        <v>60</v>
      </c>
      <c r="B220" s="199"/>
      <c r="C220" s="199"/>
      <c r="D220" s="199"/>
      <c r="E220" s="199"/>
      <c r="F220" s="156">
        <v>354.5</v>
      </c>
      <c r="H220" s="196"/>
      <c r="I220" s="457">
        <v>-3.78</v>
      </c>
      <c r="J220" s="451">
        <v>-1.08</v>
      </c>
      <c r="K220" s="401">
        <f t="shared" si="4"/>
        <v>29.284099999999999</v>
      </c>
      <c r="L220" s="438" t="s">
        <v>673</v>
      </c>
      <c r="M220" s="296" t="s">
        <v>74</v>
      </c>
      <c r="N220" s="296" t="s">
        <v>405</v>
      </c>
      <c r="O220" s="298" t="s">
        <v>35</v>
      </c>
      <c r="P220" s="314" t="s">
        <v>58</v>
      </c>
      <c r="Q220" s="430" t="s">
        <v>406</v>
      </c>
      <c r="R220" s="299" t="s">
        <v>404</v>
      </c>
      <c r="S220" s="300"/>
    </row>
    <row r="221" spans="1:19">
      <c r="A221" s="431" t="s">
        <v>60</v>
      </c>
      <c r="B221" s="432"/>
      <c r="C221" s="432"/>
      <c r="D221" s="432"/>
      <c r="E221" s="432"/>
      <c r="F221" s="226">
        <v>355.11</v>
      </c>
      <c r="G221" s="226" t="s">
        <v>661</v>
      </c>
      <c r="H221" s="226"/>
      <c r="I221" s="458">
        <v>-3.15</v>
      </c>
      <c r="J221" s="454">
        <v>-1.08</v>
      </c>
      <c r="K221" s="404">
        <f t="shared" si="4"/>
        <v>26.090440999999998</v>
      </c>
      <c r="L221" s="439" t="s">
        <v>673</v>
      </c>
      <c r="M221" s="386" t="s">
        <v>74</v>
      </c>
      <c r="N221" s="386" t="s">
        <v>405</v>
      </c>
      <c r="O221" s="390" t="s">
        <v>35</v>
      </c>
      <c r="P221" s="388" t="s">
        <v>58</v>
      </c>
      <c r="Q221" s="436" t="s">
        <v>406</v>
      </c>
      <c r="R221" s="299" t="s">
        <v>404</v>
      </c>
      <c r="S221" s="300"/>
    </row>
    <row r="222" spans="1:19">
      <c r="A222" s="167" t="s">
        <v>60</v>
      </c>
      <c r="B222" s="199"/>
      <c r="C222" s="199"/>
      <c r="D222" s="199"/>
      <c r="E222" s="199"/>
      <c r="F222" s="60">
        <v>350.26</v>
      </c>
      <c r="H222" s="196"/>
      <c r="I222" s="457">
        <v>-2.87</v>
      </c>
      <c r="J222" s="451">
        <v>-1.08</v>
      </c>
      <c r="K222" s="401">
        <f t="shared" ref="K222:K231" si="5">16.1-4.64*($I222-J222)+0.09*($I222-J222)^2</f>
        <v>24.693968999999999</v>
      </c>
      <c r="L222" s="438" t="s">
        <v>33</v>
      </c>
      <c r="M222" s="296" t="s">
        <v>74</v>
      </c>
      <c r="N222" s="296" t="s">
        <v>405</v>
      </c>
      <c r="O222" s="298" t="s">
        <v>35</v>
      </c>
      <c r="P222" s="314" t="s">
        <v>58</v>
      </c>
      <c r="Q222" s="430" t="s">
        <v>406</v>
      </c>
      <c r="R222" s="299" t="s">
        <v>404</v>
      </c>
      <c r="S222" s="300"/>
    </row>
    <row r="223" spans="1:19">
      <c r="A223" s="167" t="s">
        <v>60</v>
      </c>
      <c r="B223" s="199"/>
      <c r="C223" s="199"/>
      <c r="D223" s="199"/>
      <c r="E223" s="199"/>
      <c r="F223" s="60">
        <v>353.89</v>
      </c>
      <c r="H223" s="196"/>
      <c r="I223" s="457">
        <v>-3.16</v>
      </c>
      <c r="J223" s="451">
        <v>-1.08</v>
      </c>
      <c r="K223" s="401">
        <f t="shared" si="5"/>
        <v>26.140575999999999</v>
      </c>
      <c r="L223" s="438" t="s">
        <v>33</v>
      </c>
      <c r="M223" s="296" t="s">
        <v>74</v>
      </c>
      <c r="N223" s="296" t="s">
        <v>405</v>
      </c>
      <c r="O223" s="298" t="s">
        <v>35</v>
      </c>
      <c r="P223" s="314" t="s">
        <v>58</v>
      </c>
      <c r="Q223" s="430" t="s">
        <v>406</v>
      </c>
      <c r="R223" s="299" t="s">
        <v>404</v>
      </c>
      <c r="S223" s="300"/>
    </row>
    <row r="224" spans="1:19">
      <c r="A224" s="167" t="s">
        <v>60</v>
      </c>
      <c r="B224" s="199"/>
      <c r="C224" s="199"/>
      <c r="D224" s="199"/>
      <c r="E224" s="199"/>
      <c r="F224" s="60">
        <v>355.11</v>
      </c>
      <c r="G224" s="156" t="s">
        <v>661</v>
      </c>
      <c r="H224" s="196"/>
      <c r="I224" s="457">
        <v>-3.14</v>
      </c>
      <c r="J224" s="451">
        <v>-1.08</v>
      </c>
      <c r="K224" s="402">
        <f t="shared" si="5"/>
        <v>26.040324000000002</v>
      </c>
      <c r="L224" s="438" t="s">
        <v>33</v>
      </c>
      <c r="M224" s="296" t="s">
        <v>74</v>
      </c>
      <c r="N224" s="296" t="s">
        <v>405</v>
      </c>
      <c r="O224" s="298" t="s">
        <v>35</v>
      </c>
      <c r="P224" s="314" t="s">
        <v>58</v>
      </c>
      <c r="Q224" s="430" t="s">
        <v>406</v>
      </c>
      <c r="R224" s="299" t="s">
        <v>404</v>
      </c>
      <c r="S224" s="300"/>
    </row>
    <row r="225" spans="1:19">
      <c r="A225" s="167" t="s">
        <v>60</v>
      </c>
      <c r="B225" s="199"/>
      <c r="C225" s="199"/>
      <c r="D225" s="199"/>
      <c r="E225" s="199"/>
      <c r="F225" s="60">
        <v>355.72</v>
      </c>
      <c r="G225" s="156" t="s">
        <v>661</v>
      </c>
      <c r="H225" s="196"/>
      <c r="I225" s="457">
        <v>-2.93</v>
      </c>
      <c r="J225" s="451">
        <v>-1.08</v>
      </c>
      <c r="K225" s="402">
        <f t="shared" si="5"/>
        <v>24.992025000000002</v>
      </c>
      <c r="L225" s="438" t="s">
        <v>33</v>
      </c>
      <c r="M225" s="296" t="s">
        <v>74</v>
      </c>
      <c r="N225" s="296" t="s">
        <v>405</v>
      </c>
      <c r="O225" s="298" t="s">
        <v>35</v>
      </c>
      <c r="P225" s="314" t="s">
        <v>58</v>
      </c>
      <c r="Q225" s="430" t="s">
        <v>406</v>
      </c>
      <c r="R225" s="299" t="s">
        <v>404</v>
      </c>
      <c r="S225" s="300"/>
    </row>
    <row r="226" spans="1:19">
      <c r="A226" s="167" t="s">
        <v>60</v>
      </c>
      <c r="B226" s="199"/>
      <c r="C226" s="199"/>
      <c r="D226" s="199"/>
      <c r="E226" s="199"/>
      <c r="F226" s="60">
        <v>356.2</v>
      </c>
      <c r="G226" s="156" t="s">
        <v>661</v>
      </c>
      <c r="H226" s="196"/>
      <c r="I226" s="457">
        <v>-3.03</v>
      </c>
      <c r="J226" s="451">
        <v>-1.08</v>
      </c>
      <c r="K226" s="402">
        <f t="shared" si="5"/>
        <v>25.490224999999999</v>
      </c>
      <c r="L226" s="438" t="s">
        <v>33</v>
      </c>
      <c r="M226" s="296" t="s">
        <v>74</v>
      </c>
      <c r="N226" s="296" t="s">
        <v>405</v>
      </c>
      <c r="O226" s="298" t="s">
        <v>35</v>
      </c>
      <c r="P226" s="314" t="s">
        <v>58</v>
      </c>
      <c r="Q226" s="430" t="s">
        <v>406</v>
      </c>
      <c r="R226" s="299" t="s">
        <v>404</v>
      </c>
      <c r="S226" s="300"/>
    </row>
    <row r="227" spans="1:19">
      <c r="A227" s="167" t="s">
        <v>60</v>
      </c>
      <c r="B227" s="199"/>
      <c r="C227" s="199"/>
      <c r="D227" s="199"/>
      <c r="E227" s="199"/>
      <c r="F227" s="60">
        <v>356.36</v>
      </c>
      <c r="G227" s="156" t="s">
        <v>661</v>
      </c>
      <c r="H227" s="196"/>
      <c r="I227" s="457">
        <v>-3.08</v>
      </c>
      <c r="J227" s="451">
        <v>-1.08</v>
      </c>
      <c r="K227" s="402">
        <f t="shared" si="5"/>
        <v>25.740000000000002</v>
      </c>
      <c r="L227" s="438" t="s">
        <v>33</v>
      </c>
      <c r="M227" s="296" t="s">
        <v>74</v>
      </c>
      <c r="N227" s="296" t="s">
        <v>405</v>
      </c>
      <c r="O227" s="298" t="s">
        <v>35</v>
      </c>
      <c r="P227" s="314" t="s">
        <v>58</v>
      </c>
      <c r="Q227" s="430" t="s">
        <v>406</v>
      </c>
      <c r="R227" s="299" t="s">
        <v>404</v>
      </c>
      <c r="S227" s="300"/>
    </row>
    <row r="228" spans="1:19">
      <c r="A228" s="167" t="s">
        <v>60</v>
      </c>
      <c r="B228" s="199"/>
      <c r="C228" s="199"/>
      <c r="D228" s="199"/>
      <c r="E228" s="199"/>
      <c r="F228" s="60">
        <v>357.09</v>
      </c>
      <c r="G228" s="156" t="s">
        <v>663</v>
      </c>
      <c r="H228" s="196"/>
      <c r="I228" s="457">
        <v>-3.42</v>
      </c>
      <c r="J228" s="451">
        <v>-1.08</v>
      </c>
      <c r="K228" s="401">
        <f t="shared" si="5"/>
        <v>27.450403999999999</v>
      </c>
      <c r="L228" s="438" t="s">
        <v>33</v>
      </c>
      <c r="M228" s="296" t="s">
        <v>74</v>
      </c>
      <c r="N228" s="296" t="s">
        <v>405</v>
      </c>
      <c r="O228" s="298" t="s">
        <v>35</v>
      </c>
      <c r="P228" s="314" t="s">
        <v>58</v>
      </c>
      <c r="Q228" s="430" t="s">
        <v>406</v>
      </c>
      <c r="R228" s="299" t="s">
        <v>404</v>
      </c>
      <c r="S228" s="300"/>
    </row>
    <row r="229" spans="1:19">
      <c r="A229" s="167" t="s">
        <v>60</v>
      </c>
      <c r="B229" s="199"/>
      <c r="C229" s="199"/>
      <c r="D229" s="199"/>
      <c r="E229" s="199"/>
      <c r="F229" s="60">
        <v>358.55</v>
      </c>
      <c r="G229" s="156" t="s">
        <v>19</v>
      </c>
      <c r="H229" s="196"/>
      <c r="I229" s="449">
        <v>-2.5</v>
      </c>
      <c r="J229" s="451">
        <v>-1.08</v>
      </c>
      <c r="K229" s="401">
        <f t="shared" si="5"/>
        <v>22.870276</v>
      </c>
      <c r="L229" s="438" t="s">
        <v>33</v>
      </c>
      <c r="M229" s="296" t="s">
        <v>74</v>
      </c>
      <c r="N229" s="296" t="s">
        <v>405</v>
      </c>
      <c r="O229" s="298" t="s">
        <v>35</v>
      </c>
      <c r="P229" s="314" t="s">
        <v>58</v>
      </c>
      <c r="Q229" s="430" t="s">
        <v>406</v>
      </c>
      <c r="R229" s="299" t="s">
        <v>404</v>
      </c>
      <c r="S229" s="300"/>
    </row>
    <row r="230" spans="1:19">
      <c r="A230" s="167" t="s">
        <v>60</v>
      </c>
      <c r="B230" s="199"/>
      <c r="C230" s="199"/>
      <c r="D230" s="199"/>
      <c r="E230" s="199"/>
      <c r="F230" s="60">
        <v>358.76</v>
      </c>
      <c r="G230" s="156" t="s">
        <v>196</v>
      </c>
      <c r="H230" s="196"/>
      <c r="I230" s="457">
        <v>-2.93</v>
      </c>
      <c r="J230" s="451">
        <v>-1.08</v>
      </c>
      <c r="K230" s="787">
        <f t="shared" si="5"/>
        <v>24.992025000000002</v>
      </c>
      <c r="L230" s="438" t="s">
        <v>33</v>
      </c>
      <c r="M230" s="296" t="s">
        <v>74</v>
      </c>
      <c r="N230" s="296" t="s">
        <v>405</v>
      </c>
      <c r="O230" s="298" t="s">
        <v>35</v>
      </c>
      <c r="P230" s="314" t="s">
        <v>58</v>
      </c>
      <c r="Q230" s="430" t="s">
        <v>406</v>
      </c>
      <c r="R230" s="299" t="s">
        <v>404</v>
      </c>
      <c r="S230" s="300"/>
    </row>
    <row r="231" spans="1:19">
      <c r="A231" s="177" t="s">
        <v>60</v>
      </c>
      <c r="B231" s="432"/>
      <c r="C231" s="432"/>
      <c r="D231" s="432"/>
      <c r="E231" s="432"/>
      <c r="F231" s="179">
        <v>360.56</v>
      </c>
      <c r="G231" s="226" t="s">
        <v>196</v>
      </c>
      <c r="H231" s="226"/>
      <c r="I231" s="458">
        <v>-2.54</v>
      </c>
      <c r="J231" s="454">
        <v>-1.08</v>
      </c>
      <c r="K231" s="786">
        <f t="shared" si="5"/>
        <v>23.066244000000001</v>
      </c>
      <c r="L231" s="439" t="s">
        <v>33</v>
      </c>
      <c r="M231" s="386" t="s">
        <v>74</v>
      </c>
      <c r="N231" s="386" t="s">
        <v>405</v>
      </c>
      <c r="O231" s="390" t="s">
        <v>35</v>
      </c>
      <c r="P231" s="388" t="s">
        <v>58</v>
      </c>
      <c r="Q231" s="436" t="s">
        <v>406</v>
      </c>
      <c r="R231" s="299" t="s">
        <v>404</v>
      </c>
      <c r="S231" s="300"/>
    </row>
    <row r="232" spans="1:19">
      <c r="A232" s="427" t="s">
        <v>60</v>
      </c>
      <c r="B232" s="199"/>
      <c r="C232" s="199"/>
      <c r="D232" s="199"/>
      <c r="E232" s="199"/>
      <c r="F232" s="60">
        <v>349.01</v>
      </c>
      <c r="H232" s="196"/>
      <c r="I232" s="449">
        <v>-2.38</v>
      </c>
      <c r="J232" s="451">
        <v>-1.08</v>
      </c>
      <c r="K232" s="401">
        <f t="shared" ref="K232:K251" si="6">16.1-4.64*($I232-J232)+0.09*($I232-J232)^2</f>
        <v>22.284100000000002</v>
      </c>
      <c r="L232" s="753" t="s">
        <v>674</v>
      </c>
      <c r="M232" s="296" t="s">
        <v>74</v>
      </c>
      <c r="N232" s="296" t="s">
        <v>405</v>
      </c>
      <c r="O232" s="298" t="s">
        <v>44</v>
      </c>
      <c r="P232" s="314" t="s">
        <v>58</v>
      </c>
      <c r="Q232" s="430" t="s">
        <v>406</v>
      </c>
      <c r="R232" s="315" t="s">
        <v>404</v>
      </c>
      <c r="S232" s="300"/>
    </row>
    <row r="233" spans="1:19">
      <c r="A233" s="427" t="s">
        <v>60</v>
      </c>
      <c r="B233" s="199"/>
      <c r="C233" s="199"/>
      <c r="D233" s="199"/>
      <c r="E233" s="199"/>
      <c r="F233" s="60">
        <v>349.62</v>
      </c>
      <c r="H233" s="196"/>
      <c r="I233" s="449">
        <v>-2.42</v>
      </c>
      <c r="J233" s="451">
        <v>-1.08</v>
      </c>
      <c r="K233" s="401">
        <f t="shared" si="6"/>
        <v>22.479203999999999</v>
      </c>
      <c r="L233" s="753" t="s">
        <v>674</v>
      </c>
      <c r="M233" s="296" t="s">
        <v>74</v>
      </c>
      <c r="N233" s="296" t="s">
        <v>405</v>
      </c>
      <c r="O233" s="298" t="s">
        <v>44</v>
      </c>
      <c r="P233" s="314" t="s">
        <v>58</v>
      </c>
      <c r="Q233" s="430" t="s">
        <v>406</v>
      </c>
      <c r="R233" s="315" t="s">
        <v>404</v>
      </c>
      <c r="S233" s="300"/>
    </row>
    <row r="234" spans="1:19">
      <c r="A234" s="427" t="s">
        <v>60</v>
      </c>
      <c r="B234" s="199"/>
      <c r="C234" s="199"/>
      <c r="D234" s="199"/>
      <c r="E234" s="199"/>
      <c r="F234" s="60">
        <v>350.02</v>
      </c>
      <c r="H234" s="196"/>
      <c r="I234" s="449">
        <v>-2.61</v>
      </c>
      <c r="J234" s="451">
        <v>-1.08</v>
      </c>
      <c r="K234" s="401">
        <f t="shared" si="6"/>
        <v>23.409881000000002</v>
      </c>
      <c r="L234" s="753" t="s">
        <v>674</v>
      </c>
      <c r="M234" s="296" t="s">
        <v>74</v>
      </c>
      <c r="N234" s="296" t="s">
        <v>405</v>
      </c>
      <c r="O234" s="298" t="s">
        <v>44</v>
      </c>
      <c r="P234" s="314" t="s">
        <v>58</v>
      </c>
      <c r="Q234" s="430" t="s">
        <v>406</v>
      </c>
      <c r="R234" s="315" t="s">
        <v>404</v>
      </c>
      <c r="S234" s="300"/>
    </row>
    <row r="235" spans="1:19">
      <c r="A235" s="427" t="s">
        <v>60</v>
      </c>
      <c r="B235" s="199"/>
      <c r="C235" s="199"/>
      <c r="D235" s="199"/>
      <c r="E235" s="199"/>
      <c r="F235" s="60">
        <v>350.26</v>
      </c>
      <c r="H235" s="196"/>
      <c r="I235" s="449">
        <v>-2.42</v>
      </c>
      <c r="J235" s="451">
        <v>-1.08</v>
      </c>
      <c r="K235" s="401">
        <f t="shared" si="6"/>
        <v>22.479203999999999</v>
      </c>
      <c r="L235" s="753" t="s">
        <v>674</v>
      </c>
      <c r="M235" s="296" t="s">
        <v>74</v>
      </c>
      <c r="N235" s="296" t="s">
        <v>405</v>
      </c>
      <c r="O235" s="298" t="s">
        <v>44</v>
      </c>
      <c r="P235" s="314" t="s">
        <v>58</v>
      </c>
      <c r="Q235" s="430" t="s">
        <v>406</v>
      </c>
      <c r="R235" s="315" t="s">
        <v>404</v>
      </c>
      <c r="S235" s="300"/>
    </row>
    <row r="236" spans="1:19">
      <c r="A236" s="427" t="s">
        <v>60</v>
      </c>
      <c r="B236" s="199"/>
      <c r="C236" s="199"/>
      <c r="D236" s="199"/>
      <c r="E236" s="199"/>
      <c r="F236" s="60">
        <v>351.14</v>
      </c>
      <c r="H236" s="196"/>
      <c r="I236" s="449">
        <v>-2.67</v>
      </c>
      <c r="J236" s="451">
        <v>-1.08</v>
      </c>
      <c r="K236" s="401">
        <f t="shared" si="6"/>
        <v>23.705129000000003</v>
      </c>
      <c r="L236" s="753" t="s">
        <v>674</v>
      </c>
      <c r="M236" s="296" t="s">
        <v>74</v>
      </c>
      <c r="N236" s="296" t="s">
        <v>405</v>
      </c>
      <c r="O236" s="298" t="s">
        <v>44</v>
      </c>
      <c r="P236" s="314" t="s">
        <v>58</v>
      </c>
      <c r="Q236" s="430" t="s">
        <v>406</v>
      </c>
      <c r="R236" s="315" t="s">
        <v>404</v>
      </c>
      <c r="S236" s="300"/>
    </row>
    <row r="237" spans="1:19">
      <c r="A237" s="427" t="s">
        <v>60</v>
      </c>
      <c r="B237" s="199"/>
      <c r="C237" s="199"/>
      <c r="D237" s="199"/>
      <c r="E237" s="199"/>
      <c r="F237" s="60">
        <v>351.75</v>
      </c>
      <c r="H237" s="196"/>
      <c r="I237" s="449">
        <v>-2.88</v>
      </c>
      <c r="J237" s="451">
        <v>-1.08</v>
      </c>
      <c r="K237" s="401">
        <f t="shared" si="6"/>
        <v>24.743599999999997</v>
      </c>
      <c r="L237" s="753" t="s">
        <v>674</v>
      </c>
      <c r="M237" s="296" t="s">
        <v>74</v>
      </c>
      <c r="N237" s="296" t="s">
        <v>405</v>
      </c>
      <c r="O237" s="298" t="s">
        <v>44</v>
      </c>
      <c r="P237" s="314" t="s">
        <v>58</v>
      </c>
      <c r="Q237" s="430" t="s">
        <v>406</v>
      </c>
      <c r="R237" s="315" t="s">
        <v>404</v>
      </c>
      <c r="S237" s="300"/>
    </row>
    <row r="238" spans="1:19">
      <c r="A238" s="427" t="s">
        <v>60</v>
      </c>
      <c r="B238" s="199"/>
      <c r="C238" s="199"/>
      <c r="D238" s="199"/>
      <c r="E238" s="199"/>
      <c r="F238" s="60">
        <v>352.67</v>
      </c>
      <c r="H238" s="196"/>
      <c r="I238" s="449">
        <v>-2.65</v>
      </c>
      <c r="J238" s="451">
        <v>-1.08</v>
      </c>
      <c r="K238" s="401">
        <f t="shared" si="6"/>
        <v>23.606641</v>
      </c>
      <c r="L238" s="753" t="s">
        <v>674</v>
      </c>
      <c r="M238" s="296" t="s">
        <v>74</v>
      </c>
      <c r="N238" s="296" t="s">
        <v>405</v>
      </c>
      <c r="O238" s="298" t="s">
        <v>44</v>
      </c>
      <c r="P238" s="314" t="s">
        <v>58</v>
      </c>
      <c r="Q238" s="430" t="s">
        <v>406</v>
      </c>
      <c r="R238" s="315" t="s">
        <v>404</v>
      </c>
      <c r="S238" s="300"/>
    </row>
    <row r="239" spans="1:19">
      <c r="A239" s="427" t="s">
        <v>60</v>
      </c>
      <c r="B239" s="199"/>
      <c r="C239" s="199"/>
      <c r="D239" s="199"/>
      <c r="E239" s="199"/>
      <c r="F239" s="60">
        <v>352.97</v>
      </c>
      <c r="H239" s="196"/>
      <c r="I239" s="449">
        <v>-2.91</v>
      </c>
      <c r="J239" s="451">
        <v>-1.08</v>
      </c>
      <c r="K239" s="401">
        <f t="shared" si="6"/>
        <v>24.892600999999999</v>
      </c>
      <c r="L239" s="753" t="s">
        <v>674</v>
      </c>
      <c r="M239" s="296" t="s">
        <v>74</v>
      </c>
      <c r="N239" s="296" t="s">
        <v>405</v>
      </c>
      <c r="O239" s="298" t="s">
        <v>44</v>
      </c>
      <c r="P239" s="314" t="s">
        <v>58</v>
      </c>
      <c r="Q239" s="430" t="s">
        <v>406</v>
      </c>
      <c r="R239" s="315" t="s">
        <v>404</v>
      </c>
      <c r="S239" s="300"/>
    </row>
    <row r="240" spans="1:19">
      <c r="A240" s="427" t="s">
        <v>60</v>
      </c>
      <c r="B240" s="199"/>
      <c r="C240" s="199"/>
      <c r="D240" s="199"/>
      <c r="E240" s="199"/>
      <c r="F240" s="60">
        <v>353.28</v>
      </c>
      <c r="H240" s="196"/>
      <c r="I240" s="449">
        <v>-2.79</v>
      </c>
      <c r="J240" s="451">
        <v>-1.08</v>
      </c>
      <c r="K240" s="401">
        <f t="shared" si="6"/>
        <v>24.297569000000003</v>
      </c>
      <c r="L240" s="753" t="s">
        <v>674</v>
      </c>
      <c r="M240" s="296" t="s">
        <v>74</v>
      </c>
      <c r="N240" s="296" t="s">
        <v>405</v>
      </c>
      <c r="O240" s="298" t="s">
        <v>44</v>
      </c>
      <c r="P240" s="314" t="s">
        <v>58</v>
      </c>
      <c r="Q240" s="430" t="s">
        <v>406</v>
      </c>
      <c r="R240" s="315" t="s">
        <v>404</v>
      </c>
      <c r="S240" s="300"/>
    </row>
    <row r="241" spans="1:19">
      <c r="A241" s="427" t="s">
        <v>60</v>
      </c>
      <c r="B241" s="199"/>
      <c r="C241" s="199"/>
      <c r="D241" s="199"/>
      <c r="E241" s="199"/>
      <c r="F241" s="60">
        <v>354.5</v>
      </c>
      <c r="H241" s="196"/>
      <c r="I241" s="449">
        <v>-2.86</v>
      </c>
      <c r="J241" s="451">
        <v>-1.08</v>
      </c>
      <c r="K241" s="401">
        <f t="shared" si="6"/>
        <v>24.644356000000002</v>
      </c>
      <c r="L241" s="753" t="s">
        <v>674</v>
      </c>
      <c r="M241" s="296" t="s">
        <v>74</v>
      </c>
      <c r="N241" s="296" t="s">
        <v>405</v>
      </c>
      <c r="O241" s="298" t="s">
        <v>44</v>
      </c>
      <c r="P241" s="314" t="s">
        <v>58</v>
      </c>
      <c r="Q241" s="430" t="s">
        <v>406</v>
      </c>
      <c r="R241" s="315" t="s">
        <v>404</v>
      </c>
      <c r="S241" s="300"/>
    </row>
    <row r="242" spans="1:19">
      <c r="A242" s="427" t="s">
        <v>60</v>
      </c>
      <c r="B242" s="199"/>
      <c r="C242" s="199"/>
      <c r="D242" s="199"/>
      <c r="E242" s="199"/>
      <c r="F242" s="60">
        <v>355.11</v>
      </c>
      <c r="G242" s="156" t="s">
        <v>20</v>
      </c>
      <c r="H242" s="196"/>
      <c r="I242" s="449">
        <v>-2.72</v>
      </c>
      <c r="J242" s="451">
        <v>-1.08</v>
      </c>
      <c r="K242" s="401">
        <f t="shared" si="6"/>
        <v>23.951664000000001</v>
      </c>
      <c r="L242" s="753" t="s">
        <v>674</v>
      </c>
      <c r="M242" s="296" t="s">
        <v>74</v>
      </c>
      <c r="N242" s="296" t="s">
        <v>405</v>
      </c>
      <c r="O242" s="298" t="s">
        <v>44</v>
      </c>
      <c r="P242" s="314" t="s">
        <v>58</v>
      </c>
      <c r="Q242" s="430" t="s">
        <v>406</v>
      </c>
      <c r="R242" s="315" t="s">
        <v>404</v>
      </c>
      <c r="S242" s="300"/>
    </row>
    <row r="243" spans="1:19">
      <c r="A243" s="427" t="s">
        <v>60</v>
      </c>
      <c r="B243" s="199"/>
      <c r="C243" s="199"/>
      <c r="D243" s="199"/>
      <c r="E243" s="199"/>
      <c r="F243" s="60">
        <v>355.11</v>
      </c>
      <c r="G243" s="156" t="s">
        <v>20</v>
      </c>
      <c r="H243" s="196"/>
      <c r="I243" s="449">
        <v>-3.18</v>
      </c>
      <c r="J243" s="451">
        <v>-1.08</v>
      </c>
      <c r="K243" s="401">
        <f t="shared" si="6"/>
        <v>26.2409</v>
      </c>
      <c r="L243" s="753" t="s">
        <v>674</v>
      </c>
      <c r="M243" s="296" t="s">
        <v>74</v>
      </c>
      <c r="N243" s="296" t="s">
        <v>405</v>
      </c>
      <c r="O243" s="298" t="s">
        <v>44</v>
      </c>
      <c r="P243" s="314" t="s">
        <v>58</v>
      </c>
      <c r="Q243" s="430" t="s">
        <v>406</v>
      </c>
      <c r="R243" s="315" t="s">
        <v>404</v>
      </c>
      <c r="S243" s="300"/>
    </row>
    <row r="244" spans="1:19">
      <c r="A244" s="427" t="s">
        <v>60</v>
      </c>
      <c r="B244" s="199"/>
      <c r="C244" s="199"/>
      <c r="D244" s="199"/>
      <c r="E244" s="199"/>
      <c r="F244" s="60">
        <v>355.72</v>
      </c>
      <c r="G244" s="156" t="s">
        <v>20</v>
      </c>
      <c r="H244" s="196"/>
      <c r="I244" s="449">
        <v>-3.45</v>
      </c>
      <c r="J244" s="451">
        <v>-1.08</v>
      </c>
      <c r="K244" s="401">
        <f t="shared" si="6"/>
        <v>27.602321000000003</v>
      </c>
      <c r="L244" s="753" t="s">
        <v>674</v>
      </c>
      <c r="M244" s="296" t="s">
        <v>74</v>
      </c>
      <c r="N244" s="296" t="s">
        <v>405</v>
      </c>
      <c r="O244" s="298" t="s">
        <v>44</v>
      </c>
      <c r="P244" s="314" t="s">
        <v>58</v>
      </c>
      <c r="Q244" s="430" t="s">
        <v>406</v>
      </c>
      <c r="R244" s="315" t="s">
        <v>404</v>
      </c>
      <c r="S244" s="300"/>
    </row>
    <row r="245" spans="1:19">
      <c r="A245" s="427" t="s">
        <v>60</v>
      </c>
      <c r="B245" s="199"/>
      <c r="C245" s="199"/>
      <c r="D245" s="199"/>
      <c r="E245" s="199"/>
      <c r="F245" s="60">
        <v>356.2</v>
      </c>
      <c r="G245" s="156" t="s">
        <v>20</v>
      </c>
      <c r="H245" s="196"/>
      <c r="I245" s="449">
        <v>-3.41</v>
      </c>
      <c r="J245" s="451">
        <v>-1.08</v>
      </c>
      <c r="K245" s="401">
        <f t="shared" si="6"/>
        <v>27.399801</v>
      </c>
      <c r="L245" s="753" t="s">
        <v>674</v>
      </c>
      <c r="M245" s="296" t="s">
        <v>74</v>
      </c>
      <c r="N245" s="296" t="s">
        <v>405</v>
      </c>
      <c r="O245" s="298" t="s">
        <v>44</v>
      </c>
      <c r="P245" s="314" t="s">
        <v>58</v>
      </c>
      <c r="Q245" s="430" t="s">
        <v>406</v>
      </c>
      <c r="R245" s="315" t="s">
        <v>404</v>
      </c>
      <c r="S245" s="300"/>
    </row>
    <row r="246" spans="1:19">
      <c r="A246" s="427" t="s">
        <v>60</v>
      </c>
      <c r="B246" s="199"/>
      <c r="C246" s="199"/>
      <c r="D246" s="199"/>
      <c r="E246" s="199"/>
      <c r="F246" s="60">
        <v>356.36</v>
      </c>
      <c r="G246" s="156" t="s">
        <v>20</v>
      </c>
      <c r="H246" s="196"/>
      <c r="I246" s="449">
        <v>-3.51</v>
      </c>
      <c r="J246" s="451">
        <v>-1.08</v>
      </c>
      <c r="K246" s="401">
        <f t="shared" si="6"/>
        <v>27.906641</v>
      </c>
      <c r="L246" s="753" t="s">
        <v>674</v>
      </c>
      <c r="M246" s="296" t="s">
        <v>74</v>
      </c>
      <c r="N246" s="296" t="s">
        <v>405</v>
      </c>
      <c r="O246" s="298" t="s">
        <v>44</v>
      </c>
      <c r="P246" s="314" t="s">
        <v>58</v>
      </c>
      <c r="Q246" s="430" t="s">
        <v>406</v>
      </c>
      <c r="R246" s="315" t="s">
        <v>404</v>
      </c>
      <c r="S246" s="300"/>
    </row>
    <row r="247" spans="1:19">
      <c r="A247" s="427" t="s">
        <v>60</v>
      </c>
      <c r="B247" s="199"/>
      <c r="C247" s="199"/>
      <c r="D247" s="199"/>
      <c r="E247" s="199"/>
      <c r="F247" s="60">
        <v>357.82</v>
      </c>
      <c r="G247" s="156" t="s">
        <v>196</v>
      </c>
      <c r="H247" s="196"/>
      <c r="I247" s="449">
        <v>-1.6</v>
      </c>
      <c r="J247" s="451">
        <v>-1.08</v>
      </c>
      <c r="K247" s="401">
        <f t="shared" si="6"/>
        <v>18.537136000000004</v>
      </c>
      <c r="L247" s="753" t="s">
        <v>674</v>
      </c>
      <c r="M247" s="296" t="s">
        <v>74</v>
      </c>
      <c r="N247" s="296" t="s">
        <v>405</v>
      </c>
      <c r="O247" s="298" t="s">
        <v>44</v>
      </c>
      <c r="P247" s="314" t="s">
        <v>58</v>
      </c>
      <c r="Q247" s="430" t="s">
        <v>406</v>
      </c>
      <c r="R247" s="315" t="s">
        <v>404</v>
      </c>
      <c r="S247" s="300"/>
    </row>
    <row r="248" spans="1:19">
      <c r="A248" s="427" t="s">
        <v>60</v>
      </c>
      <c r="B248" s="199"/>
      <c r="C248" s="199"/>
      <c r="D248" s="199"/>
      <c r="E248" s="199"/>
      <c r="F248" s="60">
        <v>358.55</v>
      </c>
      <c r="G248" s="156" t="s">
        <v>196</v>
      </c>
      <c r="H248" s="196"/>
      <c r="I248" s="449">
        <v>-1.74</v>
      </c>
      <c r="J248" s="451">
        <v>-1.08</v>
      </c>
      <c r="K248" s="401">
        <f t="shared" si="6"/>
        <v>19.201604000000003</v>
      </c>
      <c r="L248" s="753" t="s">
        <v>674</v>
      </c>
      <c r="M248" s="296" t="s">
        <v>74</v>
      </c>
      <c r="N248" s="296" t="s">
        <v>405</v>
      </c>
      <c r="O248" s="298" t="s">
        <v>44</v>
      </c>
      <c r="P248" s="314" t="s">
        <v>58</v>
      </c>
      <c r="Q248" s="430" t="s">
        <v>406</v>
      </c>
      <c r="R248" s="315" t="s">
        <v>404</v>
      </c>
      <c r="S248" s="300"/>
    </row>
    <row r="249" spans="1:19">
      <c r="A249" s="427" t="s">
        <v>60</v>
      </c>
      <c r="B249" s="199"/>
      <c r="C249" s="199"/>
      <c r="D249" s="199"/>
      <c r="E249" s="199"/>
      <c r="F249" s="60">
        <v>358.76</v>
      </c>
      <c r="G249" s="156" t="s">
        <v>196</v>
      </c>
      <c r="H249" s="196"/>
      <c r="I249" s="449">
        <v>-2.08</v>
      </c>
      <c r="J249" s="451">
        <v>-1.08</v>
      </c>
      <c r="K249" s="401">
        <f t="shared" si="6"/>
        <v>20.830000000000002</v>
      </c>
      <c r="L249" s="753" t="s">
        <v>674</v>
      </c>
      <c r="M249" s="296" t="s">
        <v>74</v>
      </c>
      <c r="N249" s="296" t="s">
        <v>405</v>
      </c>
      <c r="O249" s="298" t="s">
        <v>44</v>
      </c>
      <c r="P249" s="314" t="s">
        <v>58</v>
      </c>
      <c r="Q249" s="430" t="s">
        <v>406</v>
      </c>
      <c r="R249" s="315" t="s">
        <v>404</v>
      </c>
      <c r="S249" s="300"/>
    </row>
    <row r="250" spans="1:19">
      <c r="A250" s="427" t="s">
        <v>60</v>
      </c>
      <c r="B250" s="199"/>
      <c r="C250" s="199"/>
      <c r="D250" s="199"/>
      <c r="E250" s="199"/>
      <c r="F250" s="60">
        <v>360.53</v>
      </c>
      <c r="G250" s="156" t="s">
        <v>196</v>
      </c>
      <c r="H250" s="196"/>
      <c r="I250" s="449">
        <v>-1.45</v>
      </c>
      <c r="J250" s="451">
        <v>-1.08</v>
      </c>
      <c r="K250" s="401">
        <f t="shared" si="6"/>
        <v>17.829121000000001</v>
      </c>
      <c r="L250" s="753" t="s">
        <v>674</v>
      </c>
      <c r="M250" s="296" t="s">
        <v>74</v>
      </c>
      <c r="N250" s="296" t="s">
        <v>405</v>
      </c>
      <c r="O250" s="298" t="s">
        <v>44</v>
      </c>
      <c r="P250" s="314" t="s">
        <v>58</v>
      </c>
      <c r="Q250" s="430" t="s">
        <v>406</v>
      </c>
      <c r="R250" s="315" t="s">
        <v>404</v>
      </c>
      <c r="S250" s="300"/>
    </row>
    <row r="251" spans="1:19">
      <c r="A251" s="427" t="s">
        <v>60</v>
      </c>
      <c r="B251" s="199"/>
      <c r="C251" s="199"/>
      <c r="D251" s="199"/>
      <c r="E251" s="199"/>
      <c r="F251" s="60">
        <v>360.59</v>
      </c>
      <c r="G251" s="156" t="s">
        <v>196</v>
      </c>
      <c r="H251" s="196"/>
      <c r="I251" s="449">
        <v>-2</v>
      </c>
      <c r="J251" s="451">
        <v>-1.08</v>
      </c>
      <c r="K251" s="401">
        <f t="shared" si="6"/>
        <v>20.444976</v>
      </c>
      <c r="L251" s="753" t="s">
        <v>674</v>
      </c>
      <c r="M251" s="296" t="s">
        <v>74</v>
      </c>
      <c r="N251" s="296" t="s">
        <v>405</v>
      </c>
      <c r="O251" s="298" t="s">
        <v>44</v>
      </c>
      <c r="P251" s="314" t="s">
        <v>58</v>
      </c>
      <c r="Q251" s="430" t="s">
        <v>406</v>
      </c>
      <c r="R251" s="315" t="s">
        <v>404</v>
      </c>
      <c r="S251" s="300"/>
    </row>
    <row r="252" spans="1:19">
      <c r="A252" s="427" t="s">
        <v>60</v>
      </c>
      <c r="B252" s="199"/>
      <c r="C252" s="199"/>
      <c r="D252" s="199"/>
      <c r="E252" s="396">
        <v>11702</v>
      </c>
      <c r="F252" s="396">
        <v>356.69</v>
      </c>
      <c r="G252" s="156" t="s">
        <v>20</v>
      </c>
      <c r="H252" s="196"/>
      <c r="I252" s="449">
        <v>-2.3902268298518266</v>
      </c>
      <c r="J252" s="451">
        <v>-1.08</v>
      </c>
      <c r="K252" s="401">
        <f t="shared" ref="K252:K315" si="7">16.1-4.64*($I252-J252)+0.09*($I252-J252)^2</f>
        <v>22.333954981622195</v>
      </c>
      <c r="L252" s="753" t="s">
        <v>674</v>
      </c>
      <c r="M252" s="296" t="s">
        <v>85</v>
      </c>
      <c r="N252" s="459" t="s">
        <v>275</v>
      </c>
      <c r="O252" s="298" t="s">
        <v>44</v>
      </c>
      <c r="P252" s="314" t="s">
        <v>58</v>
      </c>
      <c r="Q252" s="430" t="s">
        <v>598</v>
      </c>
      <c r="R252" s="299" t="s">
        <v>81</v>
      </c>
      <c r="S252" s="300" t="s">
        <v>599</v>
      </c>
    </row>
    <row r="253" spans="1:19">
      <c r="A253" s="427" t="s">
        <v>60</v>
      </c>
      <c r="B253" s="199"/>
      <c r="C253" s="199"/>
      <c r="D253" s="199"/>
      <c r="E253" s="396">
        <v>11702</v>
      </c>
      <c r="F253" s="396">
        <v>356.69</v>
      </c>
      <c r="G253" s="156" t="s">
        <v>20</v>
      </c>
      <c r="H253" s="196"/>
      <c r="I253" s="449">
        <v>-2.6154914615425002</v>
      </c>
      <c r="J253" s="451">
        <v>-1.08</v>
      </c>
      <c r="K253" s="401">
        <f t="shared" si="7"/>
        <v>23.436876444119495</v>
      </c>
      <c r="L253" s="753" t="s">
        <v>674</v>
      </c>
      <c r="M253" s="296" t="s">
        <v>85</v>
      </c>
      <c r="N253" s="459" t="s">
        <v>275</v>
      </c>
      <c r="O253" s="298" t="s">
        <v>44</v>
      </c>
      <c r="P253" s="314" t="s">
        <v>58</v>
      </c>
      <c r="Q253" s="430" t="s">
        <v>598</v>
      </c>
      <c r="R253" s="299" t="s">
        <v>81</v>
      </c>
      <c r="S253" s="300" t="s">
        <v>599</v>
      </c>
    </row>
    <row r="254" spans="1:19">
      <c r="A254" s="427" t="s">
        <v>60</v>
      </c>
      <c r="B254" s="199"/>
      <c r="C254" s="199"/>
      <c r="D254" s="199"/>
      <c r="E254" s="396">
        <v>11702</v>
      </c>
      <c r="F254" s="396">
        <v>356.69</v>
      </c>
      <c r="G254" s="156" t="s">
        <v>20</v>
      </c>
      <c r="H254" s="196"/>
      <c r="I254" s="449">
        <v>-3.1297577225725002</v>
      </c>
      <c r="J254" s="451">
        <v>-1.08</v>
      </c>
      <c r="K254" s="401">
        <f t="shared" si="7"/>
        <v>25.989011437648504</v>
      </c>
      <c r="L254" s="753" t="s">
        <v>674</v>
      </c>
      <c r="M254" s="296" t="s">
        <v>85</v>
      </c>
      <c r="N254" s="459" t="s">
        <v>275</v>
      </c>
      <c r="O254" s="298" t="s">
        <v>44</v>
      </c>
      <c r="P254" s="314" t="s">
        <v>58</v>
      </c>
      <c r="Q254" s="430" t="s">
        <v>598</v>
      </c>
      <c r="R254" s="299" t="s">
        <v>81</v>
      </c>
      <c r="S254" s="300" t="s">
        <v>599</v>
      </c>
    </row>
    <row r="255" spans="1:19">
      <c r="A255" s="427" t="s">
        <v>60</v>
      </c>
      <c r="B255" s="199"/>
      <c r="C255" s="199"/>
      <c r="D255" s="199"/>
      <c r="E255" s="396">
        <v>11702</v>
      </c>
      <c r="F255" s="396">
        <v>356.69</v>
      </c>
      <c r="G255" s="156" t="s">
        <v>20</v>
      </c>
      <c r="H255" s="196"/>
      <c r="I255" s="449">
        <v>-2.2893663633624999</v>
      </c>
      <c r="J255" s="451">
        <v>-1.08</v>
      </c>
      <c r="K255" s="401">
        <f t="shared" si="7"/>
        <v>21.843090956076939</v>
      </c>
      <c r="L255" s="753" t="s">
        <v>674</v>
      </c>
      <c r="M255" s="296" t="s">
        <v>85</v>
      </c>
      <c r="N255" s="459" t="s">
        <v>275</v>
      </c>
      <c r="O255" s="298" t="s">
        <v>44</v>
      </c>
      <c r="P255" s="314" t="s">
        <v>58</v>
      </c>
      <c r="Q255" s="430" t="s">
        <v>598</v>
      </c>
      <c r="R255" s="299" t="s">
        <v>81</v>
      </c>
      <c r="S255" s="300" t="s">
        <v>599</v>
      </c>
    </row>
    <row r="256" spans="1:19">
      <c r="A256" s="427" t="s">
        <v>60</v>
      </c>
      <c r="B256" s="199"/>
      <c r="C256" s="199"/>
      <c r="D256" s="199"/>
      <c r="E256" s="460">
        <v>11706</v>
      </c>
      <c r="F256" s="460">
        <v>356.84</v>
      </c>
      <c r="G256" s="156" t="s">
        <v>20</v>
      </c>
      <c r="H256" s="196"/>
      <c r="I256" s="449">
        <v>-3.0657773528874999</v>
      </c>
      <c r="J256" s="451">
        <v>-1.08</v>
      </c>
      <c r="K256" s="401">
        <f t="shared" si="7"/>
        <v>25.668904969969681</v>
      </c>
      <c r="L256" s="753" t="s">
        <v>674</v>
      </c>
      <c r="M256" s="296" t="s">
        <v>85</v>
      </c>
      <c r="N256" s="461" t="s">
        <v>275</v>
      </c>
      <c r="O256" s="298" t="s">
        <v>44</v>
      </c>
      <c r="P256" s="314" t="s">
        <v>58</v>
      </c>
      <c r="Q256" s="430" t="s">
        <v>598</v>
      </c>
      <c r="R256" s="299" t="s">
        <v>81</v>
      </c>
      <c r="S256" s="300" t="s">
        <v>599</v>
      </c>
    </row>
    <row r="257" spans="1:19">
      <c r="A257" s="427" t="s">
        <v>60</v>
      </c>
      <c r="B257" s="199"/>
      <c r="C257" s="199"/>
      <c r="D257" s="199"/>
      <c r="E257" s="460">
        <v>11706</v>
      </c>
      <c r="F257" s="460">
        <v>356.84</v>
      </c>
      <c r="G257" s="156" t="s">
        <v>20</v>
      </c>
      <c r="H257" s="196"/>
      <c r="I257" s="449">
        <v>-2.8052155056475003</v>
      </c>
      <c r="J257" s="451">
        <v>-1.08</v>
      </c>
      <c r="K257" s="401">
        <f t="shared" si="7"/>
        <v>24.372873114887792</v>
      </c>
      <c r="L257" s="753" t="s">
        <v>674</v>
      </c>
      <c r="M257" s="296" t="s">
        <v>85</v>
      </c>
      <c r="N257" s="461" t="s">
        <v>275</v>
      </c>
      <c r="O257" s="298" t="s">
        <v>44</v>
      </c>
      <c r="P257" s="314" t="s">
        <v>58</v>
      </c>
      <c r="Q257" s="430" t="s">
        <v>598</v>
      </c>
      <c r="R257" s="299" t="s">
        <v>81</v>
      </c>
      <c r="S257" s="300" t="s">
        <v>599</v>
      </c>
    </row>
    <row r="258" spans="1:19">
      <c r="A258" s="427" t="s">
        <v>60</v>
      </c>
      <c r="B258" s="199"/>
      <c r="C258" s="199"/>
      <c r="D258" s="199"/>
      <c r="E258" s="460">
        <v>11706</v>
      </c>
      <c r="F258" s="460">
        <v>356.84</v>
      </c>
      <c r="G258" s="156" t="s">
        <v>20</v>
      </c>
      <c r="H258" s="196"/>
      <c r="I258" s="449">
        <v>-3.4980947062075001</v>
      </c>
      <c r="J258" s="451">
        <v>-1.08</v>
      </c>
      <c r="K258" s="401">
        <f t="shared" si="7"/>
        <v>27.846205817539786</v>
      </c>
      <c r="L258" s="753" t="s">
        <v>674</v>
      </c>
      <c r="M258" s="296" t="s">
        <v>85</v>
      </c>
      <c r="N258" s="461" t="s">
        <v>275</v>
      </c>
      <c r="O258" s="298" t="s">
        <v>44</v>
      </c>
      <c r="P258" s="314" t="s">
        <v>58</v>
      </c>
      <c r="Q258" s="430" t="s">
        <v>598</v>
      </c>
      <c r="R258" s="299" t="s">
        <v>81</v>
      </c>
      <c r="S258" s="300" t="s">
        <v>599</v>
      </c>
    </row>
    <row r="259" spans="1:19">
      <c r="A259" s="427" t="s">
        <v>60</v>
      </c>
      <c r="B259" s="199"/>
      <c r="C259" s="199"/>
      <c r="D259" s="199"/>
      <c r="E259" s="460">
        <v>11706</v>
      </c>
      <c r="F259" s="460">
        <v>356.84</v>
      </c>
      <c r="G259" s="156" t="s">
        <v>20</v>
      </c>
      <c r="H259" s="196"/>
      <c r="I259" s="449">
        <v>-2.8687624320490546</v>
      </c>
      <c r="J259" s="451">
        <v>-1.08</v>
      </c>
      <c r="K259" s="401">
        <f t="shared" si="7"/>
        <v>24.687828078155515</v>
      </c>
      <c r="L259" s="753" t="s">
        <v>674</v>
      </c>
      <c r="M259" s="296" t="s">
        <v>85</v>
      </c>
      <c r="N259" s="461" t="s">
        <v>275</v>
      </c>
      <c r="O259" s="298" t="s">
        <v>44</v>
      </c>
      <c r="P259" s="314" t="s">
        <v>58</v>
      </c>
      <c r="Q259" s="430" t="s">
        <v>598</v>
      </c>
      <c r="R259" s="299" t="s">
        <v>81</v>
      </c>
      <c r="S259" s="300" t="s">
        <v>599</v>
      </c>
    </row>
    <row r="260" spans="1:19">
      <c r="A260" s="427" t="s">
        <v>60</v>
      </c>
      <c r="B260" s="199"/>
      <c r="C260" s="199"/>
      <c r="D260" s="199"/>
      <c r="E260" s="460">
        <v>11706</v>
      </c>
      <c r="F260" s="460">
        <v>356.84</v>
      </c>
      <c r="G260" s="156" t="s">
        <v>20</v>
      </c>
      <c r="H260" s="196"/>
      <c r="I260" s="449">
        <v>-2.6292991358125004</v>
      </c>
      <c r="J260" s="451">
        <v>-1.08</v>
      </c>
      <c r="K260" s="401">
        <f t="shared" si="7"/>
        <v>23.504777493270645</v>
      </c>
      <c r="L260" s="753" t="s">
        <v>674</v>
      </c>
      <c r="M260" s="296" t="s">
        <v>85</v>
      </c>
      <c r="N260" s="459" t="s">
        <v>275</v>
      </c>
      <c r="O260" s="298" t="s">
        <v>44</v>
      </c>
      <c r="P260" s="314" t="s">
        <v>58</v>
      </c>
      <c r="Q260" s="430" t="s">
        <v>598</v>
      </c>
      <c r="R260" s="299" t="s">
        <v>81</v>
      </c>
      <c r="S260" s="300" t="s">
        <v>599</v>
      </c>
    </row>
    <row r="261" spans="1:19">
      <c r="A261" s="427" t="s">
        <v>60</v>
      </c>
      <c r="B261" s="199"/>
      <c r="C261" s="199"/>
      <c r="D261" s="199"/>
      <c r="E261" s="460">
        <v>11706</v>
      </c>
      <c r="F261" s="460">
        <v>356.84</v>
      </c>
      <c r="G261" s="156" t="s">
        <v>20</v>
      </c>
      <c r="H261" s="196"/>
      <c r="I261" s="449">
        <v>-2.5056178473925006</v>
      </c>
      <c r="J261" s="451">
        <v>-1.08</v>
      </c>
      <c r="K261" s="401">
        <f t="shared" si="7"/>
        <v>22.897781574113566</v>
      </c>
      <c r="L261" s="753" t="s">
        <v>674</v>
      </c>
      <c r="M261" s="296" t="s">
        <v>85</v>
      </c>
      <c r="N261" s="459" t="s">
        <v>275</v>
      </c>
      <c r="O261" s="298" t="s">
        <v>44</v>
      </c>
      <c r="P261" s="314" t="s">
        <v>58</v>
      </c>
      <c r="Q261" s="430" t="s">
        <v>598</v>
      </c>
      <c r="R261" s="299" t="s">
        <v>81</v>
      </c>
      <c r="S261" s="300" t="s">
        <v>599</v>
      </c>
    </row>
    <row r="262" spans="1:19">
      <c r="A262" s="427" t="s">
        <v>60</v>
      </c>
      <c r="B262" s="199"/>
      <c r="C262" s="199"/>
      <c r="D262" s="199"/>
      <c r="E262" s="460">
        <v>11706</v>
      </c>
      <c r="F262" s="460">
        <v>356.84</v>
      </c>
      <c r="G262" s="156" t="s">
        <v>20</v>
      </c>
      <c r="H262" s="196"/>
      <c r="I262" s="449">
        <v>-3.2114178962425002</v>
      </c>
      <c r="J262" s="451">
        <v>-1.08</v>
      </c>
      <c r="K262" s="401">
        <f t="shared" si="7"/>
        <v>26.398643840923256</v>
      </c>
      <c r="L262" s="753" t="s">
        <v>674</v>
      </c>
      <c r="M262" s="296" t="s">
        <v>85</v>
      </c>
      <c r="N262" s="459" t="s">
        <v>275</v>
      </c>
      <c r="O262" s="298" t="s">
        <v>44</v>
      </c>
      <c r="P262" s="314" t="s">
        <v>58</v>
      </c>
      <c r="Q262" s="430" t="s">
        <v>598</v>
      </c>
      <c r="R262" s="299" t="s">
        <v>81</v>
      </c>
      <c r="S262" s="300" t="s">
        <v>599</v>
      </c>
    </row>
    <row r="263" spans="1:19">
      <c r="A263" s="427" t="s">
        <v>60</v>
      </c>
      <c r="B263" s="199"/>
      <c r="C263" s="199"/>
      <c r="D263" s="199"/>
      <c r="E263" s="460">
        <v>11706</v>
      </c>
      <c r="F263" s="460">
        <v>356.84</v>
      </c>
      <c r="G263" s="156" t="s">
        <v>20</v>
      </c>
      <c r="H263" s="196"/>
      <c r="I263" s="449">
        <v>-2.4246836639249918</v>
      </c>
      <c r="J263" s="451">
        <v>-1.08</v>
      </c>
      <c r="K263" s="401">
        <f t="shared" si="7"/>
        <v>22.502067874654369</v>
      </c>
      <c r="L263" s="753" t="s">
        <v>674</v>
      </c>
      <c r="M263" s="296" t="s">
        <v>85</v>
      </c>
      <c r="N263" s="459" t="s">
        <v>275</v>
      </c>
      <c r="O263" s="298" t="s">
        <v>44</v>
      </c>
      <c r="P263" s="314" t="s">
        <v>58</v>
      </c>
      <c r="Q263" s="430" t="s">
        <v>598</v>
      </c>
      <c r="R263" s="299" t="s">
        <v>81</v>
      </c>
      <c r="S263" s="300" t="s">
        <v>599</v>
      </c>
    </row>
    <row r="264" spans="1:19">
      <c r="A264" s="427" t="s">
        <v>60</v>
      </c>
      <c r="B264" s="199"/>
      <c r="C264" s="199"/>
      <c r="D264" s="199"/>
      <c r="E264" s="396">
        <v>11713</v>
      </c>
      <c r="F264" s="396">
        <v>357.03</v>
      </c>
      <c r="G264" s="156" t="s">
        <v>20</v>
      </c>
      <c r="H264" s="196"/>
      <c r="I264" s="449">
        <v>-3.5491239630568323</v>
      </c>
      <c r="J264" s="451">
        <v>-1.08</v>
      </c>
      <c r="K264" s="401">
        <f t="shared" si="7"/>
        <v>28.105426771628434</v>
      </c>
      <c r="L264" s="753" t="s">
        <v>674</v>
      </c>
      <c r="M264" s="296" t="s">
        <v>85</v>
      </c>
      <c r="N264" s="459" t="s">
        <v>275</v>
      </c>
      <c r="O264" s="298" t="s">
        <v>44</v>
      </c>
      <c r="P264" s="314" t="s">
        <v>58</v>
      </c>
      <c r="Q264" s="430" t="s">
        <v>598</v>
      </c>
      <c r="R264" s="299" t="s">
        <v>81</v>
      </c>
      <c r="S264" s="300" t="s">
        <v>599</v>
      </c>
    </row>
    <row r="265" spans="1:19">
      <c r="A265" s="427" t="s">
        <v>60</v>
      </c>
      <c r="B265" s="199"/>
      <c r="C265" s="199"/>
      <c r="D265" s="199"/>
      <c r="E265" s="396">
        <v>11713</v>
      </c>
      <c r="F265" s="396">
        <v>357.03</v>
      </c>
      <c r="G265" s="156" t="s">
        <v>20</v>
      </c>
      <c r="H265" s="196"/>
      <c r="I265" s="449">
        <v>-3.2754627154900002</v>
      </c>
      <c r="J265" s="451">
        <v>-1.08</v>
      </c>
      <c r="K265" s="401">
        <f t="shared" si="7"/>
        <v>26.720752088033205</v>
      </c>
      <c r="L265" s="753" t="s">
        <v>674</v>
      </c>
      <c r="M265" s="296" t="s">
        <v>85</v>
      </c>
      <c r="N265" s="459" t="s">
        <v>275</v>
      </c>
      <c r="O265" s="298" t="s">
        <v>44</v>
      </c>
      <c r="P265" s="314" t="s">
        <v>58</v>
      </c>
      <c r="Q265" s="430" t="s">
        <v>598</v>
      </c>
      <c r="R265" s="299" t="s">
        <v>81</v>
      </c>
      <c r="S265" s="300" t="s">
        <v>599</v>
      </c>
    </row>
    <row r="266" spans="1:19">
      <c r="A266" s="427" t="s">
        <v>60</v>
      </c>
      <c r="B266" s="199"/>
      <c r="C266" s="199"/>
      <c r="D266" s="199"/>
      <c r="E266" s="396">
        <v>11713</v>
      </c>
      <c r="F266" s="396">
        <v>357.03</v>
      </c>
      <c r="G266" s="156" t="s">
        <v>20</v>
      </c>
      <c r="H266" s="196"/>
      <c r="I266" s="449">
        <v>-2.7582472424800004</v>
      </c>
      <c r="J266" s="451">
        <v>-1.08</v>
      </c>
      <c r="K266" s="401">
        <f t="shared" si="7"/>
        <v>24.140553447727456</v>
      </c>
      <c r="L266" s="753" t="s">
        <v>674</v>
      </c>
      <c r="M266" s="296" t="s">
        <v>85</v>
      </c>
      <c r="N266" s="459" t="s">
        <v>275</v>
      </c>
      <c r="O266" s="298" t="s">
        <v>44</v>
      </c>
      <c r="P266" s="314" t="s">
        <v>58</v>
      </c>
      <c r="Q266" s="430" t="s">
        <v>598</v>
      </c>
      <c r="R266" s="299" t="s">
        <v>81</v>
      </c>
      <c r="S266" s="300" t="s">
        <v>599</v>
      </c>
    </row>
    <row r="267" spans="1:19">
      <c r="A267" s="427" t="s">
        <v>60</v>
      </c>
      <c r="B267" s="199"/>
      <c r="C267" s="199"/>
      <c r="D267" s="199"/>
      <c r="E267" s="396">
        <v>11713</v>
      </c>
      <c r="F267" s="396">
        <v>357.03</v>
      </c>
      <c r="G267" s="156" t="s">
        <v>20</v>
      </c>
      <c r="H267" s="196"/>
      <c r="I267" s="449">
        <v>-2.8259520694160747</v>
      </c>
      <c r="J267" s="451">
        <v>-1.08</v>
      </c>
      <c r="K267" s="401">
        <f t="shared" si="7"/>
        <v>24.475568978673433</v>
      </c>
      <c r="L267" s="753" t="s">
        <v>674</v>
      </c>
      <c r="M267" s="296" t="s">
        <v>85</v>
      </c>
      <c r="N267" s="459" t="s">
        <v>275</v>
      </c>
      <c r="O267" s="298" t="s">
        <v>44</v>
      </c>
      <c r="P267" s="314" t="s">
        <v>58</v>
      </c>
      <c r="Q267" s="430" t="s">
        <v>598</v>
      </c>
      <c r="R267" s="299" t="s">
        <v>81</v>
      </c>
      <c r="S267" s="300" t="s">
        <v>599</v>
      </c>
    </row>
    <row r="268" spans="1:19">
      <c r="A268" s="427" t="s">
        <v>60</v>
      </c>
      <c r="B268" s="199"/>
      <c r="C268" s="199"/>
      <c r="D268" s="199"/>
      <c r="E268" s="396">
        <v>11713</v>
      </c>
      <c r="F268" s="396">
        <v>357.03</v>
      </c>
      <c r="G268" s="156" t="s">
        <v>20</v>
      </c>
      <c r="H268" s="196"/>
      <c r="I268" s="449">
        <v>-2.9407580915500007</v>
      </c>
      <c r="J268" s="451">
        <v>-1.08</v>
      </c>
      <c r="K268" s="401">
        <f t="shared" si="7"/>
        <v>25.045535405566195</v>
      </c>
      <c r="L268" s="753" t="s">
        <v>674</v>
      </c>
      <c r="M268" s="296" t="s">
        <v>85</v>
      </c>
      <c r="N268" s="459" t="s">
        <v>275</v>
      </c>
      <c r="O268" s="298" t="s">
        <v>44</v>
      </c>
      <c r="P268" s="314" t="s">
        <v>58</v>
      </c>
      <c r="Q268" s="430" t="s">
        <v>598</v>
      </c>
      <c r="R268" s="299" t="s">
        <v>81</v>
      </c>
      <c r="S268" s="300" t="s">
        <v>599</v>
      </c>
    </row>
    <row r="269" spans="1:19">
      <c r="A269" s="427" t="s">
        <v>60</v>
      </c>
      <c r="B269" s="199"/>
      <c r="C269" s="199"/>
      <c r="D269" s="199"/>
      <c r="E269" s="396">
        <v>11716</v>
      </c>
      <c r="F269" s="396">
        <v>357.12</v>
      </c>
      <c r="H269" s="196"/>
      <c r="I269" s="449">
        <v>-4.4806748630429585</v>
      </c>
      <c r="J269" s="451">
        <v>-1.08</v>
      </c>
      <c r="K269" s="401">
        <f t="shared" si="7"/>
        <v>32.919944421691227</v>
      </c>
      <c r="L269" s="753" t="s">
        <v>674</v>
      </c>
      <c r="M269" s="296" t="s">
        <v>85</v>
      </c>
      <c r="N269" s="461" t="s">
        <v>275</v>
      </c>
      <c r="O269" s="298" t="s">
        <v>44</v>
      </c>
      <c r="P269" s="314" t="s">
        <v>58</v>
      </c>
      <c r="Q269" s="430" t="s">
        <v>598</v>
      </c>
      <c r="R269" s="299" t="s">
        <v>81</v>
      </c>
      <c r="S269" s="300" t="s">
        <v>599</v>
      </c>
    </row>
    <row r="270" spans="1:19">
      <c r="A270" s="427" t="s">
        <v>60</v>
      </c>
      <c r="B270" s="199"/>
      <c r="C270" s="199"/>
      <c r="D270" s="199"/>
      <c r="E270" s="396">
        <v>11716</v>
      </c>
      <c r="F270" s="396">
        <v>357.12</v>
      </c>
      <c r="H270" s="196"/>
      <c r="I270" s="449">
        <v>-2.6259805015749356</v>
      </c>
      <c r="J270" s="451">
        <v>-1.08</v>
      </c>
      <c r="K270" s="401">
        <f t="shared" si="7"/>
        <v>23.488454541320191</v>
      </c>
      <c r="L270" s="753" t="s">
        <v>674</v>
      </c>
      <c r="M270" s="296" t="s">
        <v>85</v>
      </c>
      <c r="N270" s="461" t="s">
        <v>275</v>
      </c>
      <c r="O270" s="298" t="s">
        <v>44</v>
      </c>
      <c r="P270" s="314" t="s">
        <v>58</v>
      </c>
      <c r="Q270" s="430" t="s">
        <v>598</v>
      </c>
      <c r="R270" s="299" t="s">
        <v>81</v>
      </c>
      <c r="S270" s="300" t="s">
        <v>599</v>
      </c>
    </row>
    <row r="271" spans="1:19">
      <c r="A271" s="427" t="s">
        <v>60</v>
      </c>
      <c r="B271" s="199"/>
      <c r="C271" s="199"/>
      <c r="D271" s="199"/>
      <c r="E271" s="396">
        <v>11716</v>
      </c>
      <c r="F271" s="396">
        <v>357.12</v>
      </c>
      <c r="H271" s="196"/>
      <c r="I271" s="449">
        <v>-1.7732287515458933</v>
      </c>
      <c r="J271" s="451">
        <v>-1.08</v>
      </c>
      <c r="K271" s="401">
        <f t="shared" si="7"/>
        <v>19.359832356350235</v>
      </c>
      <c r="L271" s="753" t="s">
        <v>674</v>
      </c>
      <c r="M271" s="296" t="s">
        <v>85</v>
      </c>
      <c r="N271" s="461" t="s">
        <v>275</v>
      </c>
      <c r="O271" s="298" t="s">
        <v>44</v>
      </c>
      <c r="P271" s="314" t="s">
        <v>58</v>
      </c>
      <c r="Q271" s="430" t="s">
        <v>598</v>
      </c>
      <c r="R271" s="299" t="s">
        <v>81</v>
      </c>
      <c r="S271" s="300" t="s">
        <v>599</v>
      </c>
    </row>
    <row r="272" spans="1:19">
      <c r="A272" s="427" t="s">
        <v>60</v>
      </c>
      <c r="B272" s="199"/>
      <c r="C272" s="199"/>
      <c r="D272" s="199"/>
      <c r="E272" s="396">
        <v>11716</v>
      </c>
      <c r="F272" s="396">
        <v>357.12</v>
      </c>
      <c r="H272" s="196"/>
      <c r="I272" s="449">
        <v>-3.2577751775575008</v>
      </c>
      <c r="J272" s="451">
        <v>-1.08</v>
      </c>
      <c r="K272" s="401">
        <f t="shared" si="7"/>
        <v>26.631720249025509</v>
      </c>
      <c r="L272" s="753" t="s">
        <v>674</v>
      </c>
      <c r="M272" s="296" t="s">
        <v>85</v>
      </c>
      <c r="N272" s="461" t="s">
        <v>275</v>
      </c>
      <c r="O272" s="298" t="s">
        <v>44</v>
      </c>
      <c r="P272" s="314" t="s">
        <v>58</v>
      </c>
      <c r="Q272" s="430" t="s">
        <v>598</v>
      </c>
      <c r="R272" s="299" t="s">
        <v>81</v>
      </c>
      <c r="S272" s="300" t="s">
        <v>599</v>
      </c>
    </row>
    <row r="273" spans="1:19">
      <c r="A273" s="427" t="s">
        <v>60</v>
      </c>
      <c r="B273" s="199"/>
      <c r="C273" s="199"/>
      <c r="D273" s="199"/>
      <c r="E273" s="396">
        <v>11716</v>
      </c>
      <c r="F273" s="396">
        <v>357.12</v>
      </c>
      <c r="H273" s="196"/>
      <c r="I273" s="449">
        <v>-1.1460517484725001</v>
      </c>
      <c r="J273" s="451">
        <v>-1.08</v>
      </c>
      <c r="K273" s="401">
        <f t="shared" si="7"/>
        <v>16.406872767925265</v>
      </c>
      <c r="L273" s="753" t="s">
        <v>674</v>
      </c>
      <c r="M273" s="296" t="s">
        <v>85</v>
      </c>
      <c r="N273" s="459" t="s">
        <v>275</v>
      </c>
      <c r="O273" s="298" t="s">
        <v>44</v>
      </c>
      <c r="P273" s="314" t="s">
        <v>58</v>
      </c>
      <c r="Q273" s="430" t="s">
        <v>598</v>
      </c>
      <c r="R273" s="299" t="s">
        <v>81</v>
      </c>
      <c r="S273" s="300" t="s">
        <v>599</v>
      </c>
    </row>
    <row r="274" spans="1:19">
      <c r="A274" s="427" t="s">
        <v>60</v>
      </c>
      <c r="B274" s="199"/>
      <c r="C274" s="199"/>
      <c r="D274" s="199"/>
      <c r="E274" s="396">
        <v>11716</v>
      </c>
      <c r="F274" s="396">
        <v>357.12</v>
      </c>
      <c r="H274" s="196"/>
      <c r="I274" s="449">
        <v>-2.7410701450825004</v>
      </c>
      <c r="J274" s="451">
        <v>-1.08</v>
      </c>
      <c r="K274" s="401">
        <f t="shared" si="7"/>
        <v>24.055689335602398</v>
      </c>
      <c r="L274" s="753" t="s">
        <v>674</v>
      </c>
      <c r="M274" s="296" t="s">
        <v>85</v>
      </c>
      <c r="N274" s="459" t="s">
        <v>275</v>
      </c>
      <c r="O274" s="298" t="s">
        <v>44</v>
      </c>
      <c r="P274" s="314" t="s">
        <v>58</v>
      </c>
      <c r="Q274" s="430" t="s">
        <v>598</v>
      </c>
      <c r="R274" s="299" t="s">
        <v>81</v>
      </c>
      <c r="S274" s="300" t="s">
        <v>599</v>
      </c>
    </row>
    <row r="275" spans="1:19">
      <c r="A275" s="427" t="s">
        <v>60</v>
      </c>
      <c r="B275" s="199"/>
      <c r="C275" s="199"/>
      <c r="D275" s="199"/>
      <c r="E275" s="396">
        <v>11716</v>
      </c>
      <c r="F275" s="396">
        <v>357.12</v>
      </c>
      <c r="H275" s="196"/>
      <c r="I275" s="449">
        <v>-2.7177548713525002</v>
      </c>
      <c r="J275" s="451">
        <v>-1.08</v>
      </c>
      <c r="K275" s="401">
        <f t="shared" si="7"/>
        <v>23.940584294753098</v>
      </c>
      <c r="L275" s="753" t="s">
        <v>674</v>
      </c>
      <c r="M275" s="296" t="s">
        <v>85</v>
      </c>
      <c r="N275" s="459" t="s">
        <v>275</v>
      </c>
      <c r="O275" s="298" t="s">
        <v>44</v>
      </c>
      <c r="P275" s="314" t="s">
        <v>58</v>
      </c>
      <c r="Q275" s="430" t="s">
        <v>598</v>
      </c>
      <c r="R275" s="299" t="s">
        <v>81</v>
      </c>
      <c r="S275" s="300" t="s">
        <v>599</v>
      </c>
    </row>
    <row r="276" spans="1:19">
      <c r="A276" s="427" t="s">
        <v>60</v>
      </c>
      <c r="B276" s="199"/>
      <c r="C276" s="199"/>
      <c r="D276" s="199"/>
      <c r="E276" s="396">
        <v>11719</v>
      </c>
      <c r="F276" s="396">
        <v>357.21</v>
      </c>
      <c r="H276" s="196"/>
      <c r="I276" s="449">
        <v>-3.5224411729375</v>
      </c>
      <c r="J276" s="451">
        <v>-1.08</v>
      </c>
      <c r="K276" s="401">
        <f t="shared" si="7"/>
        <v>27.969823741923431</v>
      </c>
      <c r="L276" s="753" t="s">
        <v>674</v>
      </c>
      <c r="M276" s="296" t="s">
        <v>85</v>
      </c>
      <c r="N276" s="461" t="s">
        <v>275</v>
      </c>
      <c r="O276" s="298" t="s">
        <v>44</v>
      </c>
      <c r="P276" s="314" t="s">
        <v>58</v>
      </c>
      <c r="Q276" s="430" t="s">
        <v>598</v>
      </c>
      <c r="R276" s="299" t="s">
        <v>81</v>
      </c>
      <c r="S276" s="300" t="s">
        <v>599</v>
      </c>
    </row>
    <row r="277" spans="1:19">
      <c r="A277" s="427" t="s">
        <v>60</v>
      </c>
      <c r="B277" s="199"/>
      <c r="C277" s="199"/>
      <c r="D277" s="199"/>
      <c r="E277" s="396">
        <v>11719</v>
      </c>
      <c r="F277" s="396">
        <v>357.21</v>
      </c>
      <c r="H277" s="196"/>
      <c r="I277" s="449">
        <v>-3.3769758508214585</v>
      </c>
      <c r="J277" s="451">
        <v>-1.08</v>
      </c>
      <c r="K277" s="401">
        <f t="shared" si="7"/>
        <v>27.232816773144691</v>
      </c>
      <c r="L277" s="753" t="s">
        <v>674</v>
      </c>
      <c r="M277" s="296" t="s">
        <v>85</v>
      </c>
      <c r="N277" s="461" t="s">
        <v>275</v>
      </c>
      <c r="O277" s="298" t="s">
        <v>44</v>
      </c>
      <c r="P277" s="314" t="s">
        <v>58</v>
      </c>
      <c r="Q277" s="430" t="s">
        <v>598</v>
      </c>
      <c r="R277" s="299" t="s">
        <v>81</v>
      </c>
      <c r="S277" s="300" t="s">
        <v>599</v>
      </c>
    </row>
    <row r="278" spans="1:19">
      <c r="A278" s="427" t="s">
        <v>60</v>
      </c>
      <c r="B278" s="199"/>
      <c r="C278" s="199"/>
      <c r="D278" s="199"/>
      <c r="E278" s="396">
        <v>11719</v>
      </c>
      <c r="F278" s="396">
        <v>357.21</v>
      </c>
      <c r="H278" s="196"/>
      <c r="I278" s="449">
        <v>-3.7660537782522878</v>
      </c>
      <c r="J278" s="451">
        <v>-1.08</v>
      </c>
      <c r="K278" s="401">
        <f t="shared" si="7"/>
        <v>29.212629172060321</v>
      </c>
      <c r="L278" s="753" t="s">
        <v>674</v>
      </c>
      <c r="M278" s="296" t="s">
        <v>85</v>
      </c>
      <c r="N278" s="461" t="s">
        <v>275</v>
      </c>
      <c r="O278" s="298" t="s">
        <v>44</v>
      </c>
      <c r="P278" s="314" t="s">
        <v>58</v>
      </c>
      <c r="Q278" s="430" t="s">
        <v>598</v>
      </c>
      <c r="R278" s="299" t="s">
        <v>81</v>
      </c>
      <c r="S278" s="300" t="s">
        <v>599</v>
      </c>
    </row>
    <row r="279" spans="1:19">
      <c r="A279" s="427" t="s">
        <v>60</v>
      </c>
      <c r="B279" s="199"/>
      <c r="C279" s="199"/>
      <c r="D279" s="199"/>
      <c r="E279" s="396">
        <v>11719</v>
      </c>
      <c r="F279" s="396">
        <v>357.21</v>
      </c>
      <c r="H279" s="196"/>
      <c r="I279" s="449">
        <v>-3.1408268294428936</v>
      </c>
      <c r="J279" s="451">
        <v>-1.08</v>
      </c>
      <c r="K279" s="401">
        <f t="shared" si="7"/>
        <v>26.044467138500679</v>
      </c>
      <c r="L279" s="753" t="s">
        <v>674</v>
      </c>
      <c r="M279" s="296" t="s">
        <v>85</v>
      </c>
      <c r="N279" s="461" t="s">
        <v>275</v>
      </c>
      <c r="O279" s="298" t="s">
        <v>44</v>
      </c>
      <c r="P279" s="314" t="s">
        <v>58</v>
      </c>
      <c r="Q279" s="430" t="s">
        <v>598</v>
      </c>
      <c r="R279" s="299" t="s">
        <v>81</v>
      </c>
      <c r="S279" s="300" t="s">
        <v>599</v>
      </c>
    </row>
    <row r="280" spans="1:19">
      <c r="A280" s="427" t="s">
        <v>60</v>
      </c>
      <c r="B280" s="199"/>
      <c r="C280" s="199"/>
      <c r="D280" s="199"/>
      <c r="E280" s="396">
        <v>11725</v>
      </c>
      <c r="F280" s="396">
        <v>357.39</v>
      </c>
      <c r="H280" s="196"/>
      <c r="I280" s="449">
        <v>-1.3661882521299999</v>
      </c>
      <c r="J280" s="451">
        <v>-1.08</v>
      </c>
      <c r="K280" s="401">
        <f t="shared" si="7"/>
        <v>17.435284824292349</v>
      </c>
      <c r="L280" s="753" t="s">
        <v>674</v>
      </c>
      <c r="M280" s="296" t="s">
        <v>85</v>
      </c>
      <c r="N280" s="459" t="s">
        <v>275</v>
      </c>
      <c r="O280" s="298" t="s">
        <v>44</v>
      </c>
      <c r="P280" s="314" t="s">
        <v>58</v>
      </c>
      <c r="Q280" s="430" t="s">
        <v>598</v>
      </c>
      <c r="R280" s="299" t="s">
        <v>81</v>
      </c>
      <c r="S280" s="300" t="s">
        <v>599</v>
      </c>
    </row>
    <row r="281" spans="1:19">
      <c r="A281" s="427" t="s">
        <v>60</v>
      </c>
      <c r="B281" s="199"/>
      <c r="C281" s="199"/>
      <c r="D281" s="199"/>
      <c r="E281" s="396">
        <v>11725</v>
      </c>
      <c r="F281" s="396">
        <v>357.39</v>
      </c>
      <c r="H281" s="196"/>
      <c r="I281" s="449">
        <v>-1.5389389646722618</v>
      </c>
      <c r="J281" s="451">
        <v>-1.08</v>
      </c>
      <c r="K281" s="401">
        <f t="shared" si="7"/>
        <v>18.248433043675796</v>
      </c>
      <c r="L281" s="753" t="s">
        <v>674</v>
      </c>
      <c r="M281" s="296" t="s">
        <v>85</v>
      </c>
      <c r="N281" s="459" t="s">
        <v>275</v>
      </c>
      <c r="O281" s="298" t="s">
        <v>44</v>
      </c>
      <c r="P281" s="314" t="s">
        <v>58</v>
      </c>
      <c r="Q281" s="430" t="s">
        <v>598</v>
      </c>
      <c r="R281" s="299" t="s">
        <v>81</v>
      </c>
      <c r="S281" s="300" t="s">
        <v>599</v>
      </c>
    </row>
    <row r="282" spans="1:19">
      <c r="A282" s="427" t="s">
        <v>60</v>
      </c>
      <c r="B282" s="199"/>
      <c r="C282" s="199"/>
      <c r="D282" s="199"/>
      <c r="E282" s="396">
        <v>11725</v>
      </c>
      <c r="F282" s="396">
        <v>357.39</v>
      </c>
      <c r="H282" s="196"/>
      <c r="I282" s="449">
        <v>-1.4694589425504681</v>
      </c>
      <c r="J282" s="451">
        <v>-1.08</v>
      </c>
      <c r="K282" s="401">
        <f t="shared" si="7"/>
        <v>17.920740537548099</v>
      </c>
      <c r="L282" s="753" t="s">
        <v>674</v>
      </c>
      <c r="M282" s="296" t="s">
        <v>85</v>
      </c>
      <c r="N282" s="459" t="s">
        <v>275</v>
      </c>
      <c r="O282" s="298" t="s">
        <v>44</v>
      </c>
      <c r="P282" s="314" t="s">
        <v>58</v>
      </c>
      <c r="Q282" s="430" t="s">
        <v>598</v>
      </c>
      <c r="R282" s="299" t="s">
        <v>81</v>
      </c>
      <c r="S282" s="300" t="s">
        <v>599</v>
      </c>
    </row>
    <row r="283" spans="1:19">
      <c r="A283" s="427" t="s">
        <v>60</v>
      </c>
      <c r="B283" s="199"/>
      <c r="C283" s="199"/>
      <c r="D283" s="199"/>
      <c r="E283" s="396">
        <v>11725</v>
      </c>
      <c r="F283" s="396">
        <v>357.39</v>
      </c>
      <c r="H283" s="196"/>
      <c r="I283" s="449">
        <v>-1.7854667112509901</v>
      </c>
      <c r="J283" s="451">
        <v>-1.08</v>
      </c>
      <c r="K283" s="401">
        <f t="shared" si="7"/>
        <v>19.418157035466091</v>
      </c>
      <c r="L283" s="753" t="s">
        <v>674</v>
      </c>
      <c r="M283" s="296" t="s">
        <v>85</v>
      </c>
      <c r="N283" s="459" t="s">
        <v>275</v>
      </c>
      <c r="O283" s="298" t="s">
        <v>44</v>
      </c>
      <c r="P283" s="314" t="s">
        <v>58</v>
      </c>
      <c r="Q283" s="430" t="s">
        <v>598</v>
      </c>
      <c r="R283" s="299" t="s">
        <v>81</v>
      </c>
      <c r="S283" s="300" t="s">
        <v>599</v>
      </c>
    </row>
    <row r="284" spans="1:19">
      <c r="A284" s="427" t="s">
        <v>60</v>
      </c>
      <c r="B284" s="199"/>
      <c r="C284" s="199"/>
      <c r="D284" s="199"/>
      <c r="E284" s="396">
        <v>11725</v>
      </c>
      <c r="F284" s="396">
        <v>357.39</v>
      </c>
      <c r="H284" s="196"/>
      <c r="I284" s="449">
        <v>-0.89878249459900006</v>
      </c>
      <c r="J284" s="451">
        <v>-1.08</v>
      </c>
      <c r="K284" s="401">
        <f t="shared" si="7"/>
        <v>15.2621063555231</v>
      </c>
      <c r="L284" s="753" t="s">
        <v>674</v>
      </c>
      <c r="M284" s="296" t="s">
        <v>85</v>
      </c>
      <c r="N284" s="459" t="s">
        <v>275</v>
      </c>
      <c r="O284" s="298" t="s">
        <v>44</v>
      </c>
      <c r="P284" s="314" t="s">
        <v>58</v>
      </c>
      <c r="Q284" s="430" t="s">
        <v>598</v>
      </c>
      <c r="R284" s="299" t="s">
        <v>81</v>
      </c>
      <c r="S284" s="300" t="s">
        <v>599</v>
      </c>
    </row>
    <row r="285" spans="1:19">
      <c r="A285" s="427" t="s">
        <v>60</v>
      </c>
      <c r="B285" s="199"/>
      <c r="C285" s="199"/>
      <c r="D285" s="199"/>
      <c r="E285" s="396">
        <v>11725</v>
      </c>
      <c r="F285" s="396">
        <v>357.39</v>
      </c>
      <c r="H285" s="196"/>
      <c r="I285" s="449">
        <v>-2.5866361034200005</v>
      </c>
      <c r="J285" s="451">
        <v>-1.08</v>
      </c>
      <c r="K285" s="401">
        <f t="shared" si="7"/>
        <v>23.295087231200377</v>
      </c>
      <c r="L285" s="753" t="s">
        <v>674</v>
      </c>
      <c r="M285" s="296" t="s">
        <v>85</v>
      </c>
      <c r="N285" s="459" t="s">
        <v>275</v>
      </c>
      <c r="O285" s="298" t="s">
        <v>44</v>
      </c>
      <c r="P285" s="314" t="s">
        <v>58</v>
      </c>
      <c r="Q285" s="430" t="s">
        <v>598</v>
      </c>
      <c r="R285" s="299" t="s">
        <v>81</v>
      </c>
      <c r="S285" s="300" t="s">
        <v>599</v>
      </c>
    </row>
    <row r="286" spans="1:19">
      <c r="A286" s="427" t="s">
        <v>60</v>
      </c>
      <c r="B286" s="199"/>
      <c r="C286" s="199"/>
      <c r="D286" s="199"/>
      <c r="E286" s="396">
        <v>11725</v>
      </c>
      <c r="F286" s="396">
        <v>357.39</v>
      </c>
      <c r="H286" s="196"/>
      <c r="I286" s="449">
        <v>-1.5737261553100002</v>
      </c>
      <c r="J286" s="451">
        <v>-1.08</v>
      </c>
      <c r="K286" s="401">
        <f t="shared" si="7"/>
        <v>18.412828257117749</v>
      </c>
      <c r="L286" s="753" t="s">
        <v>674</v>
      </c>
      <c r="M286" s="296" t="s">
        <v>85</v>
      </c>
      <c r="N286" s="459" t="s">
        <v>275</v>
      </c>
      <c r="O286" s="298" t="s">
        <v>44</v>
      </c>
      <c r="P286" s="314" t="s">
        <v>58</v>
      </c>
      <c r="Q286" s="430" t="s">
        <v>598</v>
      </c>
      <c r="R286" s="299" t="s">
        <v>81</v>
      </c>
      <c r="S286" s="300" t="s">
        <v>599</v>
      </c>
    </row>
    <row r="287" spans="1:19">
      <c r="A287" s="427" t="s">
        <v>60</v>
      </c>
      <c r="B287" s="199"/>
      <c r="C287" s="199"/>
      <c r="D287" s="199"/>
      <c r="E287" s="396">
        <v>11725</v>
      </c>
      <c r="F287" s="396">
        <v>357.39</v>
      </c>
      <c r="H287" s="196"/>
      <c r="I287" s="449">
        <v>-1.16482719502</v>
      </c>
      <c r="J287" s="451">
        <v>-1.08</v>
      </c>
      <c r="K287" s="401">
        <f t="shared" si="7"/>
        <v>16.494245793664145</v>
      </c>
      <c r="L287" s="753" t="s">
        <v>674</v>
      </c>
      <c r="M287" s="296" t="s">
        <v>85</v>
      </c>
      <c r="N287" s="459" t="s">
        <v>275</v>
      </c>
      <c r="O287" s="298" t="s">
        <v>44</v>
      </c>
      <c r="P287" s="314" t="s">
        <v>58</v>
      </c>
      <c r="Q287" s="430" t="s">
        <v>598</v>
      </c>
      <c r="R287" s="299" t="s">
        <v>81</v>
      </c>
      <c r="S287" s="300" t="s">
        <v>599</v>
      </c>
    </row>
    <row r="288" spans="1:19">
      <c r="A288" s="427" t="s">
        <v>60</v>
      </c>
      <c r="B288" s="199"/>
      <c r="C288" s="199"/>
      <c r="D288" s="199"/>
      <c r="E288" s="396">
        <v>117280</v>
      </c>
      <c r="F288" s="462">
        <v>357.4923</v>
      </c>
      <c r="H288" s="196"/>
      <c r="I288" s="449">
        <v>-1.7940817874799999</v>
      </c>
      <c r="J288" s="451">
        <v>-1.08</v>
      </c>
      <c r="K288" s="401">
        <f t="shared" si="7"/>
        <v>19.459231645836159</v>
      </c>
      <c r="L288" s="753" t="s">
        <v>674</v>
      </c>
      <c r="M288" s="296" t="s">
        <v>85</v>
      </c>
      <c r="N288" s="459" t="s">
        <v>275</v>
      </c>
      <c r="O288" s="298" t="s">
        <v>44</v>
      </c>
      <c r="P288" s="314" t="s">
        <v>58</v>
      </c>
      <c r="Q288" s="430" t="s">
        <v>598</v>
      </c>
      <c r="R288" s="299" t="s">
        <v>81</v>
      </c>
      <c r="S288" s="300" t="s">
        <v>599</v>
      </c>
    </row>
    <row r="289" spans="1:19">
      <c r="A289" s="427" t="s">
        <v>60</v>
      </c>
      <c r="B289" s="199"/>
      <c r="C289" s="199"/>
      <c r="D289" s="199"/>
      <c r="E289" s="396">
        <v>117280</v>
      </c>
      <c r="F289" s="462">
        <v>357.4923</v>
      </c>
      <c r="H289" s="196"/>
      <c r="I289" s="449">
        <v>-2.23482398761</v>
      </c>
      <c r="J289" s="451">
        <v>-1.08</v>
      </c>
      <c r="K289" s="401">
        <f t="shared" si="7"/>
        <v>21.578408962322754</v>
      </c>
      <c r="L289" s="753" t="s">
        <v>674</v>
      </c>
      <c r="M289" s="296" t="s">
        <v>85</v>
      </c>
      <c r="N289" s="459" t="s">
        <v>275</v>
      </c>
      <c r="O289" s="298" t="s">
        <v>44</v>
      </c>
      <c r="P289" s="314" t="s">
        <v>58</v>
      </c>
      <c r="Q289" s="430" t="s">
        <v>598</v>
      </c>
      <c r="R289" s="299" t="s">
        <v>81</v>
      </c>
      <c r="S289" s="300" t="s">
        <v>599</v>
      </c>
    </row>
    <row r="290" spans="1:19">
      <c r="A290" s="427" t="s">
        <v>60</v>
      </c>
      <c r="B290" s="199"/>
      <c r="C290" s="199"/>
      <c r="D290" s="199"/>
      <c r="E290" s="396">
        <v>117280</v>
      </c>
      <c r="F290" s="462">
        <v>357.4923</v>
      </c>
      <c r="H290" s="196"/>
      <c r="I290" s="449">
        <v>-1.1779025321457941</v>
      </c>
      <c r="J290" s="451">
        <v>-1.08</v>
      </c>
      <c r="K290" s="401">
        <f t="shared" si="7"/>
        <v>16.555130390678539</v>
      </c>
      <c r="L290" s="753" t="s">
        <v>674</v>
      </c>
      <c r="M290" s="296" t="s">
        <v>85</v>
      </c>
      <c r="N290" s="459" t="s">
        <v>275</v>
      </c>
      <c r="O290" s="298" t="s">
        <v>44</v>
      </c>
      <c r="P290" s="314" t="s">
        <v>58</v>
      </c>
      <c r="Q290" s="430" t="s">
        <v>598</v>
      </c>
      <c r="R290" s="299" t="s">
        <v>81</v>
      </c>
      <c r="S290" s="300" t="s">
        <v>599</v>
      </c>
    </row>
    <row r="291" spans="1:19">
      <c r="A291" s="427" t="s">
        <v>60</v>
      </c>
      <c r="B291" s="199"/>
      <c r="C291" s="199"/>
      <c r="D291" s="199"/>
      <c r="E291" s="396">
        <v>117280</v>
      </c>
      <c r="F291" s="462">
        <v>357.4923</v>
      </c>
      <c r="H291" s="196"/>
      <c r="I291" s="449">
        <v>-1.3601660850099999</v>
      </c>
      <c r="J291" s="451">
        <v>-1.08</v>
      </c>
      <c r="K291" s="401">
        <f t="shared" si="7"/>
        <v>17.407035007613487</v>
      </c>
      <c r="L291" s="753" t="s">
        <v>674</v>
      </c>
      <c r="M291" s="296" t="s">
        <v>85</v>
      </c>
      <c r="N291" s="459" t="s">
        <v>275</v>
      </c>
      <c r="O291" s="298" t="s">
        <v>44</v>
      </c>
      <c r="P291" s="314" t="s">
        <v>58</v>
      </c>
      <c r="Q291" s="430" t="s">
        <v>598</v>
      </c>
      <c r="R291" s="299" t="s">
        <v>81</v>
      </c>
      <c r="S291" s="300" t="s">
        <v>599</v>
      </c>
    </row>
    <row r="292" spans="1:19">
      <c r="A292" s="427" t="s">
        <v>60</v>
      </c>
      <c r="B292" s="199"/>
      <c r="C292" s="199"/>
      <c r="D292" s="199"/>
      <c r="E292" s="396">
        <v>11731</v>
      </c>
      <c r="F292" s="462">
        <v>357.57612000000006</v>
      </c>
      <c r="H292" s="196"/>
      <c r="I292" s="449">
        <v>-2.0980671719500004</v>
      </c>
      <c r="J292" s="451">
        <v>-1.08</v>
      </c>
      <c r="K292" s="401">
        <f t="shared" si="7"/>
        <v>20.917113146842205</v>
      </c>
      <c r="L292" s="753" t="s">
        <v>674</v>
      </c>
      <c r="M292" s="296" t="s">
        <v>85</v>
      </c>
      <c r="N292" s="459" t="s">
        <v>275</v>
      </c>
      <c r="O292" s="298" t="s">
        <v>44</v>
      </c>
      <c r="P292" s="314" t="s">
        <v>58</v>
      </c>
      <c r="Q292" s="430" t="s">
        <v>598</v>
      </c>
      <c r="R292" s="299" t="s">
        <v>81</v>
      </c>
      <c r="S292" s="300" t="s">
        <v>599</v>
      </c>
    </row>
    <row r="293" spans="1:19">
      <c r="A293" s="427" t="s">
        <v>60</v>
      </c>
      <c r="B293" s="199"/>
      <c r="C293" s="199"/>
      <c r="D293" s="199"/>
      <c r="E293" s="396">
        <v>11731</v>
      </c>
      <c r="F293" s="462">
        <v>357.57612000000006</v>
      </c>
      <c r="H293" s="196"/>
      <c r="I293" s="449">
        <v>-1.28034143488</v>
      </c>
      <c r="J293" s="451">
        <v>-1.08</v>
      </c>
      <c r="K293" s="401">
        <f t="shared" si="7"/>
        <v>17.033196559990881</v>
      </c>
      <c r="L293" s="753" t="s">
        <v>674</v>
      </c>
      <c r="M293" s="296" t="s">
        <v>85</v>
      </c>
      <c r="N293" s="459" t="s">
        <v>275</v>
      </c>
      <c r="O293" s="298" t="s">
        <v>44</v>
      </c>
      <c r="P293" s="314" t="s">
        <v>58</v>
      </c>
      <c r="Q293" s="430" t="s">
        <v>598</v>
      </c>
      <c r="R293" s="299" t="s">
        <v>81</v>
      </c>
      <c r="S293" s="300" t="s">
        <v>599</v>
      </c>
    </row>
    <row r="294" spans="1:19">
      <c r="A294" s="427" t="s">
        <v>60</v>
      </c>
      <c r="B294" s="199"/>
      <c r="C294" s="199"/>
      <c r="D294" s="199"/>
      <c r="E294" s="396">
        <v>11731</v>
      </c>
      <c r="F294" s="462">
        <v>357.57612000000006</v>
      </c>
      <c r="H294" s="196"/>
      <c r="I294" s="449">
        <v>-1.4078175135400002</v>
      </c>
      <c r="J294" s="451">
        <v>-1.08</v>
      </c>
      <c r="K294" s="401">
        <f t="shared" si="7"/>
        <v>17.630745051822121</v>
      </c>
      <c r="L294" s="753" t="s">
        <v>674</v>
      </c>
      <c r="M294" s="296" t="s">
        <v>85</v>
      </c>
      <c r="N294" s="459" t="s">
        <v>275</v>
      </c>
      <c r="O294" s="298" t="s">
        <v>44</v>
      </c>
      <c r="P294" s="314" t="s">
        <v>58</v>
      </c>
      <c r="Q294" s="430" t="s">
        <v>598</v>
      </c>
      <c r="R294" s="299" t="s">
        <v>81</v>
      </c>
      <c r="S294" s="300" t="s">
        <v>599</v>
      </c>
    </row>
    <row r="295" spans="1:19">
      <c r="A295" s="427" t="s">
        <v>60</v>
      </c>
      <c r="B295" s="199"/>
      <c r="C295" s="199"/>
      <c r="D295" s="199"/>
      <c r="E295" s="396">
        <v>11734</v>
      </c>
      <c r="F295" s="462">
        <v>357.66756000000004</v>
      </c>
      <c r="G295" s="156" t="s">
        <v>196</v>
      </c>
      <c r="H295" s="196"/>
      <c r="I295" s="449">
        <v>-1.3565878453000002</v>
      </c>
      <c r="J295" s="451">
        <v>-1.08</v>
      </c>
      <c r="K295" s="401">
        <f t="shared" si="7"/>
        <v>17.390252677447094</v>
      </c>
      <c r="L295" s="753" t="s">
        <v>674</v>
      </c>
      <c r="M295" s="296" t="s">
        <v>85</v>
      </c>
      <c r="N295" s="459" t="s">
        <v>275</v>
      </c>
      <c r="O295" s="298" t="s">
        <v>44</v>
      </c>
      <c r="P295" s="314" t="s">
        <v>58</v>
      </c>
      <c r="Q295" s="430" t="s">
        <v>598</v>
      </c>
      <c r="R295" s="299" t="s">
        <v>81</v>
      </c>
      <c r="S295" s="300" t="s">
        <v>599</v>
      </c>
    </row>
    <row r="296" spans="1:19">
      <c r="A296" s="427" t="s">
        <v>60</v>
      </c>
      <c r="B296" s="199"/>
      <c r="C296" s="199"/>
      <c r="D296" s="199"/>
      <c r="E296" s="396">
        <v>11734</v>
      </c>
      <c r="F296" s="462">
        <v>357.66756000000004</v>
      </c>
      <c r="G296" s="156" t="s">
        <v>196</v>
      </c>
      <c r="H296" s="196"/>
      <c r="I296" s="449">
        <v>-1.0383864341319999</v>
      </c>
      <c r="J296" s="451">
        <v>-1.08</v>
      </c>
      <c r="K296" s="401">
        <f t="shared" si="7"/>
        <v>15.907068906370263</v>
      </c>
      <c r="L296" s="753" t="s">
        <v>674</v>
      </c>
      <c r="M296" s="296" t="s">
        <v>85</v>
      </c>
      <c r="N296" s="459" t="s">
        <v>275</v>
      </c>
      <c r="O296" s="298" t="s">
        <v>44</v>
      </c>
      <c r="P296" s="314" t="s">
        <v>58</v>
      </c>
      <c r="Q296" s="430" t="s">
        <v>598</v>
      </c>
      <c r="R296" s="299" t="s">
        <v>81</v>
      </c>
      <c r="S296" s="300" t="s">
        <v>599</v>
      </c>
    </row>
    <row r="297" spans="1:19">
      <c r="A297" s="427" t="s">
        <v>60</v>
      </c>
      <c r="B297" s="199"/>
      <c r="C297" s="199"/>
      <c r="D297" s="199"/>
      <c r="E297" s="396">
        <v>11734</v>
      </c>
      <c r="F297" s="462">
        <v>357.66756000000004</v>
      </c>
      <c r="G297" s="156" t="s">
        <v>196</v>
      </c>
      <c r="H297" s="196"/>
      <c r="I297" s="449">
        <v>-1.1427287290300001</v>
      </c>
      <c r="J297" s="451">
        <v>-1.08</v>
      </c>
      <c r="K297" s="401">
        <f t="shared" si="7"/>
        <v>16.391415443109317</v>
      </c>
      <c r="L297" s="753" t="s">
        <v>674</v>
      </c>
      <c r="M297" s="296" t="s">
        <v>85</v>
      </c>
      <c r="N297" s="459" t="s">
        <v>275</v>
      </c>
      <c r="O297" s="298" t="s">
        <v>44</v>
      </c>
      <c r="P297" s="314" t="s">
        <v>58</v>
      </c>
      <c r="Q297" s="430" t="s">
        <v>598</v>
      </c>
      <c r="R297" s="299" t="s">
        <v>81</v>
      </c>
      <c r="S297" s="300" t="s">
        <v>599</v>
      </c>
    </row>
    <row r="298" spans="1:19">
      <c r="A298" s="427" t="s">
        <v>60</v>
      </c>
      <c r="B298" s="199"/>
      <c r="C298" s="199"/>
      <c r="D298" s="199"/>
      <c r="E298" s="396">
        <v>11734</v>
      </c>
      <c r="F298" s="462">
        <v>357.66756000000004</v>
      </c>
      <c r="G298" s="156" t="s">
        <v>196</v>
      </c>
      <c r="H298" s="196"/>
      <c r="I298" s="449">
        <v>-0.98974093554999998</v>
      </c>
      <c r="J298" s="451">
        <v>-1.08</v>
      </c>
      <c r="K298" s="401">
        <f t="shared" si="7"/>
        <v>15.681931143836387</v>
      </c>
      <c r="L298" s="753" t="s">
        <v>674</v>
      </c>
      <c r="M298" s="296" t="s">
        <v>85</v>
      </c>
      <c r="N298" s="459" t="s">
        <v>275</v>
      </c>
      <c r="O298" s="298" t="s">
        <v>44</v>
      </c>
      <c r="P298" s="314" t="s">
        <v>58</v>
      </c>
      <c r="Q298" s="430" t="s">
        <v>598</v>
      </c>
      <c r="R298" s="299" t="s">
        <v>81</v>
      </c>
      <c r="S298" s="300" t="s">
        <v>599</v>
      </c>
    </row>
    <row r="299" spans="1:19">
      <c r="A299" s="427" t="s">
        <v>60</v>
      </c>
      <c r="B299" s="199"/>
      <c r="C299" s="199"/>
      <c r="D299" s="199"/>
      <c r="E299" s="396">
        <v>11740</v>
      </c>
      <c r="F299" s="462">
        <v>357.85044000000005</v>
      </c>
      <c r="G299" s="156" t="s">
        <v>196</v>
      </c>
      <c r="H299" s="196"/>
      <c r="I299" s="449">
        <v>-2.785954834563598</v>
      </c>
      <c r="J299" s="451">
        <v>-1.08</v>
      </c>
      <c r="K299" s="401">
        <f t="shared" si="7"/>
        <v>24.277555803156478</v>
      </c>
      <c r="L299" s="753" t="s">
        <v>674</v>
      </c>
      <c r="M299" s="296" t="s">
        <v>85</v>
      </c>
      <c r="N299" s="459" t="s">
        <v>275</v>
      </c>
      <c r="O299" s="298" t="s">
        <v>44</v>
      </c>
      <c r="P299" s="314" t="s">
        <v>58</v>
      </c>
      <c r="Q299" s="430" t="s">
        <v>598</v>
      </c>
      <c r="R299" s="299" t="s">
        <v>81</v>
      </c>
      <c r="S299" s="300" t="s">
        <v>599</v>
      </c>
    </row>
    <row r="300" spans="1:19">
      <c r="A300" s="427" t="s">
        <v>60</v>
      </c>
      <c r="B300" s="199"/>
      <c r="C300" s="199"/>
      <c r="D300" s="199"/>
      <c r="E300" s="396">
        <v>11740</v>
      </c>
      <c r="F300" s="462">
        <v>357.85044000000005</v>
      </c>
      <c r="G300" s="156" t="s">
        <v>196</v>
      </c>
      <c r="H300" s="196"/>
      <c r="I300" s="449">
        <v>-1.3613828927500002</v>
      </c>
      <c r="J300" s="451">
        <v>-1.08</v>
      </c>
      <c r="K300" s="401">
        <f t="shared" si="7"/>
        <v>17.412742492269917</v>
      </c>
      <c r="L300" s="753" t="s">
        <v>674</v>
      </c>
      <c r="M300" s="296" t="s">
        <v>85</v>
      </c>
      <c r="N300" s="459" t="s">
        <v>275</v>
      </c>
      <c r="O300" s="298" t="s">
        <v>44</v>
      </c>
      <c r="P300" s="314" t="s">
        <v>58</v>
      </c>
      <c r="Q300" s="430" t="s">
        <v>598</v>
      </c>
      <c r="R300" s="299" t="s">
        <v>81</v>
      </c>
      <c r="S300" s="300" t="s">
        <v>599</v>
      </c>
    </row>
    <row r="301" spans="1:19">
      <c r="A301" s="427" t="s">
        <v>60</v>
      </c>
      <c r="B301" s="199"/>
      <c r="C301" s="199"/>
      <c r="D301" s="199"/>
      <c r="E301" s="396">
        <v>11740</v>
      </c>
      <c r="F301" s="462">
        <v>357.85044000000005</v>
      </c>
      <c r="G301" s="156" t="s">
        <v>196</v>
      </c>
      <c r="H301" s="196"/>
      <c r="I301" s="449">
        <v>-1.5832252600590517</v>
      </c>
      <c r="J301" s="451">
        <v>-1.08</v>
      </c>
      <c r="K301" s="401">
        <f t="shared" si="7"/>
        <v>18.457756416286536</v>
      </c>
      <c r="L301" s="753" t="s">
        <v>674</v>
      </c>
      <c r="M301" s="296" t="s">
        <v>85</v>
      </c>
      <c r="N301" s="459" t="s">
        <v>275</v>
      </c>
      <c r="O301" s="298" t="s">
        <v>44</v>
      </c>
      <c r="P301" s="314" t="s">
        <v>58</v>
      </c>
      <c r="Q301" s="430" t="s">
        <v>598</v>
      </c>
      <c r="R301" s="299" t="s">
        <v>81</v>
      </c>
      <c r="S301" s="300" t="s">
        <v>599</v>
      </c>
    </row>
    <row r="302" spans="1:19">
      <c r="A302" s="427" t="s">
        <v>60</v>
      </c>
      <c r="B302" s="199"/>
      <c r="C302" s="199"/>
      <c r="D302" s="199"/>
      <c r="E302" s="396">
        <v>11749</v>
      </c>
      <c r="F302" s="462">
        <v>358.12476000000004</v>
      </c>
      <c r="G302" s="156" t="s">
        <v>196</v>
      </c>
      <c r="H302" s="196"/>
      <c r="I302" s="449">
        <v>-1.5291966635875001</v>
      </c>
      <c r="J302" s="451">
        <v>-1.08</v>
      </c>
      <c r="K302" s="401">
        <f t="shared" si="7"/>
        <v>18.202432506878033</v>
      </c>
      <c r="L302" s="753" t="s">
        <v>674</v>
      </c>
      <c r="M302" s="296" t="s">
        <v>85</v>
      </c>
      <c r="N302" s="461" t="s">
        <v>275</v>
      </c>
      <c r="O302" s="298" t="s">
        <v>44</v>
      </c>
      <c r="P302" s="314" t="s">
        <v>58</v>
      </c>
      <c r="Q302" s="430" t="s">
        <v>598</v>
      </c>
      <c r="R302" s="299" t="s">
        <v>81</v>
      </c>
      <c r="S302" s="300" t="s">
        <v>599</v>
      </c>
    </row>
    <row r="303" spans="1:19">
      <c r="A303" s="427" t="s">
        <v>60</v>
      </c>
      <c r="B303" s="199"/>
      <c r="C303" s="199"/>
      <c r="D303" s="199"/>
      <c r="E303" s="396">
        <v>11749</v>
      </c>
      <c r="F303" s="462">
        <v>358.12476000000004</v>
      </c>
      <c r="G303" s="156" t="s">
        <v>196</v>
      </c>
      <c r="H303" s="196"/>
      <c r="I303" s="449">
        <v>-1.679289975729471</v>
      </c>
      <c r="J303" s="451">
        <v>-1.08</v>
      </c>
      <c r="K303" s="401">
        <f t="shared" si="7"/>
        <v>18.913028850135628</v>
      </c>
      <c r="L303" s="753" t="s">
        <v>674</v>
      </c>
      <c r="M303" s="296" t="s">
        <v>85</v>
      </c>
      <c r="N303" s="461" t="s">
        <v>275</v>
      </c>
      <c r="O303" s="298" t="s">
        <v>44</v>
      </c>
      <c r="P303" s="314" t="s">
        <v>58</v>
      </c>
      <c r="Q303" s="430" t="s">
        <v>598</v>
      </c>
      <c r="R303" s="299" t="s">
        <v>81</v>
      </c>
      <c r="S303" s="300" t="s">
        <v>599</v>
      </c>
    </row>
    <row r="304" spans="1:19">
      <c r="A304" s="427" t="s">
        <v>60</v>
      </c>
      <c r="B304" s="199"/>
      <c r="C304" s="199"/>
      <c r="D304" s="199"/>
      <c r="E304" s="396">
        <v>11749</v>
      </c>
      <c r="F304" s="462">
        <v>358.12476000000004</v>
      </c>
      <c r="G304" s="156" t="s">
        <v>196</v>
      </c>
      <c r="H304" s="196"/>
      <c r="I304" s="449">
        <v>-1.9987925164978042</v>
      </c>
      <c r="J304" s="451">
        <v>-1.08</v>
      </c>
      <c r="K304" s="401">
        <f t="shared" si="7"/>
        <v>20.439173448503325</v>
      </c>
      <c r="L304" s="753" t="s">
        <v>674</v>
      </c>
      <c r="M304" s="296" t="s">
        <v>85</v>
      </c>
      <c r="N304" s="459" t="s">
        <v>275</v>
      </c>
      <c r="O304" s="298" t="s">
        <v>44</v>
      </c>
      <c r="P304" s="314" t="s">
        <v>58</v>
      </c>
      <c r="Q304" s="430" t="s">
        <v>598</v>
      </c>
      <c r="R304" s="299" t="s">
        <v>81</v>
      </c>
      <c r="S304" s="300" t="s">
        <v>599</v>
      </c>
    </row>
    <row r="305" spans="1:19">
      <c r="A305" s="427" t="s">
        <v>60</v>
      </c>
      <c r="B305" s="199"/>
      <c r="C305" s="199"/>
      <c r="D305" s="199"/>
      <c r="E305" s="396">
        <v>11749</v>
      </c>
      <c r="F305" s="462">
        <v>358.12476000000004</v>
      </c>
      <c r="G305" s="156" t="s">
        <v>196</v>
      </c>
      <c r="H305" s="196"/>
      <c r="I305" s="449">
        <v>-1.7436602075008911</v>
      </c>
      <c r="J305" s="451">
        <v>-1.08</v>
      </c>
      <c r="K305" s="401">
        <f t="shared" si="7"/>
        <v>19.219023401195948</v>
      </c>
      <c r="L305" s="753" t="s">
        <v>674</v>
      </c>
      <c r="M305" s="296" t="s">
        <v>85</v>
      </c>
      <c r="N305" s="459" t="s">
        <v>275</v>
      </c>
      <c r="O305" s="298" t="s">
        <v>44</v>
      </c>
      <c r="P305" s="314" t="s">
        <v>58</v>
      </c>
      <c r="Q305" s="430" t="s">
        <v>598</v>
      </c>
      <c r="R305" s="299" t="s">
        <v>81</v>
      </c>
      <c r="S305" s="300" t="s">
        <v>599</v>
      </c>
    </row>
    <row r="306" spans="1:19">
      <c r="A306" s="427" t="s">
        <v>60</v>
      </c>
      <c r="B306" s="199"/>
      <c r="C306" s="199"/>
      <c r="D306" s="199"/>
      <c r="E306" s="396">
        <v>11749</v>
      </c>
      <c r="F306" s="462">
        <v>358.12476000000004</v>
      </c>
      <c r="G306" s="156" t="s">
        <v>196</v>
      </c>
      <c r="H306" s="196"/>
      <c r="I306" s="449">
        <v>-1.5664381987825</v>
      </c>
      <c r="J306" s="451">
        <v>-1.08</v>
      </c>
      <c r="K306" s="401">
        <f t="shared" si="7"/>
        <v>18.378369233261928</v>
      </c>
      <c r="L306" s="753" t="s">
        <v>674</v>
      </c>
      <c r="M306" s="296" t="s">
        <v>85</v>
      </c>
      <c r="N306" s="459" t="s">
        <v>275</v>
      </c>
      <c r="O306" s="298" t="s">
        <v>44</v>
      </c>
      <c r="P306" s="314" t="s">
        <v>58</v>
      </c>
      <c r="Q306" s="430" t="s">
        <v>598</v>
      </c>
      <c r="R306" s="299" t="s">
        <v>81</v>
      </c>
      <c r="S306" s="300" t="s">
        <v>599</v>
      </c>
    </row>
    <row r="307" spans="1:19">
      <c r="A307" s="427" t="s">
        <v>60</v>
      </c>
      <c r="B307" s="199"/>
      <c r="C307" s="199"/>
      <c r="D307" s="199"/>
      <c r="E307" s="396">
        <v>11749</v>
      </c>
      <c r="F307" s="462">
        <v>358.12476000000004</v>
      </c>
      <c r="G307" s="156" t="s">
        <v>196</v>
      </c>
      <c r="H307" s="196"/>
      <c r="I307" s="449">
        <v>-1.2252605203658193</v>
      </c>
      <c r="J307" s="451">
        <v>-1.08</v>
      </c>
      <c r="K307" s="401">
        <f t="shared" si="7"/>
        <v>16.775907870187329</v>
      </c>
      <c r="L307" s="753" t="s">
        <v>674</v>
      </c>
      <c r="M307" s="296" t="s">
        <v>85</v>
      </c>
      <c r="N307" s="459" t="s">
        <v>275</v>
      </c>
      <c r="O307" s="298" t="s">
        <v>44</v>
      </c>
      <c r="P307" s="314" t="s">
        <v>58</v>
      </c>
      <c r="Q307" s="430" t="s">
        <v>598</v>
      </c>
      <c r="R307" s="299" t="s">
        <v>81</v>
      </c>
      <c r="S307" s="300" t="s">
        <v>599</v>
      </c>
    </row>
    <row r="308" spans="1:19">
      <c r="A308" s="427" t="s">
        <v>60</v>
      </c>
      <c r="B308" s="199"/>
      <c r="C308" s="199"/>
      <c r="D308" s="199"/>
      <c r="E308" s="391">
        <v>11755</v>
      </c>
      <c r="F308" s="462">
        <v>358.30764000000005</v>
      </c>
      <c r="G308" s="156" t="s">
        <v>196</v>
      </c>
      <c r="H308" s="196"/>
      <c r="I308" s="449">
        <v>-1.7313104915875002</v>
      </c>
      <c r="J308" s="451">
        <v>-1.08</v>
      </c>
      <c r="K308" s="401">
        <f t="shared" si="7"/>
        <v>19.160259163046675</v>
      </c>
      <c r="L308" s="753" t="s">
        <v>674</v>
      </c>
      <c r="M308" s="296" t="s">
        <v>85</v>
      </c>
      <c r="N308" s="461" t="s">
        <v>275</v>
      </c>
      <c r="O308" s="298" t="s">
        <v>44</v>
      </c>
      <c r="P308" s="314" t="s">
        <v>58</v>
      </c>
      <c r="Q308" s="430" t="s">
        <v>598</v>
      </c>
      <c r="R308" s="299" t="s">
        <v>81</v>
      </c>
      <c r="S308" s="300" t="s">
        <v>599</v>
      </c>
    </row>
    <row r="309" spans="1:19">
      <c r="A309" s="427" t="s">
        <v>60</v>
      </c>
      <c r="B309" s="199"/>
      <c r="C309" s="199"/>
      <c r="D309" s="199"/>
      <c r="E309" s="391">
        <v>11755</v>
      </c>
      <c r="F309" s="462">
        <v>358.30764000000005</v>
      </c>
      <c r="G309" s="156" t="s">
        <v>196</v>
      </c>
      <c r="H309" s="196"/>
      <c r="I309" s="449">
        <v>-1.3901505994675001</v>
      </c>
      <c r="J309" s="451">
        <v>-1.08</v>
      </c>
      <c r="K309" s="401">
        <f t="shared" si="7"/>
        <v>17.547756187020706</v>
      </c>
      <c r="L309" s="753" t="s">
        <v>674</v>
      </c>
      <c r="M309" s="296" t="s">
        <v>85</v>
      </c>
      <c r="N309" s="461" t="s">
        <v>275</v>
      </c>
      <c r="O309" s="298" t="s">
        <v>44</v>
      </c>
      <c r="P309" s="314" t="s">
        <v>58</v>
      </c>
      <c r="Q309" s="430" t="s">
        <v>598</v>
      </c>
      <c r="R309" s="299" t="s">
        <v>81</v>
      </c>
      <c r="S309" s="300" t="s">
        <v>599</v>
      </c>
    </row>
    <row r="310" spans="1:19">
      <c r="A310" s="427" t="s">
        <v>60</v>
      </c>
      <c r="B310" s="199"/>
      <c r="C310" s="199"/>
      <c r="D310" s="199"/>
      <c r="E310" s="391">
        <v>11755</v>
      </c>
      <c r="F310" s="462">
        <v>358.30764000000005</v>
      </c>
      <c r="G310" s="156" t="s">
        <v>196</v>
      </c>
      <c r="H310" s="196"/>
      <c r="I310" s="449">
        <v>-1.0810886518584999</v>
      </c>
      <c r="J310" s="451">
        <v>-1.08</v>
      </c>
      <c r="K310" s="401">
        <f t="shared" si="7"/>
        <v>16.105051451288098</v>
      </c>
      <c r="L310" s="753" t="s">
        <v>674</v>
      </c>
      <c r="M310" s="296" t="s">
        <v>85</v>
      </c>
      <c r="N310" s="461" t="s">
        <v>275</v>
      </c>
      <c r="O310" s="298" t="s">
        <v>44</v>
      </c>
      <c r="P310" s="314" t="s">
        <v>58</v>
      </c>
      <c r="Q310" s="430" t="s">
        <v>598</v>
      </c>
      <c r="R310" s="299" t="s">
        <v>81</v>
      </c>
      <c r="S310" s="300" t="s">
        <v>599</v>
      </c>
    </row>
    <row r="311" spans="1:19">
      <c r="A311" s="427" t="s">
        <v>60</v>
      </c>
      <c r="B311" s="199"/>
      <c r="C311" s="199"/>
      <c r="D311" s="199"/>
      <c r="E311" s="391">
        <v>11755</v>
      </c>
      <c r="F311" s="462">
        <v>358.30764000000005</v>
      </c>
      <c r="G311" s="156" t="s">
        <v>196</v>
      </c>
      <c r="H311" s="196"/>
      <c r="I311" s="449">
        <v>-1.1394314894124999</v>
      </c>
      <c r="J311" s="451">
        <v>-1.08</v>
      </c>
      <c r="K311" s="401">
        <f t="shared" si="7"/>
        <v>16.376080000048042</v>
      </c>
      <c r="L311" s="753" t="s">
        <v>674</v>
      </c>
      <c r="M311" s="296" t="s">
        <v>85</v>
      </c>
      <c r="N311" s="461" t="s">
        <v>275</v>
      </c>
      <c r="O311" s="298" t="s">
        <v>44</v>
      </c>
      <c r="P311" s="314" t="s">
        <v>58</v>
      </c>
      <c r="Q311" s="430" t="s">
        <v>598</v>
      </c>
      <c r="R311" s="299" t="s">
        <v>81</v>
      </c>
      <c r="S311" s="300" t="s">
        <v>599</v>
      </c>
    </row>
    <row r="312" spans="1:19">
      <c r="A312" s="427" t="s">
        <v>60</v>
      </c>
      <c r="B312" s="199"/>
      <c r="C312" s="199"/>
      <c r="D312" s="199"/>
      <c r="E312" s="391">
        <v>11755</v>
      </c>
      <c r="F312" s="462">
        <v>358.30764000000005</v>
      </c>
      <c r="G312" s="156" t="s">
        <v>196</v>
      </c>
      <c r="H312" s="196"/>
      <c r="I312" s="449">
        <v>-0.96985798772050003</v>
      </c>
      <c r="J312" s="451">
        <v>-1.08</v>
      </c>
      <c r="K312" s="401">
        <f t="shared" si="7"/>
        <v>15.590032876681329</v>
      </c>
      <c r="L312" s="753" t="s">
        <v>674</v>
      </c>
      <c r="M312" s="296" t="s">
        <v>85</v>
      </c>
      <c r="N312" s="461" t="s">
        <v>275</v>
      </c>
      <c r="O312" s="298" t="s">
        <v>44</v>
      </c>
      <c r="P312" s="314" t="s">
        <v>58</v>
      </c>
      <c r="Q312" s="430" t="s">
        <v>598</v>
      </c>
      <c r="R312" s="299" t="s">
        <v>81</v>
      </c>
      <c r="S312" s="300" t="s">
        <v>599</v>
      </c>
    </row>
    <row r="313" spans="1:19">
      <c r="A313" s="427" t="s">
        <v>60</v>
      </c>
      <c r="B313" s="199"/>
      <c r="C313" s="199"/>
      <c r="D313" s="199"/>
      <c r="E313" s="391">
        <v>11761</v>
      </c>
      <c r="F313" s="462">
        <v>358.49052000000006</v>
      </c>
      <c r="G313" s="156" t="s">
        <v>196</v>
      </c>
      <c r="H313" s="196"/>
      <c r="I313" s="449">
        <v>-2.5005185980075004</v>
      </c>
      <c r="J313" s="451">
        <v>-1.08</v>
      </c>
      <c r="K313" s="401">
        <f t="shared" si="7"/>
        <v>22.872814872610469</v>
      </c>
      <c r="L313" s="753" t="s">
        <v>674</v>
      </c>
      <c r="M313" s="296" t="s">
        <v>85</v>
      </c>
      <c r="N313" s="461" t="s">
        <v>275</v>
      </c>
      <c r="O313" s="298" t="s">
        <v>44</v>
      </c>
      <c r="P313" s="314" t="s">
        <v>58</v>
      </c>
      <c r="Q313" s="430" t="s">
        <v>598</v>
      </c>
      <c r="R313" s="299" t="s">
        <v>81</v>
      </c>
      <c r="S313" s="300" t="s">
        <v>599</v>
      </c>
    </row>
    <row r="314" spans="1:19">
      <c r="A314" s="427" t="s">
        <v>60</v>
      </c>
      <c r="B314" s="199"/>
      <c r="C314" s="199"/>
      <c r="D314" s="199"/>
      <c r="E314" s="391">
        <v>11761</v>
      </c>
      <c r="F314" s="462">
        <v>358.49052000000006</v>
      </c>
      <c r="G314" s="156" t="s">
        <v>196</v>
      </c>
      <c r="H314" s="196"/>
      <c r="I314" s="449">
        <v>-1.5380752353175002</v>
      </c>
      <c r="J314" s="451">
        <v>-1.08</v>
      </c>
      <c r="K314" s="401">
        <f t="shared" si="7"/>
        <v>18.244354054782207</v>
      </c>
      <c r="L314" s="753" t="s">
        <v>674</v>
      </c>
      <c r="M314" s="296" t="s">
        <v>85</v>
      </c>
      <c r="N314" s="461" t="s">
        <v>275</v>
      </c>
      <c r="O314" s="298" t="s">
        <v>44</v>
      </c>
      <c r="P314" s="314" t="s">
        <v>58</v>
      </c>
      <c r="Q314" s="430" t="s">
        <v>598</v>
      </c>
      <c r="R314" s="299" t="s">
        <v>81</v>
      </c>
      <c r="S314" s="300" t="s">
        <v>599</v>
      </c>
    </row>
    <row r="315" spans="1:19">
      <c r="A315" s="427" t="s">
        <v>60</v>
      </c>
      <c r="B315" s="199"/>
      <c r="C315" s="199"/>
      <c r="D315" s="199"/>
      <c r="E315" s="391">
        <v>11761</v>
      </c>
      <c r="F315" s="462">
        <v>358.49052000000006</v>
      </c>
      <c r="G315" s="156" t="s">
        <v>196</v>
      </c>
      <c r="H315" s="196"/>
      <c r="I315" s="449">
        <v>-1.9072526412475002</v>
      </c>
      <c r="J315" s="451">
        <v>-1.08</v>
      </c>
      <c r="K315" s="401">
        <f t="shared" si="7"/>
        <v>20.000043479308989</v>
      </c>
      <c r="L315" s="753" t="s">
        <v>674</v>
      </c>
      <c r="M315" s="296" t="s">
        <v>85</v>
      </c>
      <c r="N315" s="461" t="s">
        <v>275</v>
      </c>
      <c r="O315" s="298" t="s">
        <v>44</v>
      </c>
      <c r="P315" s="314" t="s">
        <v>58</v>
      </c>
      <c r="Q315" s="430" t="s">
        <v>598</v>
      </c>
      <c r="R315" s="299" t="s">
        <v>81</v>
      </c>
      <c r="S315" s="300" t="s">
        <v>599</v>
      </c>
    </row>
    <row r="316" spans="1:19">
      <c r="A316" s="427" t="s">
        <v>60</v>
      </c>
      <c r="B316" s="199"/>
      <c r="C316" s="199"/>
      <c r="D316" s="199"/>
      <c r="E316" s="391">
        <v>11766</v>
      </c>
      <c r="F316" s="462">
        <v>358.64292000000006</v>
      </c>
      <c r="G316" s="156" t="s">
        <v>196</v>
      </c>
      <c r="H316" s="196"/>
      <c r="I316" s="449">
        <v>-1.4668197990175</v>
      </c>
      <c r="J316" s="451">
        <v>-1.08</v>
      </c>
      <c r="K316" s="401">
        <f t="shared" ref="K316:K325" si="8">16.1-4.64*($I316-J316)+0.09*($I316-J316)^2</f>
        <v>17.908310527563273</v>
      </c>
      <c r="L316" s="753" t="s">
        <v>674</v>
      </c>
      <c r="M316" s="296" t="s">
        <v>85</v>
      </c>
      <c r="N316" s="461" t="s">
        <v>275</v>
      </c>
      <c r="O316" s="298" t="s">
        <v>44</v>
      </c>
      <c r="P316" s="314" t="s">
        <v>58</v>
      </c>
      <c r="Q316" s="430" t="s">
        <v>598</v>
      </c>
      <c r="R316" s="299" t="s">
        <v>81</v>
      </c>
      <c r="S316" s="300" t="s">
        <v>599</v>
      </c>
    </row>
    <row r="317" spans="1:19">
      <c r="A317" s="427" t="s">
        <v>60</v>
      </c>
      <c r="B317" s="199"/>
      <c r="C317" s="199"/>
      <c r="D317" s="199"/>
      <c r="E317" s="391">
        <v>11766</v>
      </c>
      <c r="F317" s="462">
        <v>358.64292000000006</v>
      </c>
      <c r="G317" s="156" t="s">
        <v>196</v>
      </c>
      <c r="H317" s="196"/>
      <c r="I317" s="449">
        <v>-1.4573121995575</v>
      </c>
      <c r="J317" s="451">
        <v>-1.08</v>
      </c>
      <c r="K317" s="401">
        <f t="shared" si="8"/>
        <v>17.863541410580943</v>
      </c>
      <c r="L317" s="753" t="s">
        <v>674</v>
      </c>
      <c r="M317" s="296" t="s">
        <v>85</v>
      </c>
      <c r="N317" s="461" t="s">
        <v>275</v>
      </c>
      <c r="O317" s="298" t="s">
        <v>44</v>
      </c>
      <c r="P317" s="314" t="s">
        <v>58</v>
      </c>
      <c r="Q317" s="430" t="s">
        <v>598</v>
      </c>
      <c r="R317" s="299" t="s">
        <v>81</v>
      </c>
      <c r="S317" s="300" t="s">
        <v>599</v>
      </c>
    </row>
    <row r="318" spans="1:19">
      <c r="A318" s="427" t="s">
        <v>60</v>
      </c>
      <c r="B318" s="199"/>
      <c r="C318" s="199"/>
      <c r="D318" s="199"/>
      <c r="E318" s="391">
        <v>11766</v>
      </c>
      <c r="F318" s="462">
        <v>358.64292000000006</v>
      </c>
      <c r="G318" s="156" t="s">
        <v>196</v>
      </c>
      <c r="H318" s="196"/>
      <c r="I318" s="449">
        <v>-1.1518202421145001</v>
      </c>
      <c r="J318" s="451">
        <v>-1.08</v>
      </c>
      <c r="K318" s="401">
        <f t="shared" si="8"/>
        <v>16.433710156657245</v>
      </c>
      <c r="L318" s="753" t="s">
        <v>674</v>
      </c>
      <c r="M318" s="296" t="s">
        <v>85</v>
      </c>
      <c r="N318" s="461" t="s">
        <v>275</v>
      </c>
      <c r="O318" s="298" t="s">
        <v>44</v>
      </c>
      <c r="P318" s="314" t="s">
        <v>58</v>
      </c>
      <c r="Q318" s="430" t="s">
        <v>598</v>
      </c>
      <c r="R318" s="299" t="s">
        <v>81</v>
      </c>
      <c r="S318" s="300" t="s">
        <v>599</v>
      </c>
    </row>
    <row r="319" spans="1:19">
      <c r="A319" s="427" t="s">
        <v>60</v>
      </c>
      <c r="B319" s="199"/>
      <c r="C319" s="199"/>
      <c r="D319" s="199"/>
      <c r="E319" s="391">
        <v>11766</v>
      </c>
      <c r="F319" s="462">
        <v>358.64292000000006</v>
      </c>
      <c r="G319" s="156" t="s">
        <v>196</v>
      </c>
      <c r="H319" s="196"/>
      <c r="I319" s="449">
        <v>-1.4026280347675</v>
      </c>
      <c r="J319" s="451">
        <v>-1.08</v>
      </c>
      <c r="K319" s="401">
        <f t="shared" si="8"/>
        <v>17.606362077714813</v>
      </c>
      <c r="L319" s="753" t="s">
        <v>674</v>
      </c>
      <c r="M319" s="296" t="s">
        <v>85</v>
      </c>
      <c r="N319" s="461" t="s">
        <v>275</v>
      </c>
      <c r="O319" s="298" t="s">
        <v>44</v>
      </c>
      <c r="P319" s="314" t="s">
        <v>58</v>
      </c>
      <c r="Q319" s="430" t="s">
        <v>598</v>
      </c>
      <c r="R319" s="299" t="s">
        <v>81</v>
      </c>
      <c r="S319" s="300" t="s">
        <v>599</v>
      </c>
    </row>
    <row r="320" spans="1:19">
      <c r="A320" s="427" t="s">
        <v>60</v>
      </c>
      <c r="B320" s="199"/>
      <c r="C320" s="199"/>
      <c r="D320" s="199"/>
      <c r="E320" s="391">
        <v>11772</v>
      </c>
      <c r="F320" s="462">
        <v>358.82580000000007</v>
      </c>
      <c r="G320" s="156" t="s">
        <v>196</v>
      </c>
      <c r="H320" s="196"/>
      <c r="I320" s="449">
        <v>-2.5402401523675007</v>
      </c>
      <c r="J320" s="451">
        <v>-1.08</v>
      </c>
      <c r="K320" s="401">
        <f t="shared" si="8"/>
        <v>23.067421424217965</v>
      </c>
      <c r="L320" s="753" t="s">
        <v>674</v>
      </c>
      <c r="M320" s="296" t="s">
        <v>85</v>
      </c>
      <c r="N320" s="461" t="s">
        <v>275</v>
      </c>
      <c r="O320" s="298" t="s">
        <v>44</v>
      </c>
      <c r="P320" s="314" t="s">
        <v>58</v>
      </c>
      <c r="Q320" s="430" t="s">
        <v>598</v>
      </c>
      <c r="R320" s="299" t="s">
        <v>81</v>
      </c>
      <c r="S320" s="300" t="s">
        <v>599</v>
      </c>
    </row>
    <row r="321" spans="1:19">
      <c r="A321" s="427" t="s">
        <v>60</v>
      </c>
      <c r="B321" s="199"/>
      <c r="C321" s="199"/>
      <c r="D321" s="199"/>
      <c r="E321" s="391">
        <v>11772</v>
      </c>
      <c r="F321" s="462">
        <v>358.82580000000007</v>
      </c>
      <c r="G321" s="156" t="s">
        <v>196</v>
      </c>
      <c r="H321" s="196"/>
      <c r="I321" s="449">
        <v>-2.6284388337538207</v>
      </c>
      <c r="J321" s="451">
        <v>-1.08</v>
      </c>
      <c r="K321" s="401">
        <f t="shared" si="8"/>
        <v>23.500545842586646</v>
      </c>
      <c r="L321" s="753" t="s">
        <v>674</v>
      </c>
      <c r="M321" s="296" t="s">
        <v>85</v>
      </c>
      <c r="N321" s="461" t="s">
        <v>275</v>
      </c>
      <c r="O321" s="298" t="s">
        <v>44</v>
      </c>
      <c r="P321" s="314" t="s">
        <v>58</v>
      </c>
      <c r="Q321" s="430" t="s">
        <v>598</v>
      </c>
      <c r="R321" s="299" t="s">
        <v>81</v>
      </c>
      <c r="S321" s="300" t="s">
        <v>599</v>
      </c>
    </row>
    <row r="322" spans="1:19">
      <c r="A322" s="427" t="s">
        <v>60</v>
      </c>
      <c r="B322" s="199"/>
      <c r="C322" s="199"/>
      <c r="D322" s="199"/>
      <c r="E322" s="391">
        <v>11772</v>
      </c>
      <c r="F322" s="462">
        <v>358.82580000000007</v>
      </c>
      <c r="G322" s="156" t="s">
        <v>196</v>
      </c>
      <c r="H322" s="196"/>
      <c r="I322" s="449">
        <v>-1.4282428688875</v>
      </c>
      <c r="J322" s="451">
        <v>-1.08</v>
      </c>
      <c r="K322" s="401">
        <f t="shared" si="8"/>
        <v>17.726761490253789</v>
      </c>
      <c r="L322" s="753" t="s">
        <v>674</v>
      </c>
      <c r="M322" s="296" t="s">
        <v>85</v>
      </c>
      <c r="N322" s="461" t="s">
        <v>275</v>
      </c>
      <c r="O322" s="298" t="s">
        <v>44</v>
      </c>
      <c r="P322" s="314" t="s">
        <v>58</v>
      </c>
      <c r="Q322" s="430" t="s">
        <v>598</v>
      </c>
      <c r="R322" s="299" t="s">
        <v>81</v>
      </c>
      <c r="S322" s="300" t="s">
        <v>599</v>
      </c>
    </row>
    <row r="323" spans="1:19">
      <c r="A323" s="427" t="s">
        <v>60</v>
      </c>
      <c r="B323" s="199"/>
      <c r="C323" s="199"/>
      <c r="D323" s="199"/>
      <c r="E323" s="391">
        <v>11776</v>
      </c>
      <c r="F323" s="382">
        <v>358.94772000000006</v>
      </c>
      <c r="G323" s="156" t="s">
        <v>196</v>
      </c>
      <c r="H323" s="196"/>
      <c r="I323" s="449">
        <v>-1.2098387694699999</v>
      </c>
      <c r="J323" s="451">
        <v>-1.08</v>
      </c>
      <c r="K323" s="401">
        <f t="shared" si="8"/>
        <v>16.703969119885972</v>
      </c>
      <c r="L323" s="753" t="s">
        <v>674</v>
      </c>
      <c r="M323" s="296" t="s">
        <v>85</v>
      </c>
      <c r="N323" s="459" t="s">
        <v>275</v>
      </c>
      <c r="O323" s="298" t="s">
        <v>44</v>
      </c>
      <c r="P323" s="314" t="s">
        <v>58</v>
      </c>
      <c r="Q323" s="430" t="s">
        <v>598</v>
      </c>
      <c r="R323" s="299" t="s">
        <v>81</v>
      </c>
      <c r="S323" s="300" t="s">
        <v>599</v>
      </c>
    </row>
    <row r="324" spans="1:19">
      <c r="A324" s="427" t="s">
        <v>60</v>
      </c>
      <c r="B324" s="199"/>
      <c r="C324" s="199"/>
      <c r="D324" s="199"/>
      <c r="E324" s="391">
        <v>11776</v>
      </c>
      <c r="F324" s="382">
        <v>358.94772000000006</v>
      </c>
      <c r="G324" s="156" t="s">
        <v>196</v>
      </c>
      <c r="H324" s="196"/>
      <c r="I324" s="449">
        <v>-1.1489777586100001</v>
      </c>
      <c r="J324" s="451">
        <v>-1.08</v>
      </c>
      <c r="K324" s="401">
        <f t="shared" si="8"/>
        <v>16.42048501375686</v>
      </c>
      <c r="L324" s="753" t="s">
        <v>674</v>
      </c>
      <c r="M324" s="296" t="s">
        <v>85</v>
      </c>
      <c r="N324" s="459" t="s">
        <v>275</v>
      </c>
      <c r="O324" s="298" t="s">
        <v>44</v>
      </c>
      <c r="P324" s="314" t="s">
        <v>58</v>
      </c>
      <c r="Q324" s="430" t="s">
        <v>598</v>
      </c>
      <c r="R324" s="299" t="s">
        <v>81</v>
      </c>
      <c r="S324" s="300" t="s">
        <v>599</v>
      </c>
    </row>
    <row r="325" spans="1:19">
      <c r="A325" s="431" t="s">
        <v>60</v>
      </c>
      <c r="B325" s="432"/>
      <c r="C325" s="432"/>
      <c r="D325" s="432"/>
      <c r="E325" s="393">
        <v>11776</v>
      </c>
      <c r="F325" s="385">
        <v>358.94772000000006</v>
      </c>
      <c r="G325" s="226" t="s">
        <v>196</v>
      </c>
      <c r="H325" s="226"/>
      <c r="I325" s="456">
        <v>-1.3498232192199999</v>
      </c>
      <c r="J325" s="454">
        <v>-1.08</v>
      </c>
      <c r="K325" s="786">
        <f t="shared" si="8"/>
        <v>17.358532148447523</v>
      </c>
      <c r="L325" s="754" t="s">
        <v>674</v>
      </c>
      <c r="M325" s="386" t="s">
        <v>85</v>
      </c>
      <c r="N325" s="393" t="s">
        <v>275</v>
      </c>
      <c r="O325" s="390" t="s">
        <v>44</v>
      </c>
      <c r="P325" s="388" t="s">
        <v>58</v>
      </c>
      <c r="Q325" s="436" t="s">
        <v>598</v>
      </c>
      <c r="R325" s="299" t="s">
        <v>81</v>
      </c>
      <c r="S325" s="300" t="s">
        <v>599</v>
      </c>
    </row>
    <row r="326" spans="1:19">
      <c r="A326" s="427" t="s">
        <v>60</v>
      </c>
      <c r="B326" s="199"/>
      <c r="C326" s="199"/>
      <c r="D326" s="199"/>
      <c r="E326" s="396">
        <v>11702</v>
      </c>
      <c r="F326" s="396">
        <v>356.69</v>
      </c>
      <c r="G326" s="156" t="s">
        <v>661</v>
      </c>
      <c r="H326" s="196"/>
      <c r="I326" s="449">
        <v>-2.8298239073326883</v>
      </c>
      <c r="J326" s="451">
        <v>-1.08</v>
      </c>
      <c r="K326" s="402">
        <f t="shared" ref="K326:K389" si="9">16.1-4.64*($I326-J326)+0.09*($I326-J326)^2</f>
        <v>24.494752463624248</v>
      </c>
      <c r="L326" s="438" t="s">
        <v>675</v>
      </c>
      <c r="M326" s="296" t="s">
        <v>85</v>
      </c>
      <c r="N326" s="459" t="s">
        <v>274</v>
      </c>
      <c r="O326" s="298" t="s">
        <v>35</v>
      </c>
      <c r="P326" s="314" t="s">
        <v>58</v>
      </c>
      <c r="Q326" s="430" t="s">
        <v>598</v>
      </c>
      <c r="R326" s="299" t="s">
        <v>81</v>
      </c>
      <c r="S326" s="300" t="s">
        <v>599</v>
      </c>
    </row>
    <row r="327" spans="1:19">
      <c r="A327" s="427" t="s">
        <v>60</v>
      </c>
      <c r="B327" s="199"/>
      <c r="C327" s="199"/>
      <c r="D327" s="199"/>
      <c r="E327" s="396">
        <v>11702</v>
      </c>
      <c r="F327" s="396">
        <v>356.69</v>
      </c>
      <c r="G327" s="156" t="s">
        <v>661</v>
      </c>
      <c r="H327" s="196"/>
      <c r="I327" s="449">
        <v>-2.8541268752882072</v>
      </c>
      <c r="J327" s="451">
        <v>-1.08</v>
      </c>
      <c r="K327" s="402">
        <f t="shared" si="9"/>
        <v>24.615226056603074</v>
      </c>
      <c r="L327" s="438" t="s">
        <v>675</v>
      </c>
      <c r="M327" s="296" t="s">
        <v>85</v>
      </c>
      <c r="N327" s="459" t="s">
        <v>274</v>
      </c>
      <c r="O327" s="298" t="s">
        <v>35</v>
      </c>
      <c r="P327" s="314" t="s">
        <v>58</v>
      </c>
      <c r="Q327" s="430" t="s">
        <v>598</v>
      </c>
      <c r="R327" s="299" t="s">
        <v>81</v>
      </c>
      <c r="S327" s="300" t="s">
        <v>599</v>
      </c>
    </row>
    <row r="328" spans="1:19">
      <c r="A328" s="427" t="s">
        <v>60</v>
      </c>
      <c r="B328" s="199"/>
      <c r="C328" s="199"/>
      <c r="D328" s="199"/>
      <c r="E328" s="460">
        <v>11706</v>
      </c>
      <c r="F328" s="460">
        <v>356.84</v>
      </c>
      <c r="G328" s="156" t="s">
        <v>661</v>
      </c>
      <c r="H328" s="196"/>
      <c r="I328" s="449">
        <v>-3.0698522539481852</v>
      </c>
      <c r="J328" s="451">
        <v>-1.08</v>
      </c>
      <c r="K328" s="402">
        <f t="shared" si="9"/>
        <v>25.689270537648419</v>
      </c>
      <c r="L328" s="438" t="s">
        <v>675</v>
      </c>
      <c r="M328" s="296" t="s">
        <v>85</v>
      </c>
      <c r="N328" s="459" t="s">
        <v>274</v>
      </c>
      <c r="O328" s="298" t="s">
        <v>35</v>
      </c>
      <c r="P328" s="314" t="s">
        <v>58</v>
      </c>
      <c r="Q328" s="430" t="s">
        <v>598</v>
      </c>
      <c r="R328" s="299" t="s">
        <v>81</v>
      </c>
      <c r="S328" s="300" t="s">
        <v>599</v>
      </c>
    </row>
    <row r="329" spans="1:19">
      <c r="A329" s="427" t="s">
        <v>60</v>
      </c>
      <c r="B329" s="199"/>
      <c r="C329" s="199"/>
      <c r="D329" s="199"/>
      <c r="E329" s="460">
        <v>11706</v>
      </c>
      <c r="F329" s="460">
        <v>356.84</v>
      </c>
      <c r="G329" s="156" t="s">
        <v>661</v>
      </c>
      <c r="H329" s="196"/>
      <c r="I329" s="449">
        <v>-3.8743460961175007</v>
      </c>
      <c r="J329" s="451">
        <v>-1.08</v>
      </c>
      <c r="K329" s="402">
        <f t="shared" si="9"/>
        <v>29.768519195425043</v>
      </c>
      <c r="L329" s="438" t="s">
        <v>675</v>
      </c>
      <c r="M329" s="296" t="s">
        <v>85</v>
      </c>
      <c r="N329" s="459" t="s">
        <v>274</v>
      </c>
      <c r="O329" s="298" t="s">
        <v>35</v>
      </c>
      <c r="P329" s="314" t="s">
        <v>58</v>
      </c>
      <c r="Q329" s="430" t="s">
        <v>598</v>
      </c>
      <c r="R329" s="299" t="s">
        <v>81</v>
      </c>
      <c r="S329" s="300" t="s">
        <v>599</v>
      </c>
    </row>
    <row r="330" spans="1:19">
      <c r="A330" s="427" t="s">
        <v>60</v>
      </c>
      <c r="B330" s="199"/>
      <c r="C330" s="199"/>
      <c r="D330" s="199"/>
      <c r="E330" s="460">
        <v>11706</v>
      </c>
      <c r="F330" s="460">
        <v>356.84</v>
      </c>
      <c r="G330" s="156" t="s">
        <v>661</v>
      </c>
      <c r="H330" s="196"/>
      <c r="I330" s="449">
        <v>-3.2233405690471093</v>
      </c>
      <c r="J330" s="451">
        <v>-1.08</v>
      </c>
      <c r="K330" s="402">
        <f t="shared" si="9"/>
        <v>26.458552031921673</v>
      </c>
      <c r="L330" s="438" t="s">
        <v>675</v>
      </c>
      <c r="M330" s="296" t="s">
        <v>85</v>
      </c>
      <c r="N330" s="459" t="s">
        <v>274</v>
      </c>
      <c r="O330" s="298" t="s">
        <v>35</v>
      </c>
      <c r="P330" s="314" t="s">
        <v>58</v>
      </c>
      <c r="Q330" s="430" t="s">
        <v>598</v>
      </c>
      <c r="R330" s="299" t="s">
        <v>81</v>
      </c>
      <c r="S330" s="300" t="s">
        <v>599</v>
      </c>
    </row>
    <row r="331" spans="1:19">
      <c r="A331" s="427" t="s">
        <v>60</v>
      </c>
      <c r="B331" s="199"/>
      <c r="C331" s="199"/>
      <c r="D331" s="199"/>
      <c r="E331" s="396">
        <v>11710</v>
      </c>
      <c r="F331" s="396">
        <v>356.97</v>
      </c>
      <c r="G331" s="156" t="s">
        <v>661</v>
      </c>
      <c r="H331" s="196"/>
      <c r="I331" s="449">
        <v>-3.1123047810475009</v>
      </c>
      <c r="J331" s="451">
        <v>-1.08</v>
      </c>
      <c r="K331" s="402">
        <f t="shared" si="9"/>
        <v>25.901617829136569</v>
      </c>
      <c r="L331" s="438" t="s">
        <v>675</v>
      </c>
      <c r="M331" s="296" t="s">
        <v>85</v>
      </c>
      <c r="N331" s="459" t="s">
        <v>274</v>
      </c>
      <c r="O331" s="298" t="s">
        <v>35</v>
      </c>
      <c r="P331" s="314" t="s">
        <v>58</v>
      </c>
      <c r="Q331" s="430" t="s">
        <v>598</v>
      </c>
      <c r="R331" s="299" t="s">
        <v>81</v>
      </c>
      <c r="S331" s="300" t="s">
        <v>599</v>
      </c>
    </row>
    <row r="332" spans="1:19">
      <c r="A332" s="427" t="s">
        <v>60</v>
      </c>
      <c r="B332" s="199"/>
      <c r="C332" s="199"/>
      <c r="D332" s="199"/>
      <c r="E332" s="396">
        <v>11710</v>
      </c>
      <c r="F332" s="396">
        <v>356.97</v>
      </c>
      <c r="G332" s="156" t="s">
        <v>661</v>
      </c>
      <c r="H332" s="196"/>
      <c r="I332" s="449">
        <v>-3.1227464504847768</v>
      </c>
      <c r="J332" s="451">
        <v>-1.08</v>
      </c>
      <c r="K332" s="402">
        <f t="shared" si="9"/>
        <v>25.953896705736497</v>
      </c>
      <c r="L332" s="438" t="s">
        <v>675</v>
      </c>
      <c r="M332" s="296" t="s">
        <v>85</v>
      </c>
      <c r="N332" s="459" t="s">
        <v>274</v>
      </c>
      <c r="O332" s="298" t="s">
        <v>35</v>
      </c>
      <c r="P332" s="314" t="s">
        <v>58</v>
      </c>
      <c r="Q332" s="430" t="s">
        <v>598</v>
      </c>
      <c r="R332" s="299" t="s">
        <v>81</v>
      </c>
      <c r="S332" s="300" t="s">
        <v>599</v>
      </c>
    </row>
    <row r="333" spans="1:19">
      <c r="A333" s="427" t="s">
        <v>60</v>
      </c>
      <c r="B333" s="199"/>
      <c r="C333" s="199"/>
      <c r="D333" s="199"/>
      <c r="E333" s="396">
        <v>11713</v>
      </c>
      <c r="F333" s="396">
        <v>357.03</v>
      </c>
      <c r="G333" s="156" t="s">
        <v>663</v>
      </c>
      <c r="H333" s="196"/>
      <c r="I333" s="449">
        <v>-3.7267597990078878</v>
      </c>
      <c r="J333" s="451">
        <v>-1.08</v>
      </c>
      <c r="K333" s="401">
        <f t="shared" si="9"/>
        <v>29.011445836424585</v>
      </c>
      <c r="L333" s="438" t="s">
        <v>675</v>
      </c>
      <c r="M333" s="296" t="s">
        <v>85</v>
      </c>
      <c r="N333" s="459" t="s">
        <v>274</v>
      </c>
      <c r="O333" s="298" t="s">
        <v>35</v>
      </c>
      <c r="P333" s="314" t="s">
        <v>58</v>
      </c>
      <c r="Q333" s="430" t="s">
        <v>598</v>
      </c>
      <c r="R333" s="299" t="s">
        <v>81</v>
      </c>
      <c r="S333" s="300" t="s">
        <v>599</v>
      </c>
    </row>
    <row r="334" spans="1:19">
      <c r="A334" s="427" t="s">
        <v>60</v>
      </c>
      <c r="B334" s="199"/>
      <c r="C334" s="199"/>
      <c r="D334" s="199"/>
      <c r="E334" s="396">
        <v>11713</v>
      </c>
      <c r="F334" s="396">
        <v>357.03</v>
      </c>
      <c r="G334" s="156" t="s">
        <v>663</v>
      </c>
      <c r="H334" s="196"/>
      <c r="I334" s="449">
        <v>-3.179156449042476</v>
      </c>
      <c r="J334" s="451">
        <v>-1.08</v>
      </c>
      <c r="K334" s="401">
        <f t="shared" si="9"/>
        <v>26.236667125337185</v>
      </c>
      <c r="L334" s="438" t="s">
        <v>675</v>
      </c>
      <c r="M334" s="296" t="s">
        <v>85</v>
      </c>
      <c r="N334" s="459" t="s">
        <v>274</v>
      </c>
      <c r="O334" s="298" t="s">
        <v>35</v>
      </c>
      <c r="P334" s="314" t="s">
        <v>58</v>
      </c>
      <c r="Q334" s="430" t="s">
        <v>598</v>
      </c>
      <c r="R334" s="299" t="s">
        <v>81</v>
      </c>
      <c r="S334" s="300" t="s">
        <v>599</v>
      </c>
    </row>
    <row r="335" spans="1:19">
      <c r="A335" s="427" t="s">
        <v>60</v>
      </c>
      <c r="B335" s="199"/>
      <c r="C335" s="199"/>
      <c r="D335" s="199"/>
      <c r="E335" s="396">
        <v>11713</v>
      </c>
      <c r="F335" s="396">
        <v>357.03</v>
      </c>
      <c r="G335" s="156" t="s">
        <v>663</v>
      </c>
      <c r="H335" s="196"/>
      <c r="I335" s="449">
        <v>-3.7373980705964271</v>
      </c>
      <c r="J335" s="451">
        <v>-1.08</v>
      </c>
      <c r="K335" s="401">
        <f t="shared" si="9"/>
        <v>29.065885853072288</v>
      </c>
      <c r="L335" s="438" t="s">
        <v>675</v>
      </c>
      <c r="M335" s="296" t="s">
        <v>85</v>
      </c>
      <c r="N335" s="459" t="s">
        <v>274</v>
      </c>
      <c r="O335" s="298" t="s">
        <v>35</v>
      </c>
      <c r="P335" s="314" t="s">
        <v>58</v>
      </c>
      <c r="Q335" s="430" t="s">
        <v>598</v>
      </c>
      <c r="R335" s="299" t="s">
        <v>81</v>
      </c>
      <c r="S335" s="300" t="s">
        <v>599</v>
      </c>
    </row>
    <row r="336" spans="1:19">
      <c r="A336" s="427" t="s">
        <v>60</v>
      </c>
      <c r="B336" s="199"/>
      <c r="C336" s="199"/>
      <c r="D336" s="199"/>
      <c r="E336" s="396">
        <v>11716</v>
      </c>
      <c r="F336" s="396">
        <v>357.12</v>
      </c>
      <c r="G336" s="156" t="s">
        <v>32</v>
      </c>
      <c r="H336" s="196"/>
      <c r="I336" s="449">
        <v>-1.9906446752256151</v>
      </c>
      <c r="J336" s="451">
        <v>-1.08</v>
      </c>
      <c r="K336" s="401">
        <f t="shared" si="9"/>
        <v>20.400025928253363</v>
      </c>
      <c r="L336" s="438" t="s">
        <v>675</v>
      </c>
      <c r="M336" s="296" t="s">
        <v>85</v>
      </c>
      <c r="N336" s="459" t="s">
        <v>274</v>
      </c>
      <c r="O336" s="298" t="s">
        <v>35</v>
      </c>
      <c r="P336" s="314" t="s">
        <v>58</v>
      </c>
      <c r="Q336" s="430" t="s">
        <v>598</v>
      </c>
      <c r="R336" s="299" t="s">
        <v>81</v>
      </c>
      <c r="S336" s="300" t="s">
        <v>599</v>
      </c>
    </row>
    <row r="337" spans="1:19">
      <c r="A337" s="427" t="s">
        <v>60</v>
      </c>
      <c r="B337" s="199"/>
      <c r="C337" s="199"/>
      <c r="D337" s="199"/>
      <c r="E337" s="396">
        <v>11716</v>
      </c>
      <c r="F337" s="396">
        <v>357.12</v>
      </c>
      <c r="G337" s="156" t="s">
        <v>32</v>
      </c>
      <c r="H337" s="196"/>
      <c r="I337" s="449">
        <v>-2.4705566530942993</v>
      </c>
      <c r="J337" s="451">
        <v>-1.08</v>
      </c>
      <c r="K337" s="401">
        <f t="shared" si="9"/>
        <v>22.726211172849382</v>
      </c>
      <c r="L337" s="438" t="s">
        <v>675</v>
      </c>
      <c r="M337" s="296" t="s">
        <v>85</v>
      </c>
      <c r="N337" s="459" t="s">
        <v>274</v>
      </c>
      <c r="O337" s="298" t="s">
        <v>35</v>
      </c>
      <c r="P337" s="314" t="s">
        <v>58</v>
      </c>
      <c r="Q337" s="430" t="s">
        <v>598</v>
      </c>
      <c r="R337" s="299" t="s">
        <v>81</v>
      </c>
      <c r="S337" s="300" t="s">
        <v>599</v>
      </c>
    </row>
    <row r="338" spans="1:19">
      <c r="A338" s="427" t="s">
        <v>60</v>
      </c>
      <c r="B338" s="199"/>
      <c r="C338" s="199"/>
      <c r="D338" s="199"/>
      <c r="E338" s="396">
        <v>11716</v>
      </c>
      <c r="F338" s="396">
        <v>357.12</v>
      </c>
      <c r="G338" s="156" t="s">
        <v>32</v>
      </c>
      <c r="H338" s="196"/>
      <c r="I338" s="449">
        <v>-2.5940353619879901</v>
      </c>
      <c r="J338" s="451">
        <v>-1.08</v>
      </c>
      <c r="K338" s="401">
        <f t="shared" si="9"/>
        <v>23.331431356585785</v>
      </c>
      <c r="L338" s="438" t="s">
        <v>675</v>
      </c>
      <c r="M338" s="296" t="s">
        <v>85</v>
      </c>
      <c r="N338" s="459" t="s">
        <v>274</v>
      </c>
      <c r="O338" s="298" t="s">
        <v>35</v>
      </c>
      <c r="P338" s="314" t="s">
        <v>58</v>
      </c>
      <c r="Q338" s="430" t="s">
        <v>598</v>
      </c>
      <c r="R338" s="299" t="s">
        <v>81</v>
      </c>
      <c r="S338" s="300" t="s">
        <v>599</v>
      </c>
    </row>
    <row r="339" spans="1:19">
      <c r="A339" s="427" t="s">
        <v>60</v>
      </c>
      <c r="B339" s="199"/>
      <c r="C339" s="199"/>
      <c r="D339" s="199"/>
      <c r="E339" s="396">
        <v>11716</v>
      </c>
      <c r="F339" s="396">
        <v>357.12</v>
      </c>
      <c r="G339" s="156" t="s">
        <v>32</v>
      </c>
      <c r="H339" s="196"/>
      <c r="I339" s="449">
        <v>-2.0577856361743638</v>
      </c>
      <c r="J339" s="451">
        <v>-1.08</v>
      </c>
      <c r="K339" s="401">
        <f t="shared" si="9"/>
        <v>20.722971179376852</v>
      </c>
      <c r="L339" s="438" t="s">
        <v>675</v>
      </c>
      <c r="M339" s="296" t="s">
        <v>85</v>
      </c>
      <c r="N339" s="459" t="s">
        <v>274</v>
      </c>
      <c r="O339" s="298" t="s">
        <v>35</v>
      </c>
      <c r="P339" s="314" t="s">
        <v>58</v>
      </c>
      <c r="Q339" s="430" t="s">
        <v>598</v>
      </c>
      <c r="R339" s="299" t="s">
        <v>81</v>
      </c>
      <c r="S339" s="300" t="s">
        <v>599</v>
      </c>
    </row>
    <row r="340" spans="1:19">
      <c r="A340" s="427" t="s">
        <v>60</v>
      </c>
      <c r="B340" s="199"/>
      <c r="C340" s="199"/>
      <c r="D340" s="199"/>
      <c r="E340" s="396">
        <v>11719</v>
      </c>
      <c r="F340" s="396">
        <v>357.21</v>
      </c>
      <c r="G340" s="156" t="s">
        <v>32</v>
      </c>
      <c r="H340" s="196"/>
      <c r="I340" s="449">
        <v>-2.0802998187660999</v>
      </c>
      <c r="J340" s="451">
        <v>-1.08</v>
      </c>
      <c r="K340" s="401">
        <f t="shared" si="9"/>
        <v>20.831445134542818</v>
      </c>
      <c r="L340" s="438" t="s">
        <v>675</v>
      </c>
      <c r="M340" s="296" t="s">
        <v>85</v>
      </c>
      <c r="N340" s="459" t="s">
        <v>274</v>
      </c>
      <c r="O340" s="298" t="s">
        <v>35</v>
      </c>
      <c r="P340" s="314" t="s">
        <v>58</v>
      </c>
      <c r="Q340" s="430" t="s">
        <v>598</v>
      </c>
      <c r="R340" s="299" t="s">
        <v>81</v>
      </c>
      <c r="S340" s="300" t="s">
        <v>599</v>
      </c>
    </row>
    <row r="341" spans="1:19">
      <c r="A341" s="427" t="s">
        <v>60</v>
      </c>
      <c r="B341" s="199"/>
      <c r="C341" s="199"/>
      <c r="D341" s="199"/>
      <c r="E341" s="396">
        <v>11719</v>
      </c>
      <c r="F341" s="396">
        <v>357.21</v>
      </c>
      <c r="G341" s="156" t="s">
        <v>32</v>
      </c>
      <c r="H341" s="196"/>
      <c r="I341" s="449">
        <v>-2.9299819394232847</v>
      </c>
      <c r="J341" s="451">
        <v>-1.08</v>
      </c>
      <c r="K341" s="401">
        <f t="shared" si="9"/>
        <v>24.991935184781351</v>
      </c>
      <c r="L341" s="438" t="s">
        <v>675</v>
      </c>
      <c r="M341" s="296" t="s">
        <v>85</v>
      </c>
      <c r="N341" s="459" t="s">
        <v>274</v>
      </c>
      <c r="O341" s="298" t="s">
        <v>35</v>
      </c>
      <c r="P341" s="314" t="s">
        <v>58</v>
      </c>
      <c r="Q341" s="430" t="s">
        <v>598</v>
      </c>
      <c r="R341" s="299" t="s">
        <v>81</v>
      </c>
      <c r="S341" s="300" t="s">
        <v>599</v>
      </c>
    </row>
    <row r="342" spans="1:19">
      <c r="A342" s="427" t="s">
        <v>60</v>
      </c>
      <c r="B342" s="199"/>
      <c r="C342" s="199"/>
      <c r="D342" s="199"/>
      <c r="E342" s="396">
        <v>11719</v>
      </c>
      <c r="F342" s="396">
        <v>357.21</v>
      </c>
      <c r="G342" s="156" t="s">
        <v>32</v>
      </c>
      <c r="H342" s="196"/>
      <c r="I342" s="449">
        <v>-3.2949635020068317</v>
      </c>
      <c r="J342" s="451">
        <v>-1.08</v>
      </c>
      <c r="K342" s="401">
        <f t="shared" si="9"/>
        <v>26.818976347681712</v>
      </c>
      <c r="L342" s="438" t="s">
        <v>675</v>
      </c>
      <c r="M342" s="296" t="s">
        <v>85</v>
      </c>
      <c r="N342" s="459" t="s">
        <v>274</v>
      </c>
      <c r="O342" s="298" t="s">
        <v>35</v>
      </c>
      <c r="P342" s="314" t="s">
        <v>58</v>
      </c>
      <c r="Q342" s="430" t="s">
        <v>598</v>
      </c>
      <c r="R342" s="299" t="s">
        <v>81</v>
      </c>
      <c r="S342" s="300" t="s">
        <v>599</v>
      </c>
    </row>
    <row r="343" spans="1:19">
      <c r="A343" s="427" t="s">
        <v>60</v>
      </c>
      <c r="B343" s="199"/>
      <c r="C343" s="199"/>
      <c r="D343" s="199"/>
      <c r="E343" s="396">
        <v>11725</v>
      </c>
      <c r="F343" s="396">
        <v>357.39</v>
      </c>
      <c r="G343" s="156" t="s">
        <v>32</v>
      </c>
      <c r="H343" s="196"/>
      <c r="I343" s="449">
        <v>-3.4130052886428199</v>
      </c>
      <c r="J343" s="451">
        <v>-1.08</v>
      </c>
      <c r="K343" s="401">
        <f t="shared" si="9"/>
        <v>27.415006770217868</v>
      </c>
      <c r="L343" s="438" t="s">
        <v>675</v>
      </c>
      <c r="M343" s="296" t="s">
        <v>85</v>
      </c>
      <c r="N343" s="459" t="s">
        <v>274</v>
      </c>
      <c r="O343" s="298" t="s">
        <v>35</v>
      </c>
      <c r="P343" s="314" t="s">
        <v>58</v>
      </c>
      <c r="Q343" s="430" t="s">
        <v>598</v>
      </c>
      <c r="R343" s="299" t="s">
        <v>81</v>
      </c>
      <c r="S343" s="300" t="s">
        <v>599</v>
      </c>
    </row>
    <row r="344" spans="1:19">
      <c r="A344" s="427" t="s">
        <v>60</v>
      </c>
      <c r="B344" s="199"/>
      <c r="C344" s="199"/>
      <c r="D344" s="199"/>
      <c r="E344" s="396">
        <v>11725</v>
      </c>
      <c r="F344" s="396">
        <v>357.39</v>
      </c>
      <c r="G344" s="156" t="s">
        <v>32</v>
      </c>
      <c r="H344" s="196"/>
      <c r="I344" s="449">
        <v>-3.3262482520811982</v>
      </c>
      <c r="J344" s="451">
        <v>-1.08</v>
      </c>
      <c r="K344" s="401">
        <f t="shared" si="9"/>
        <v>26.976698698554763</v>
      </c>
      <c r="L344" s="438" t="s">
        <v>675</v>
      </c>
      <c r="M344" s="296" t="s">
        <v>85</v>
      </c>
      <c r="N344" s="459" t="s">
        <v>274</v>
      </c>
      <c r="O344" s="298" t="s">
        <v>35</v>
      </c>
      <c r="P344" s="314" t="s">
        <v>58</v>
      </c>
      <c r="Q344" s="430" t="s">
        <v>598</v>
      </c>
      <c r="R344" s="299" t="s">
        <v>81</v>
      </c>
      <c r="S344" s="300" t="s">
        <v>599</v>
      </c>
    </row>
    <row r="345" spans="1:19">
      <c r="A345" s="427" t="s">
        <v>60</v>
      </c>
      <c r="B345" s="199"/>
      <c r="C345" s="199"/>
      <c r="D345" s="199"/>
      <c r="E345" s="396">
        <v>11725</v>
      </c>
      <c r="F345" s="396">
        <v>357.39</v>
      </c>
      <c r="G345" s="156" t="s">
        <v>32</v>
      </c>
      <c r="H345" s="196"/>
      <c r="I345" s="449">
        <v>-2.0885468245008485</v>
      </c>
      <c r="J345" s="451">
        <v>-1.08</v>
      </c>
      <c r="K345" s="401">
        <f t="shared" si="9"/>
        <v>20.871202268432903</v>
      </c>
      <c r="L345" s="438" t="s">
        <v>675</v>
      </c>
      <c r="M345" s="296" t="s">
        <v>85</v>
      </c>
      <c r="N345" s="459" t="s">
        <v>274</v>
      </c>
      <c r="O345" s="298" t="s">
        <v>35</v>
      </c>
      <c r="P345" s="314" t="s">
        <v>58</v>
      </c>
      <c r="Q345" s="430" t="s">
        <v>598</v>
      </c>
      <c r="R345" s="299" t="s">
        <v>81</v>
      </c>
      <c r="S345" s="300" t="s">
        <v>599</v>
      </c>
    </row>
    <row r="346" spans="1:19">
      <c r="A346" s="427" t="s">
        <v>60</v>
      </c>
      <c r="B346" s="199"/>
      <c r="C346" s="199"/>
      <c r="D346" s="199"/>
      <c r="E346" s="396">
        <v>11725</v>
      </c>
      <c r="F346" s="396">
        <v>357.39</v>
      </c>
      <c r="G346" s="156" t="s">
        <v>32</v>
      </c>
      <c r="H346" s="196"/>
      <c r="I346" s="449">
        <v>-1.8368261015537128</v>
      </c>
      <c r="J346" s="451">
        <v>-1.08</v>
      </c>
      <c r="K346" s="401">
        <f t="shared" si="9"/>
        <v>19.663223828528597</v>
      </c>
      <c r="L346" s="438" t="s">
        <v>675</v>
      </c>
      <c r="M346" s="296" t="s">
        <v>85</v>
      </c>
      <c r="N346" s="459" t="s">
        <v>37</v>
      </c>
      <c r="O346" s="298" t="s">
        <v>35</v>
      </c>
      <c r="P346" s="314" t="s">
        <v>58</v>
      </c>
      <c r="Q346" s="430" t="s">
        <v>598</v>
      </c>
      <c r="R346" s="299" t="s">
        <v>81</v>
      </c>
      <c r="S346" s="300" t="s">
        <v>599</v>
      </c>
    </row>
    <row r="347" spans="1:19">
      <c r="A347" s="427" t="s">
        <v>60</v>
      </c>
      <c r="B347" s="199"/>
      <c r="C347" s="199"/>
      <c r="D347" s="199"/>
      <c r="E347" s="396">
        <v>117280</v>
      </c>
      <c r="F347" s="462">
        <v>357.4923</v>
      </c>
      <c r="G347" s="156" t="s">
        <v>32</v>
      </c>
      <c r="H347" s="196"/>
      <c r="I347" s="449">
        <v>-1.5850526838192704</v>
      </c>
      <c r="J347" s="451">
        <v>-1.08</v>
      </c>
      <c r="K347" s="401">
        <f t="shared" si="9"/>
        <v>18.466401492130391</v>
      </c>
      <c r="L347" s="438" t="s">
        <v>675</v>
      </c>
      <c r="M347" s="296" t="s">
        <v>85</v>
      </c>
      <c r="N347" s="459" t="s">
        <v>274</v>
      </c>
      <c r="O347" s="298" t="s">
        <v>35</v>
      </c>
      <c r="P347" s="314" t="s">
        <v>58</v>
      </c>
      <c r="Q347" s="430" t="s">
        <v>598</v>
      </c>
      <c r="R347" s="299" t="s">
        <v>81</v>
      </c>
      <c r="S347" s="300" t="s">
        <v>599</v>
      </c>
    </row>
    <row r="348" spans="1:19">
      <c r="A348" s="427" t="s">
        <v>60</v>
      </c>
      <c r="B348" s="199"/>
      <c r="C348" s="199"/>
      <c r="D348" s="199"/>
      <c r="E348" s="396">
        <v>117280</v>
      </c>
      <c r="F348" s="462">
        <v>357.4923</v>
      </c>
      <c r="G348" s="156" t="s">
        <v>32</v>
      </c>
      <c r="H348" s="196"/>
      <c r="I348" s="449">
        <v>-1.5845331284989037</v>
      </c>
      <c r="J348" s="451">
        <v>-1.08</v>
      </c>
      <c r="K348" s="401">
        <f t="shared" si="9"/>
        <v>18.463943547232674</v>
      </c>
      <c r="L348" s="438" t="s">
        <v>675</v>
      </c>
      <c r="M348" s="296" t="s">
        <v>85</v>
      </c>
      <c r="N348" s="459" t="s">
        <v>274</v>
      </c>
      <c r="O348" s="298" t="s">
        <v>35</v>
      </c>
      <c r="P348" s="314" t="s">
        <v>58</v>
      </c>
      <c r="Q348" s="430" t="s">
        <v>598</v>
      </c>
      <c r="R348" s="299" t="s">
        <v>81</v>
      </c>
      <c r="S348" s="300" t="s">
        <v>599</v>
      </c>
    </row>
    <row r="349" spans="1:19">
      <c r="A349" s="427" t="s">
        <v>60</v>
      </c>
      <c r="B349" s="199"/>
      <c r="C349" s="199"/>
      <c r="D349" s="199"/>
      <c r="E349" s="396">
        <v>11731</v>
      </c>
      <c r="F349" s="462">
        <v>357.57612000000006</v>
      </c>
      <c r="G349" s="156" t="s">
        <v>32</v>
      </c>
      <c r="H349" s="196"/>
      <c r="I349" s="449">
        <v>-1.7872965375400005</v>
      </c>
      <c r="J349" s="451">
        <v>-1.08</v>
      </c>
      <c r="K349" s="401">
        <f t="shared" si="9"/>
        <v>19.426880089467048</v>
      </c>
      <c r="L349" s="438" t="s">
        <v>675</v>
      </c>
      <c r="M349" s="296" t="s">
        <v>85</v>
      </c>
      <c r="N349" s="459" t="s">
        <v>37</v>
      </c>
      <c r="O349" s="298" t="s">
        <v>35</v>
      </c>
      <c r="P349" s="314" t="s">
        <v>58</v>
      </c>
      <c r="Q349" s="430" t="s">
        <v>598</v>
      </c>
      <c r="R349" s="299" t="s">
        <v>81</v>
      </c>
      <c r="S349" s="300" t="s">
        <v>599</v>
      </c>
    </row>
    <row r="350" spans="1:19">
      <c r="A350" s="427" t="s">
        <v>60</v>
      </c>
      <c r="B350" s="199"/>
      <c r="C350" s="199"/>
      <c r="D350" s="199"/>
      <c r="E350" s="396">
        <v>11731</v>
      </c>
      <c r="F350" s="462">
        <v>357.57612000000006</v>
      </c>
      <c r="G350" s="156" t="s">
        <v>32</v>
      </c>
      <c r="H350" s="196"/>
      <c r="I350" s="449">
        <v>-1.5575083680865516</v>
      </c>
      <c r="J350" s="451">
        <v>-1.08</v>
      </c>
      <c r="K350" s="401">
        <f t="shared" si="9"/>
        <v>18.336160109664942</v>
      </c>
      <c r="L350" s="438" t="s">
        <v>675</v>
      </c>
      <c r="M350" s="296" t="s">
        <v>85</v>
      </c>
      <c r="N350" s="459" t="s">
        <v>600</v>
      </c>
      <c r="O350" s="298" t="s">
        <v>35</v>
      </c>
      <c r="P350" s="314" t="s">
        <v>58</v>
      </c>
      <c r="Q350" s="430" t="s">
        <v>598</v>
      </c>
      <c r="R350" s="299" t="s">
        <v>81</v>
      </c>
      <c r="S350" s="300" t="s">
        <v>599</v>
      </c>
    </row>
    <row r="351" spans="1:19">
      <c r="A351" s="427" t="s">
        <v>60</v>
      </c>
      <c r="B351" s="199"/>
      <c r="C351" s="199"/>
      <c r="D351" s="199"/>
      <c r="E351" s="396">
        <v>11731</v>
      </c>
      <c r="F351" s="462">
        <v>357.57612000000006</v>
      </c>
      <c r="G351" s="156" t="s">
        <v>32</v>
      </c>
      <c r="H351" s="196"/>
      <c r="I351" s="449">
        <v>-2.8208030681201421</v>
      </c>
      <c r="J351" s="451">
        <v>-1.08</v>
      </c>
      <c r="K351" s="401">
        <f t="shared" si="9"/>
        <v>24.450061815055346</v>
      </c>
      <c r="L351" s="438" t="s">
        <v>675</v>
      </c>
      <c r="M351" s="296" t="s">
        <v>85</v>
      </c>
      <c r="N351" s="459" t="s">
        <v>37</v>
      </c>
      <c r="O351" s="298" t="s">
        <v>35</v>
      </c>
      <c r="P351" s="314" t="s">
        <v>58</v>
      </c>
      <c r="Q351" s="430" t="s">
        <v>598</v>
      </c>
      <c r="R351" s="299" t="s">
        <v>81</v>
      </c>
      <c r="S351" s="300" t="s">
        <v>599</v>
      </c>
    </row>
    <row r="352" spans="1:19">
      <c r="A352" s="427" t="s">
        <v>60</v>
      </c>
      <c r="B352" s="199"/>
      <c r="C352" s="199"/>
      <c r="D352" s="199"/>
      <c r="E352" s="396">
        <v>11734</v>
      </c>
      <c r="F352" s="462">
        <v>357.66756000000004</v>
      </c>
      <c r="G352" s="156" t="s">
        <v>196</v>
      </c>
      <c r="H352" s="196"/>
      <c r="I352" s="449">
        <v>-3.0063966673687608</v>
      </c>
      <c r="J352" s="451">
        <v>-1.08</v>
      </c>
      <c r="K352" s="787">
        <f t="shared" si="9"/>
        <v>25.372470907395506</v>
      </c>
      <c r="L352" s="438" t="s">
        <v>675</v>
      </c>
      <c r="M352" s="296" t="s">
        <v>85</v>
      </c>
      <c r="N352" s="459" t="s">
        <v>274</v>
      </c>
      <c r="O352" s="298" t="s">
        <v>35</v>
      </c>
      <c r="P352" s="314" t="s">
        <v>58</v>
      </c>
      <c r="Q352" s="430" t="s">
        <v>598</v>
      </c>
      <c r="R352" s="299" t="s">
        <v>81</v>
      </c>
      <c r="S352" s="300" t="s">
        <v>599</v>
      </c>
    </row>
    <row r="353" spans="1:19">
      <c r="A353" s="427" t="s">
        <v>60</v>
      </c>
      <c r="B353" s="199"/>
      <c r="C353" s="199"/>
      <c r="D353" s="199"/>
      <c r="E353" s="396">
        <v>11734</v>
      </c>
      <c r="F353" s="462">
        <v>357.66756000000004</v>
      </c>
      <c r="G353" s="156" t="s">
        <v>196</v>
      </c>
      <c r="H353" s="196"/>
      <c r="I353" s="449">
        <v>-2.9668196832953759</v>
      </c>
      <c r="J353" s="451">
        <v>-1.08</v>
      </c>
      <c r="K353" s="787">
        <f t="shared" si="9"/>
        <v>25.175251297044923</v>
      </c>
      <c r="L353" s="438" t="s">
        <v>675</v>
      </c>
      <c r="M353" s="296" t="s">
        <v>85</v>
      </c>
      <c r="N353" s="459" t="s">
        <v>274</v>
      </c>
      <c r="O353" s="298" t="s">
        <v>35</v>
      </c>
      <c r="P353" s="314" t="s">
        <v>58</v>
      </c>
      <c r="Q353" s="430" t="s">
        <v>598</v>
      </c>
      <c r="R353" s="299" t="s">
        <v>81</v>
      </c>
      <c r="S353" s="300" t="s">
        <v>599</v>
      </c>
    </row>
    <row r="354" spans="1:19">
      <c r="A354" s="427" t="s">
        <v>60</v>
      </c>
      <c r="B354" s="199"/>
      <c r="C354" s="199"/>
      <c r="D354" s="199"/>
      <c r="E354" s="396">
        <v>11734</v>
      </c>
      <c r="F354" s="462">
        <v>357.66756000000004</v>
      </c>
      <c r="G354" s="156" t="s">
        <v>196</v>
      </c>
      <c r="H354" s="196"/>
      <c r="I354" s="449">
        <v>-2.3054631926973812</v>
      </c>
      <c r="J354" s="451">
        <v>-1.08</v>
      </c>
      <c r="K354" s="787">
        <f t="shared" si="9"/>
        <v>21.921307617414893</v>
      </c>
      <c r="L354" s="438" t="s">
        <v>675</v>
      </c>
      <c r="M354" s="296" t="s">
        <v>85</v>
      </c>
      <c r="N354" s="459" t="s">
        <v>274</v>
      </c>
      <c r="O354" s="298" t="s">
        <v>35</v>
      </c>
      <c r="P354" s="314" t="s">
        <v>58</v>
      </c>
      <c r="Q354" s="430" t="s">
        <v>598</v>
      </c>
      <c r="R354" s="299" t="s">
        <v>81</v>
      </c>
      <c r="S354" s="300" t="s">
        <v>599</v>
      </c>
    </row>
    <row r="355" spans="1:19">
      <c r="A355" s="427" t="s">
        <v>60</v>
      </c>
      <c r="B355" s="199"/>
      <c r="C355" s="199"/>
      <c r="D355" s="199"/>
      <c r="E355" s="396">
        <v>11734</v>
      </c>
      <c r="F355" s="462">
        <v>357.66756000000004</v>
      </c>
      <c r="G355" s="156" t="s">
        <v>196</v>
      </c>
      <c r="H355" s="196"/>
      <c r="I355" s="449">
        <v>-2.2859723788785633</v>
      </c>
      <c r="J355" s="451">
        <v>-1.08</v>
      </c>
      <c r="K355" s="787">
        <f t="shared" si="9"/>
        <v>21.826605082072156</v>
      </c>
      <c r="L355" s="438" t="s">
        <v>675</v>
      </c>
      <c r="M355" s="296" t="s">
        <v>85</v>
      </c>
      <c r="N355" s="459" t="s">
        <v>274</v>
      </c>
      <c r="O355" s="298" t="s">
        <v>35</v>
      </c>
      <c r="P355" s="314" t="s">
        <v>58</v>
      </c>
      <c r="Q355" s="430" t="s">
        <v>598</v>
      </c>
      <c r="R355" s="299" t="s">
        <v>81</v>
      </c>
      <c r="S355" s="300" t="s">
        <v>599</v>
      </c>
    </row>
    <row r="356" spans="1:19">
      <c r="A356" s="427" t="s">
        <v>60</v>
      </c>
      <c r="B356" s="199"/>
      <c r="C356" s="199"/>
      <c r="D356" s="199"/>
      <c r="E356" s="396">
        <v>11734</v>
      </c>
      <c r="F356" s="462">
        <v>357.66756000000004</v>
      </c>
      <c r="G356" s="156" t="s">
        <v>196</v>
      </c>
      <c r="H356" s="196"/>
      <c r="I356" s="449">
        <v>-3.1237668576021438</v>
      </c>
      <c r="J356" s="451">
        <v>-1.08</v>
      </c>
      <c r="K356" s="787">
        <f t="shared" si="9"/>
        <v>25.959006686414913</v>
      </c>
      <c r="L356" s="438" t="s">
        <v>675</v>
      </c>
      <c r="M356" s="296" t="s">
        <v>85</v>
      </c>
      <c r="N356" s="459" t="s">
        <v>274</v>
      </c>
      <c r="O356" s="298" t="s">
        <v>35</v>
      </c>
      <c r="P356" s="314" t="s">
        <v>58</v>
      </c>
      <c r="Q356" s="430" t="s">
        <v>598</v>
      </c>
      <c r="R356" s="299" t="s">
        <v>81</v>
      </c>
      <c r="S356" s="300" t="s">
        <v>599</v>
      </c>
    </row>
    <row r="357" spans="1:19">
      <c r="A357" s="427" t="s">
        <v>60</v>
      </c>
      <c r="B357" s="199"/>
      <c r="C357" s="199"/>
      <c r="D357" s="199"/>
      <c r="E357" s="396">
        <v>11734</v>
      </c>
      <c r="F357" s="462">
        <v>357.66756000000004</v>
      </c>
      <c r="G357" s="156" t="s">
        <v>196</v>
      </c>
      <c r="H357" s="196"/>
      <c r="I357" s="449">
        <v>-3.2636031578347637</v>
      </c>
      <c r="J357" s="451">
        <v>-1.08</v>
      </c>
      <c r="K357" s="787">
        <f t="shared" si="9"/>
        <v>26.661049699934839</v>
      </c>
      <c r="L357" s="438" t="s">
        <v>675</v>
      </c>
      <c r="M357" s="296" t="s">
        <v>85</v>
      </c>
      <c r="N357" s="459" t="s">
        <v>274</v>
      </c>
      <c r="O357" s="298" t="s">
        <v>35</v>
      </c>
      <c r="P357" s="314" t="s">
        <v>58</v>
      </c>
      <c r="Q357" s="430" t="s">
        <v>598</v>
      </c>
      <c r="R357" s="299" t="s">
        <v>81</v>
      </c>
      <c r="S357" s="300" t="s">
        <v>599</v>
      </c>
    </row>
    <row r="358" spans="1:19">
      <c r="A358" s="427" t="s">
        <v>60</v>
      </c>
      <c r="B358" s="199"/>
      <c r="C358" s="199"/>
      <c r="D358" s="199"/>
      <c r="E358" s="396">
        <v>11734</v>
      </c>
      <c r="F358" s="462">
        <v>357.66756000000004</v>
      </c>
      <c r="G358" s="156" t="s">
        <v>196</v>
      </c>
      <c r="H358" s="196"/>
      <c r="I358" s="449">
        <v>-2.8788455039401146</v>
      </c>
      <c r="J358" s="451">
        <v>-1.08</v>
      </c>
      <c r="K358" s="787">
        <f t="shared" si="9"/>
        <v>24.737869201516236</v>
      </c>
      <c r="L358" s="438" t="s">
        <v>675</v>
      </c>
      <c r="M358" s="296" t="s">
        <v>85</v>
      </c>
      <c r="N358" s="459" t="s">
        <v>274</v>
      </c>
      <c r="O358" s="298" t="s">
        <v>35</v>
      </c>
      <c r="P358" s="314" t="s">
        <v>58</v>
      </c>
      <c r="Q358" s="430" t="s">
        <v>598</v>
      </c>
      <c r="R358" s="299" t="s">
        <v>81</v>
      </c>
      <c r="S358" s="300" t="s">
        <v>599</v>
      </c>
    </row>
    <row r="359" spans="1:19">
      <c r="A359" s="427" t="s">
        <v>60</v>
      </c>
      <c r="B359" s="199"/>
      <c r="C359" s="199"/>
      <c r="D359" s="199"/>
      <c r="E359" s="396">
        <v>11734</v>
      </c>
      <c r="F359" s="462">
        <v>357.66756000000004</v>
      </c>
      <c r="G359" s="156" t="s">
        <v>196</v>
      </c>
      <c r="H359" s="196"/>
      <c r="I359" s="449">
        <v>-1.7424698144178488</v>
      </c>
      <c r="J359" s="451">
        <v>-1.08</v>
      </c>
      <c r="K359" s="787">
        <f t="shared" si="9"/>
        <v>19.213357901850152</v>
      </c>
      <c r="L359" s="438" t="s">
        <v>675</v>
      </c>
      <c r="M359" s="296" t="s">
        <v>85</v>
      </c>
      <c r="N359" s="459" t="s">
        <v>274</v>
      </c>
      <c r="O359" s="298" t="s">
        <v>35</v>
      </c>
      <c r="P359" s="314" t="s">
        <v>58</v>
      </c>
      <c r="Q359" s="430" t="s">
        <v>598</v>
      </c>
      <c r="R359" s="299" t="s">
        <v>81</v>
      </c>
      <c r="S359" s="300" t="s">
        <v>599</v>
      </c>
    </row>
    <row r="360" spans="1:19">
      <c r="A360" s="427" t="s">
        <v>60</v>
      </c>
      <c r="B360" s="199"/>
      <c r="C360" s="199"/>
      <c r="D360" s="199"/>
      <c r="E360" s="396">
        <v>11734</v>
      </c>
      <c r="F360" s="462">
        <v>357.66756000000004</v>
      </c>
      <c r="G360" s="156" t="s">
        <v>196</v>
      </c>
      <c r="H360" s="196"/>
      <c r="I360" s="449">
        <v>-3.0879913793829896</v>
      </c>
      <c r="J360" s="451">
        <v>-1.08</v>
      </c>
      <c r="K360" s="787">
        <f t="shared" si="9"/>
        <v>25.77996264450795</v>
      </c>
      <c r="L360" s="438" t="s">
        <v>675</v>
      </c>
      <c r="M360" s="296" t="s">
        <v>85</v>
      </c>
      <c r="N360" s="459" t="s">
        <v>274</v>
      </c>
      <c r="O360" s="298" t="s">
        <v>35</v>
      </c>
      <c r="P360" s="314" t="s">
        <v>58</v>
      </c>
      <c r="Q360" s="430" t="s">
        <v>598</v>
      </c>
      <c r="R360" s="299" t="s">
        <v>81</v>
      </c>
      <c r="S360" s="300" t="s">
        <v>599</v>
      </c>
    </row>
    <row r="361" spans="1:19">
      <c r="A361" s="427" t="s">
        <v>60</v>
      </c>
      <c r="B361" s="199"/>
      <c r="C361" s="199"/>
      <c r="D361" s="199"/>
      <c r="E361" s="396">
        <v>11737</v>
      </c>
      <c r="F361" s="462">
        <v>357.75900000000001</v>
      </c>
      <c r="G361" s="156" t="s">
        <v>196</v>
      </c>
      <c r="H361" s="196"/>
      <c r="I361" s="449">
        <v>-2.5868712047079692</v>
      </c>
      <c r="J361" s="451">
        <v>-1.08</v>
      </c>
      <c r="K361" s="787">
        <f t="shared" si="9"/>
        <v>23.296241864327001</v>
      </c>
      <c r="L361" s="438" t="s">
        <v>675</v>
      </c>
      <c r="M361" s="296" t="s">
        <v>85</v>
      </c>
      <c r="N361" s="459" t="s">
        <v>274</v>
      </c>
      <c r="O361" s="298" t="s">
        <v>35</v>
      </c>
      <c r="P361" s="314" t="s">
        <v>58</v>
      </c>
      <c r="Q361" s="430" t="s">
        <v>598</v>
      </c>
      <c r="R361" s="299" t="s">
        <v>81</v>
      </c>
      <c r="S361" s="300" t="s">
        <v>599</v>
      </c>
    </row>
    <row r="362" spans="1:19">
      <c r="A362" s="427" t="s">
        <v>60</v>
      </c>
      <c r="B362" s="199"/>
      <c r="C362" s="199"/>
      <c r="D362" s="199"/>
      <c r="E362" s="396">
        <v>11740</v>
      </c>
      <c r="F362" s="462">
        <v>357.85044000000005</v>
      </c>
      <c r="G362" s="156" t="s">
        <v>196</v>
      </c>
      <c r="H362" s="196"/>
      <c r="I362" s="449">
        <v>-2.9751896258200001</v>
      </c>
      <c r="J362" s="451">
        <v>-1.08</v>
      </c>
      <c r="K362" s="787">
        <f t="shared" si="9"/>
        <v>25.216936798408216</v>
      </c>
      <c r="L362" s="438" t="s">
        <v>675</v>
      </c>
      <c r="M362" s="296" t="s">
        <v>85</v>
      </c>
      <c r="N362" s="459" t="s">
        <v>274</v>
      </c>
      <c r="O362" s="298" t="s">
        <v>35</v>
      </c>
      <c r="P362" s="314" t="s">
        <v>58</v>
      </c>
      <c r="Q362" s="430" t="s">
        <v>598</v>
      </c>
      <c r="R362" s="299" t="s">
        <v>81</v>
      </c>
      <c r="S362" s="300" t="s">
        <v>599</v>
      </c>
    </row>
    <row r="363" spans="1:19">
      <c r="A363" s="427" t="s">
        <v>60</v>
      </c>
      <c r="B363" s="199"/>
      <c r="C363" s="199"/>
      <c r="D363" s="199"/>
      <c r="E363" s="396">
        <v>11740</v>
      </c>
      <c r="F363" s="462">
        <v>357.85044000000005</v>
      </c>
      <c r="G363" s="156" t="s">
        <v>196</v>
      </c>
      <c r="H363" s="196"/>
      <c r="I363" s="449">
        <v>-2.0808205555891739</v>
      </c>
      <c r="J363" s="451">
        <v>-1.08</v>
      </c>
      <c r="K363" s="787">
        <f t="shared" si="9"/>
        <v>20.833955138537849</v>
      </c>
      <c r="L363" s="438" t="s">
        <v>675</v>
      </c>
      <c r="M363" s="296" t="s">
        <v>85</v>
      </c>
      <c r="N363" s="459" t="s">
        <v>274</v>
      </c>
      <c r="O363" s="298" t="s">
        <v>35</v>
      </c>
      <c r="P363" s="314" t="s">
        <v>58</v>
      </c>
      <c r="Q363" s="430" t="s">
        <v>598</v>
      </c>
      <c r="R363" s="299" t="s">
        <v>81</v>
      </c>
      <c r="S363" s="300" t="s">
        <v>599</v>
      </c>
    </row>
    <row r="364" spans="1:19">
      <c r="A364" s="427" t="s">
        <v>60</v>
      </c>
      <c r="B364" s="199"/>
      <c r="C364" s="199"/>
      <c r="D364" s="199"/>
      <c r="E364" s="396">
        <v>11740</v>
      </c>
      <c r="F364" s="462">
        <v>357.85044000000005</v>
      </c>
      <c r="G364" s="156" t="s">
        <v>196</v>
      </c>
      <c r="H364" s="196"/>
      <c r="I364" s="449">
        <v>-2.7469223853926978</v>
      </c>
      <c r="J364" s="451">
        <v>-1.08</v>
      </c>
      <c r="K364" s="787">
        <f t="shared" si="9"/>
        <v>24.084596589725212</v>
      </c>
      <c r="L364" s="438" t="s">
        <v>675</v>
      </c>
      <c r="M364" s="296" t="s">
        <v>85</v>
      </c>
      <c r="N364" s="459" t="s">
        <v>274</v>
      </c>
      <c r="O364" s="298" t="s">
        <v>35</v>
      </c>
      <c r="P364" s="314" t="s">
        <v>58</v>
      </c>
      <c r="Q364" s="430" t="s">
        <v>598</v>
      </c>
      <c r="R364" s="299" t="s">
        <v>81</v>
      </c>
      <c r="S364" s="300" t="s">
        <v>599</v>
      </c>
    </row>
    <row r="365" spans="1:19">
      <c r="A365" s="427" t="s">
        <v>60</v>
      </c>
      <c r="B365" s="199"/>
      <c r="C365" s="199"/>
      <c r="D365" s="199"/>
      <c r="E365" s="396">
        <v>11740</v>
      </c>
      <c r="F365" s="462">
        <v>357.85044000000005</v>
      </c>
      <c r="G365" s="156" t="s">
        <v>196</v>
      </c>
      <c r="H365" s="196"/>
      <c r="I365" s="449">
        <v>-1.921683319855173</v>
      </c>
      <c r="J365" s="451">
        <v>-1.08</v>
      </c>
      <c r="K365" s="787">
        <f t="shared" si="9"/>
        <v>20.06916937711102</v>
      </c>
      <c r="L365" s="438" t="s">
        <v>675</v>
      </c>
      <c r="M365" s="296" t="s">
        <v>85</v>
      </c>
      <c r="N365" s="459" t="s">
        <v>274</v>
      </c>
      <c r="O365" s="298" t="s">
        <v>35</v>
      </c>
      <c r="P365" s="314" t="s">
        <v>58</v>
      </c>
      <c r="Q365" s="430" t="s">
        <v>598</v>
      </c>
      <c r="R365" s="299" t="s">
        <v>81</v>
      </c>
      <c r="S365" s="300" t="s">
        <v>599</v>
      </c>
    </row>
    <row r="366" spans="1:19">
      <c r="A366" s="427" t="s">
        <v>60</v>
      </c>
      <c r="B366" s="199"/>
      <c r="C366" s="199"/>
      <c r="D366" s="199"/>
      <c r="E366" s="463">
        <v>11742</v>
      </c>
      <c r="F366" s="462">
        <v>357.91140000000007</v>
      </c>
      <c r="G366" s="156" t="s">
        <v>196</v>
      </c>
      <c r="H366" s="196"/>
      <c r="I366" s="449">
        <v>-1.4127224886948904</v>
      </c>
      <c r="J366" s="451">
        <v>-1.08</v>
      </c>
      <c r="K366" s="787">
        <f t="shared" si="9"/>
        <v>17.653795730447793</v>
      </c>
      <c r="L366" s="438" t="s">
        <v>675</v>
      </c>
      <c r="M366" s="296" t="s">
        <v>85</v>
      </c>
      <c r="N366" s="459" t="s">
        <v>274</v>
      </c>
      <c r="O366" s="298" t="s">
        <v>35</v>
      </c>
      <c r="P366" s="314" t="s">
        <v>58</v>
      </c>
      <c r="Q366" s="430" t="s">
        <v>598</v>
      </c>
      <c r="R366" s="299" t="s">
        <v>81</v>
      </c>
      <c r="S366" s="300" t="s">
        <v>599</v>
      </c>
    </row>
    <row r="367" spans="1:19">
      <c r="A367" s="427" t="s">
        <v>60</v>
      </c>
      <c r="B367" s="199"/>
      <c r="C367" s="199"/>
      <c r="D367" s="199"/>
      <c r="E367" s="463">
        <v>11742</v>
      </c>
      <c r="F367" s="462">
        <v>357.91140000000007</v>
      </c>
      <c r="G367" s="156" t="s">
        <v>196</v>
      </c>
      <c r="H367" s="196"/>
      <c r="I367" s="449">
        <v>-2.2046192229195753</v>
      </c>
      <c r="J367" s="451">
        <v>-1.08</v>
      </c>
      <c r="K367" s="787">
        <f t="shared" si="9"/>
        <v>21.432062350037253</v>
      </c>
      <c r="L367" s="438" t="s">
        <v>675</v>
      </c>
      <c r="M367" s="296" t="s">
        <v>85</v>
      </c>
      <c r="N367" s="459" t="s">
        <v>274</v>
      </c>
      <c r="O367" s="298" t="s">
        <v>35</v>
      </c>
      <c r="P367" s="314" t="s">
        <v>58</v>
      </c>
      <c r="Q367" s="430" t="s">
        <v>598</v>
      </c>
      <c r="R367" s="299" t="s">
        <v>81</v>
      </c>
      <c r="S367" s="300" t="s">
        <v>599</v>
      </c>
    </row>
    <row r="368" spans="1:19">
      <c r="A368" s="427" t="s">
        <v>60</v>
      </c>
      <c r="B368" s="199"/>
      <c r="C368" s="199"/>
      <c r="D368" s="199"/>
      <c r="E368" s="463">
        <v>11742</v>
      </c>
      <c r="F368" s="462">
        <v>357.91140000000007</v>
      </c>
      <c r="G368" s="156" t="s">
        <v>196</v>
      </c>
      <c r="H368" s="196"/>
      <c r="I368" s="449">
        <v>-1.7189778717499498</v>
      </c>
      <c r="J368" s="451">
        <v>-1.08</v>
      </c>
      <c r="K368" s="787">
        <f t="shared" si="9"/>
        <v>19.101603669772516</v>
      </c>
      <c r="L368" s="438" t="s">
        <v>675</v>
      </c>
      <c r="M368" s="296" t="s">
        <v>85</v>
      </c>
      <c r="N368" s="459" t="s">
        <v>274</v>
      </c>
      <c r="O368" s="298" t="s">
        <v>35</v>
      </c>
      <c r="P368" s="314" t="s">
        <v>58</v>
      </c>
      <c r="Q368" s="430" t="s">
        <v>598</v>
      </c>
      <c r="R368" s="299" t="s">
        <v>81</v>
      </c>
      <c r="S368" s="300" t="s">
        <v>599</v>
      </c>
    </row>
    <row r="369" spans="1:19">
      <c r="A369" s="427" t="s">
        <v>60</v>
      </c>
      <c r="B369" s="199"/>
      <c r="C369" s="199"/>
      <c r="D369" s="199"/>
      <c r="E369" s="396">
        <v>11746</v>
      </c>
      <c r="F369" s="462">
        <v>358.03332000000006</v>
      </c>
      <c r="G369" s="156" t="s">
        <v>196</v>
      </c>
      <c r="H369" s="196"/>
      <c r="I369" s="449">
        <v>-2.2699613460016481</v>
      </c>
      <c r="J369" s="451">
        <v>-1.08</v>
      </c>
      <c r="K369" s="787">
        <f t="shared" si="9"/>
        <v>21.748861365895674</v>
      </c>
      <c r="L369" s="438" t="s">
        <v>675</v>
      </c>
      <c r="M369" s="296" t="s">
        <v>85</v>
      </c>
      <c r="N369" s="459" t="s">
        <v>600</v>
      </c>
      <c r="O369" s="298" t="s">
        <v>35</v>
      </c>
      <c r="P369" s="314" t="s">
        <v>58</v>
      </c>
      <c r="Q369" s="430" t="s">
        <v>598</v>
      </c>
      <c r="R369" s="299" t="s">
        <v>81</v>
      </c>
      <c r="S369" s="300" t="s">
        <v>599</v>
      </c>
    </row>
    <row r="370" spans="1:19">
      <c r="A370" s="427" t="s">
        <v>60</v>
      </c>
      <c r="B370" s="199"/>
      <c r="C370" s="199"/>
      <c r="D370" s="199"/>
      <c r="E370" s="396">
        <v>11746</v>
      </c>
      <c r="F370" s="462">
        <v>358.03332000000006</v>
      </c>
      <c r="G370" s="156" t="s">
        <v>196</v>
      </c>
      <c r="H370" s="196"/>
      <c r="I370" s="449">
        <v>-1.8902575952662692</v>
      </c>
      <c r="J370" s="451">
        <v>-1.08</v>
      </c>
      <c r="K370" s="787">
        <f t="shared" si="9"/>
        <v>19.918681805397291</v>
      </c>
      <c r="L370" s="438" t="s">
        <v>675</v>
      </c>
      <c r="M370" s="296" t="s">
        <v>85</v>
      </c>
      <c r="N370" s="459" t="s">
        <v>274</v>
      </c>
      <c r="O370" s="298" t="s">
        <v>35</v>
      </c>
      <c r="P370" s="314" t="s">
        <v>58</v>
      </c>
      <c r="Q370" s="430" t="s">
        <v>598</v>
      </c>
      <c r="R370" s="299" t="s">
        <v>81</v>
      </c>
      <c r="S370" s="300" t="s">
        <v>599</v>
      </c>
    </row>
    <row r="371" spans="1:19">
      <c r="A371" s="427" t="s">
        <v>60</v>
      </c>
      <c r="B371" s="199"/>
      <c r="C371" s="199"/>
      <c r="D371" s="199"/>
      <c r="E371" s="396">
        <v>11746</v>
      </c>
      <c r="F371" s="462">
        <v>358.03332000000006</v>
      </c>
      <c r="G371" s="156" t="s">
        <v>196</v>
      </c>
      <c r="H371" s="196"/>
      <c r="I371" s="449">
        <v>-1.8666262150300001</v>
      </c>
      <c r="J371" s="451">
        <v>-1.08</v>
      </c>
      <c r="K371" s="787">
        <f t="shared" si="9"/>
        <v>19.805635909934722</v>
      </c>
      <c r="L371" s="438" t="s">
        <v>675</v>
      </c>
      <c r="M371" s="296" t="s">
        <v>85</v>
      </c>
      <c r="N371" s="459" t="s">
        <v>274</v>
      </c>
      <c r="O371" s="298" t="s">
        <v>35</v>
      </c>
      <c r="P371" s="314" t="s">
        <v>58</v>
      </c>
      <c r="Q371" s="430" t="s">
        <v>598</v>
      </c>
      <c r="R371" s="299" t="s">
        <v>81</v>
      </c>
      <c r="S371" s="300" t="s">
        <v>599</v>
      </c>
    </row>
    <row r="372" spans="1:19">
      <c r="A372" s="427" t="s">
        <v>60</v>
      </c>
      <c r="B372" s="199"/>
      <c r="C372" s="199"/>
      <c r="D372" s="199"/>
      <c r="E372" s="396">
        <v>11746</v>
      </c>
      <c r="F372" s="462">
        <v>358.03332000000006</v>
      </c>
      <c r="G372" s="156" t="s">
        <v>196</v>
      </c>
      <c r="H372" s="196"/>
      <c r="I372" s="449">
        <v>-1.7391467090142056</v>
      </c>
      <c r="J372" s="451">
        <v>-1.08</v>
      </c>
      <c r="K372" s="787">
        <f t="shared" si="9"/>
        <v>19.1975434243863</v>
      </c>
      <c r="L372" s="438" t="s">
        <v>675</v>
      </c>
      <c r="M372" s="296" t="s">
        <v>85</v>
      </c>
      <c r="N372" s="459" t="s">
        <v>274</v>
      </c>
      <c r="O372" s="298" t="s">
        <v>35</v>
      </c>
      <c r="P372" s="314" t="s">
        <v>58</v>
      </c>
      <c r="Q372" s="430" t="s">
        <v>598</v>
      </c>
      <c r="R372" s="299" t="s">
        <v>81</v>
      </c>
      <c r="S372" s="300" t="s">
        <v>599</v>
      </c>
    </row>
    <row r="373" spans="1:19">
      <c r="A373" s="427" t="s">
        <v>60</v>
      </c>
      <c r="B373" s="199"/>
      <c r="C373" s="199"/>
      <c r="D373" s="199"/>
      <c r="E373" s="396">
        <v>11746</v>
      </c>
      <c r="F373" s="462">
        <v>358.03332000000006</v>
      </c>
      <c r="G373" s="156" t="s">
        <v>196</v>
      </c>
      <c r="H373" s="196"/>
      <c r="I373" s="449">
        <v>-2.6537997594961276</v>
      </c>
      <c r="J373" s="451">
        <v>-1.08</v>
      </c>
      <c r="K373" s="787">
        <f t="shared" si="9"/>
        <v>23.625346995531139</v>
      </c>
      <c r="L373" s="438" t="s">
        <v>675</v>
      </c>
      <c r="M373" s="296" t="s">
        <v>85</v>
      </c>
      <c r="N373" s="459" t="s">
        <v>274</v>
      </c>
      <c r="O373" s="298" t="s">
        <v>35</v>
      </c>
      <c r="P373" s="314" t="s">
        <v>58</v>
      </c>
      <c r="Q373" s="430" t="s">
        <v>598</v>
      </c>
      <c r="R373" s="299" t="s">
        <v>81</v>
      </c>
      <c r="S373" s="300" t="s">
        <v>599</v>
      </c>
    </row>
    <row r="374" spans="1:19">
      <c r="A374" s="427" t="s">
        <v>60</v>
      </c>
      <c r="B374" s="199"/>
      <c r="C374" s="199"/>
      <c r="D374" s="199"/>
      <c r="E374" s="396">
        <v>11746</v>
      </c>
      <c r="F374" s="462">
        <v>358.03332000000006</v>
      </c>
      <c r="G374" s="156" t="s">
        <v>196</v>
      </c>
      <c r="H374" s="196"/>
      <c r="I374" s="449">
        <v>-2.2131468494017286</v>
      </c>
      <c r="J374" s="451">
        <v>-1.08</v>
      </c>
      <c r="K374" s="787">
        <f t="shared" si="9"/>
        <v>21.473363341631838</v>
      </c>
      <c r="L374" s="438" t="s">
        <v>675</v>
      </c>
      <c r="M374" s="296" t="s">
        <v>85</v>
      </c>
      <c r="N374" s="459" t="s">
        <v>274</v>
      </c>
      <c r="O374" s="298" t="s">
        <v>35</v>
      </c>
      <c r="P374" s="314" t="s">
        <v>58</v>
      </c>
      <c r="Q374" s="430" t="s">
        <v>598</v>
      </c>
      <c r="R374" s="299" t="s">
        <v>81</v>
      </c>
      <c r="S374" s="300" t="s">
        <v>599</v>
      </c>
    </row>
    <row r="375" spans="1:19">
      <c r="A375" s="427" t="s">
        <v>60</v>
      </c>
      <c r="B375" s="199"/>
      <c r="C375" s="199"/>
      <c r="D375" s="199"/>
      <c r="E375" s="396">
        <v>11749</v>
      </c>
      <c r="F375" s="462">
        <v>358.12476000000004</v>
      </c>
      <c r="G375" s="156" t="s">
        <v>196</v>
      </c>
      <c r="H375" s="196"/>
      <c r="I375" s="449">
        <v>-2.9018582081217561</v>
      </c>
      <c r="J375" s="451">
        <v>-1.08</v>
      </c>
      <c r="K375" s="787">
        <f t="shared" si="9"/>
        <v>24.852147145430006</v>
      </c>
      <c r="L375" s="438" t="s">
        <v>675</v>
      </c>
      <c r="M375" s="296" t="s">
        <v>85</v>
      </c>
      <c r="N375" s="459" t="s">
        <v>274</v>
      </c>
      <c r="O375" s="298" t="s">
        <v>35</v>
      </c>
      <c r="P375" s="314" t="s">
        <v>58</v>
      </c>
      <c r="Q375" s="430" t="s">
        <v>598</v>
      </c>
      <c r="R375" s="299" t="s">
        <v>81</v>
      </c>
      <c r="S375" s="300" t="s">
        <v>599</v>
      </c>
    </row>
    <row r="376" spans="1:19">
      <c r="A376" s="427" t="s">
        <v>60</v>
      </c>
      <c r="B376" s="199"/>
      <c r="C376" s="199"/>
      <c r="D376" s="199"/>
      <c r="E376" s="396">
        <v>11749</v>
      </c>
      <c r="F376" s="462">
        <v>358.12476000000004</v>
      </c>
      <c r="G376" s="156" t="s">
        <v>196</v>
      </c>
      <c r="H376" s="196"/>
      <c r="I376" s="449">
        <v>-1.588697069674734</v>
      </c>
      <c r="J376" s="451">
        <v>-1.08</v>
      </c>
      <c r="K376" s="787">
        <f t="shared" si="9"/>
        <v>18.483643947073375</v>
      </c>
      <c r="L376" s="438" t="s">
        <v>675</v>
      </c>
      <c r="M376" s="296" t="s">
        <v>85</v>
      </c>
      <c r="N376" s="459" t="s">
        <v>274</v>
      </c>
      <c r="O376" s="298" t="s">
        <v>35</v>
      </c>
      <c r="P376" s="314" t="s">
        <v>58</v>
      </c>
      <c r="Q376" s="430" t="s">
        <v>598</v>
      </c>
      <c r="R376" s="299" t="s">
        <v>81</v>
      </c>
      <c r="S376" s="300" t="s">
        <v>599</v>
      </c>
    </row>
    <row r="377" spans="1:19">
      <c r="A377" s="427" t="s">
        <v>60</v>
      </c>
      <c r="B377" s="199"/>
      <c r="C377" s="199"/>
      <c r="D377" s="199"/>
      <c r="E377" s="396">
        <v>11749</v>
      </c>
      <c r="F377" s="462">
        <v>358.12476000000004</v>
      </c>
      <c r="G377" s="156" t="s">
        <v>196</v>
      </c>
      <c r="H377" s="196"/>
      <c r="I377" s="449">
        <v>-2.5321970368849946</v>
      </c>
      <c r="J377" s="451">
        <v>-1.08</v>
      </c>
      <c r="K377" s="787">
        <f t="shared" si="9"/>
        <v>23.027993112200758</v>
      </c>
      <c r="L377" s="438" t="s">
        <v>675</v>
      </c>
      <c r="M377" s="296" t="s">
        <v>85</v>
      </c>
      <c r="N377" s="459" t="s">
        <v>274</v>
      </c>
      <c r="O377" s="298" t="s">
        <v>35</v>
      </c>
      <c r="P377" s="314" t="s">
        <v>58</v>
      </c>
      <c r="Q377" s="430" t="s">
        <v>598</v>
      </c>
      <c r="R377" s="299" t="s">
        <v>81</v>
      </c>
      <c r="S377" s="300" t="s">
        <v>599</v>
      </c>
    </row>
    <row r="378" spans="1:19">
      <c r="A378" s="427" t="s">
        <v>60</v>
      </c>
      <c r="B378" s="199"/>
      <c r="C378" s="199"/>
      <c r="D378" s="199"/>
      <c r="E378" s="396">
        <v>11749</v>
      </c>
      <c r="F378" s="462">
        <v>358.12476000000004</v>
      </c>
      <c r="G378" s="156" t="s">
        <v>196</v>
      </c>
      <c r="H378" s="196"/>
      <c r="I378" s="449">
        <v>-2.5027999579722433</v>
      </c>
      <c r="J378" s="451">
        <v>-1.08</v>
      </c>
      <c r="K378" s="787">
        <f t="shared" si="9"/>
        <v>22.883984179827735</v>
      </c>
      <c r="L378" s="438" t="s">
        <v>675</v>
      </c>
      <c r="M378" s="296" t="s">
        <v>85</v>
      </c>
      <c r="N378" s="459" t="s">
        <v>274</v>
      </c>
      <c r="O378" s="298" t="s">
        <v>35</v>
      </c>
      <c r="P378" s="314" t="s">
        <v>58</v>
      </c>
      <c r="Q378" s="430" t="s">
        <v>598</v>
      </c>
      <c r="R378" s="299" t="s">
        <v>81</v>
      </c>
      <c r="S378" s="300" t="s">
        <v>599</v>
      </c>
    </row>
    <row r="379" spans="1:19">
      <c r="A379" s="427" t="s">
        <v>60</v>
      </c>
      <c r="B379" s="199"/>
      <c r="C379" s="199"/>
      <c r="D379" s="199"/>
      <c r="E379" s="391">
        <v>11752</v>
      </c>
      <c r="F379" s="462">
        <v>358.21620000000007</v>
      </c>
      <c r="G379" s="156" t="s">
        <v>196</v>
      </c>
      <c r="H379" s="196"/>
      <c r="I379" s="449">
        <v>-1.3977840682257834</v>
      </c>
      <c r="J379" s="451">
        <v>-1.08</v>
      </c>
      <c r="K379" s="787">
        <f t="shared" si="9"/>
        <v>17.583606880829265</v>
      </c>
      <c r="L379" s="438" t="s">
        <v>675</v>
      </c>
      <c r="M379" s="296" t="s">
        <v>85</v>
      </c>
      <c r="N379" s="459" t="s">
        <v>274</v>
      </c>
      <c r="O379" s="298" t="s">
        <v>35</v>
      </c>
      <c r="P379" s="314" t="s">
        <v>58</v>
      </c>
      <c r="Q379" s="430" t="s">
        <v>598</v>
      </c>
      <c r="R379" s="299" t="s">
        <v>81</v>
      </c>
      <c r="S379" s="300" t="s">
        <v>599</v>
      </c>
    </row>
    <row r="380" spans="1:19">
      <c r="A380" s="427" t="s">
        <v>60</v>
      </c>
      <c r="B380" s="199"/>
      <c r="C380" s="199"/>
      <c r="D380" s="199"/>
      <c r="E380" s="391">
        <v>11755</v>
      </c>
      <c r="F380" s="462">
        <v>358.30764000000005</v>
      </c>
      <c r="G380" s="156" t="s">
        <v>196</v>
      </c>
      <c r="H380" s="196"/>
      <c r="I380" s="449">
        <v>-2.0706594444080881</v>
      </c>
      <c r="J380" s="451">
        <v>-1.08</v>
      </c>
      <c r="K380" s="787">
        <f t="shared" si="9"/>
        <v>20.784986374185074</v>
      </c>
      <c r="L380" s="438" t="s">
        <v>675</v>
      </c>
      <c r="M380" s="296" t="s">
        <v>85</v>
      </c>
      <c r="N380" s="459" t="s">
        <v>274</v>
      </c>
      <c r="O380" s="298" t="s">
        <v>35</v>
      </c>
      <c r="P380" s="314" t="s">
        <v>58</v>
      </c>
      <c r="Q380" s="430" t="s">
        <v>598</v>
      </c>
      <c r="R380" s="299" t="s">
        <v>81</v>
      </c>
      <c r="S380" s="300" t="s">
        <v>599</v>
      </c>
    </row>
    <row r="381" spans="1:19">
      <c r="A381" s="427" t="s">
        <v>60</v>
      </c>
      <c r="B381" s="199"/>
      <c r="C381" s="199"/>
      <c r="D381" s="199"/>
      <c r="E381" s="391">
        <v>11755</v>
      </c>
      <c r="F381" s="462">
        <v>358.30764000000005</v>
      </c>
      <c r="G381" s="156" t="s">
        <v>196</v>
      </c>
      <c r="H381" s="196"/>
      <c r="I381" s="449">
        <v>-1.4649441375540999</v>
      </c>
      <c r="J381" s="451">
        <v>-1.08</v>
      </c>
      <c r="K381" s="787">
        <f t="shared" si="9"/>
        <v>17.899477177264377</v>
      </c>
      <c r="L381" s="438" t="s">
        <v>675</v>
      </c>
      <c r="M381" s="296" t="s">
        <v>85</v>
      </c>
      <c r="N381" s="459" t="s">
        <v>274</v>
      </c>
      <c r="O381" s="298" t="s">
        <v>35</v>
      </c>
      <c r="P381" s="314" t="s">
        <v>58</v>
      </c>
      <c r="Q381" s="430" t="s">
        <v>598</v>
      </c>
      <c r="R381" s="299" t="s">
        <v>81</v>
      </c>
      <c r="S381" s="300" t="s">
        <v>599</v>
      </c>
    </row>
    <row r="382" spans="1:19">
      <c r="A382" s="427" t="s">
        <v>60</v>
      </c>
      <c r="B382" s="199"/>
      <c r="C382" s="199"/>
      <c r="D382" s="199"/>
      <c r="E382" s="391">
        <v>11755</v>
      </c>
      <c r="F382" s="462">
        <v>358.30764000000005</v>
      </c>
      <c r="G382" s="156" t="s">
        <v>196</v>
      </c>
      <c r="H382" s="196"/>
      <c r="I382" s="449">
        <v>-3.2641795030907357</v>
      </c>
      <c r="J382" s="451">
        <v>-1.08</v>
      </c>
      <c r="K382" s="787">
        <f t="shared" si="9"/>
        <v>26.663950503495965</v>
      </c>
      <c r="L382" s="438" t="s">
        <v>675</v>
      </c>
      <c r="M382" s="296" t="s">
        <v>85</v>
      </c>
      <c r="N382" s="459" t="s">
        <v>274</v>
      </c>
      <c r="O382" s="298" t="s">
        <v>35</v>
      </c>
      <c r="P382" s="314" t="s">
        <v>58</v>
      </c>
      <c r="Q382" s="430" t="s">
        <v>598</v>
      </c>
      <c r="R382" s="299" t="s">
        <v>81</v>
      </c>
      <c r="S382" s="300" t="s">
        <v>599</v>
      </c>
    </row>
    <row r="383" spans="1:19">
      <c r="A383" s="427" t="s">
        <v>60</v>
      </c>
      <c r="B383" s="199"/>
      <c r="C383" s="199"/>
      <c r="D383" s="199"/>
      <c r="E383" s="391">
        <v>11761</v>
      </c>
      <c r="F383" s="462">
        <v>358.49052000000006</v>
      </c>
      <c r="G383" s="156" t="s">
        <v>196</v>
      </c>
      <c r="H383" s="196"/>
      <c r="I383" s="449">
        <v>-1.5047346763880045</v>
      </c>
      <c r="J383" s="451">
        <v>-1.08</v>
      </c>
      <c r="K383" s="787">
        <f t="shared" si="9"/>
        <v>18.08700485751972</v>
      </c>
      <c r="L383" s="438" t="s">
        <v>675</v>
      </c>
      <c r="M383" s="296" t="s">
        <v>85</v>
      </c>
      <c r="N383" s="459" t="s">
        <v>274</v>
      </c>
      <c r="O383" s="298" t="s">
        <v>35</v>
      </c>
      <c r="P383" s="314" t="s">
        <v>58</v>
      </c>
      <c r="Q383" s="430" t="s">
        <v>598</v>
      </c>
      <c r="R383" s="299" t="s">
        <v>81</v>
      </c>
      <c r="S383" s="300" t="s">
        <v>599</v>
      </c>
    </row>
    <row r="384" spans="1:19">
      <c r="A384" s="427" t="s">
        <v>60</v>
      </c>
      <c r="B384" s="199"/>
      <c r="C384" s="199"/>
      <c r="D384" s="199"/>
      <c r="E384" s="391">
        <v>11766</v>
      </c>
      <c r="F384" s="462">
        <v>358.64292000000006</v>
      </c>
      <c r="G384" s="156" t="s">
        <v>196</v>
      </c>
      <c r="H384" s="196"/>
      <c r="I384" s="449">
        <v>-1.1732742699163217</v>
      </c>
      <c r="J384" s="451">
        <v>-1.08</v>
      </c>
      <c r="K384" s="787">
        <f t="shared" si="9"/>
        <v>16.53357562046029</v>
      </c>
      <c r="L384" s="438" t="s">
        <v>675</v>
      </c>
      <c r="M384" s="296" t="s">
        <v>85</v>
      </c>
      <c r="N384" s="459" t="s">
        <v>274</v>
      </c>
      <c r="O384" s="298" t="s">
        <v>35</v>
      </c>
      <c r="P384" s="314" t="s">
        <v>58</v>
      </c>
      <c r="Q384" s="430" t="s">
        <v>598</v>
      </c>
      <c r="R384" s="299" t="s">
        <v>81</v>
      </c>
      <c r="S384" s="300" t="s">
        <v>599</v>
      </c>
    </row>
    <row r="385" spans="1:19">
      <c r="A385" s="427" t="s">
        <v>60</v>
      </c>
      <c r="B385" s="199"/>
      <c r="C385" s="199"/>
      <c r="D385" s="199"/>
      <c r="E385" s="391">
        <v>11766</v>
      </c>
      <c r="F385" s="462">
        <v>358.64292000000006</v>
      </c>
      <c r="G385" s="156" t="s">
        <v>196</v>
      </c>
      <c r="H385" s="196"/>
      <c r="I385" s="449">
        <v>-2.1140802163708838</v>
      </c>
      <c r="J385" s="451">
        <v>-1.08</v>
      </c>
      <c r="K385" s="787">
        <f t="shared" si="9"/>
        <v>20.994371174410972</v>
      </c>
      <c r="L385" s="438" t="s">
        <v>675</v>
      </c>
      <c r="M385" s="296" t="s">
        <v>85</v>
      </c>
      <c r="N385" s="459" t="s">
        <v>274</v>
      </c>
      <c r="O385" s="298" t="s">
        <v>35</v>
      </c>
      <c r="P385" s="314" t="s">
        <v>58</v>
      </c>
      <c r="Q385" s="430" t="s">
        <v>598</v>
      </c>
      <c r="R385" s="299" t="s">
        <v>81</v>
      </c>
      <c r="S385" s="300" t="s">
        <v>599</v>
      </c>
    </row>
    <row r="386" spans="1:19">
      <c r="A386" s="427" t="s">
        <v>60</v>
      </c>
      <c r="B386" s="199"/>
      <c r="C386" s="199"/>
      <c r="D386" s="199"/>
      <c r="E386" s="391">
        <v>11766</v>
      </c>
      <c r="F386" s="462">
        <v>358.64292000000006</v>
      </c>
      <c r="G386" s="156" t="s">
        <v>196</v>
      </c>
      <c r="H386" s="196"/>
      <c r="I386" s="449">
        <v>-2.5016551167518974</v>
      </c>
      <c r="J386" s="451">
        <v>-1.08</v>
      </c>
      <c r="K386" s="787">
        <f t="shared" si="9"/>
        <v>22.878379036117622</v>
      </c>
      <c r="L386" s="438" t="s">
        <v>675</v>
      </c>
      <c r="M386" s="296" t="s">
        <v>85</v>
      </c>
      <c r="N386" s="459" t="s">
        <v>274</v>
      </c>
      <c r="O386" s="298" t="s">
        <v>35</v>
      </c>
      <c r="P386" s="314" t="s">
        <v>58</v>
      </c>
      <c r="Q386" s="430" t="s">
        <v>598</v>
      </c>
      <c r="R386" s="299" t="s">
        <v>81</v>
      </c>
      <c r="S386" s="300" t="s">
        <v>599</v>
      </c>
    </row>
    <row r="387" spans="1:19">
      <c r="A387" s="427" t="s">
        <v>60</v>
      </c>
      <c r="B387" s="199"/>
      <c r="C387" s="199"/>
      <c r="D387" s="199"/>
      <c r="E387" s="391">
        <v>11772</v>
      </c>
      <c r="F387" s="462">
        <v>358.82580000000007</v>
      </c>
      <c r="G387" s="156" t="s">
        <v>196</v>
      </c>
      <c r="H387" s="196"/>
      <c r="I387" s="449">
        <v>-2.1563017533699798</v>
      </c>
      <c r="J387" s="451">
        <v>-1.08</v>
      </c>
      <c r="K387" s="787">
        <f t="shared" si="9"/>
        <v>21.198298427424362</v>
      </c>
      <c r="L387" s="438" t="s">
        <v>675</v>
      </c>
      <c r="M387" s="296" t="s">
        <v>85</v>
      </c>
      <c r="N387" s="459" t="s">
        <v>274</v>
      </c>
      <c r="O387" s="298" t="s">
        <v>35</v>
      </c>
      <c r="P387" s="314" t="s">
        <v>58</v>
      </c>
      <c r="Q387" s="430" t="s">
        <v>598</v>
      </c>
      <c r="R387" s="299" t="s">
        <v>81</v>
      </c>
      <c r="S387" s="300" t="s">
        <v>599</v>
      </c>
    </row>
    <row r="388" spans="1:19">
      <c r="A388" s="427" t="s">
        <v>60</v>
      </c>
      <c r="B388" s="199"/>
      <c r="C388" s="199"/>
      <c r="D388" s="199"/>
      <c r="E388" s="391">
        <v>11772</v>
      </c>
      <c r="F388" s="462">
        <v>358.82580000000007</v>
      </c>
      <c r="G388" s="156" t="s">
        <v>196</v>
      </c>
      <c r="H388" s="196"/>
      <c r="I388" s="449">
        <v>-2.8688867522357695</v>
      </c>
      <c r="J388" s="451">
        <v>-1.08</v>
      </c>
      <c r="K388" s="787">
        <f t="shared" si="9"/>
        <v>24.688444953483188</v>
      </c>
      <c r="L388" s="438" t="s">
        <v>675</v>
      </c>
      <c r="M388" s="296" t="s">
        <v>85</v>
      </c>
      <c r="N388" s="459" t="s">
        <v>274</v>
      </c>
      <c r="O388" s="298" t="s">
        <v>35</v>
      </c>
      <c r="P388" s="314" t="s">
        <v>58</v>
      </c>
      <c r="Q388" s="430" t="s">
        <v>598</v>
      </c>
      <c r="R388" s="299" t="s">
        <v>81</v>
      </c>
      <c r="S388" s="300" t="s">
        <v>599</v>
      </c>
    </row>
    <row r="389" spans="1:19">
      <c r="A389" s="427" t="s">
        <v>60</v>
      </c>
      <c r="B389" s="199"/>
      <c r="C389" s="199"/>
      <c r="D389" s="199"/>
      <c r="E389" s="391">
        <v>11772</v>
      </c>
      <c r="F389" s="462">
        <v>358.82580000000007</v>
      </c>
      <c r="G389" s="156" t="s">
        <v>196</v>
      </c>
      <c r="H389" s="196"/>
      <c r="I389" s="449">
        <v>-3.4477907443685085</v>
      </c>
      <c r="J389" s="451">
        <v>-1.08</v>
      </c>
      <c r="K389" s="787">
        <f t="shared" si="9"/>
        <v>27.591128024690427</v>
      </c>
      <c r="L389" s="438" t="s">
        <v>675</v>
      </c>
      <c r="M389" s="296" t="s">
        <v>85</v>
      </c>
      <c r="N389" s="459" t="s">
        <v>274</v>
      </c>
      <c r="O389" s="298" t="s">
        <v>35</v>
      </c>
      <c r="P389" s="314" t="s">
        <v>58</v>
      </c>
      <c r="Q389" s="430" t="s">
        <v>598</v>
      </c>
      <c r="R389" s="299" t="s">
        <v>81</v>
      </c>
      <c r="S389" s="300" t="s">
        <v>599</v>
      </c>
    </row>
    <row r="390" spans="1:19">
      <c r="A390" s="427" t="s">
        <v>60</v>
      </c>
      <c r="B390" s="199"/>
      <c r="C390" s="199"/>
      <c r="D390" s="199"/>
      <c r="E390" s="391">
        <v>11776</v>
      </c>
      <c r="F390" s="382">
        <v>358.94772000000006</v>
      </c>
      <c r="G390" s="156" t="s">
        <v>196</v>
      </c>
      <c r="H390" s="196"/>
      <c r="I390" s="449">
        <v>-2.9474830327640404</v>
      </c>
      <c r="J390" s="451">
        <v>-1.08</v>
      </c>
      <c r="K390" s="787">
        <f t="shared" ref="K390:K393" si="10">16.1-4.64*($I390-J390)+0.09*($I390-J390)^2</f>
        <v>25.078995631014688</v>
      </c>
      <c r="L390" s="438" t="s">
        <v>675</v>
      </c>
      <c r="M390" s="296" t="s">
        <v>85</v>
      </c>
      <c r="N390" s="459" t="s">
        <v>274</v>
      </c>
      <c r="O390" s="298" t="s">
        <v>35</v>
      </c>
      <c r="P390" s="314" t="s">
        <v>58</v>
      </c>
      <c r="Q390" s="430" t="s">
        <v>598</v>
      </c>
      <c r="R390" s="299" t="s">
        <v>81</v>
      </c>
      <c r="S390" s="300" t="s">
        <v>599</v>
      </c>
    </row>
    <row r="391" spans="1:19">
      <c r="A391" s="427" t="s">
        <v>60</v>
      </c>
      <c r="B391" s="199"/>
      <c r="C391" s="199"/>
      <c r="D391" s="199"/>
      <c r="E391" s="391">
        <v>11776</v>
      </c>
      <c r="F391" s="382">
        <v>358.94772000000006</v>
      </c>
      <c r="G391" s="156" t="s">
        <v>196</v>
      </c>
      <c r="H391" s="196"/>
      <c r="I391" s="449">
        <v>-2.2897241142466465</v>
      </c>
      <c r="J391" s="451">
        <v>-1.08</v>
      </c>
      <c r="K391" s="787">
        <f t="shared" si="10"/>
        <v>21.844828809037526</v>
      </c>
      <c r="L391" s="438" t="s">
        <v>675</v>
      </c>
      <c r="M391" s="296" t="s">
        <v>85</v>
      </c>
      <c r="N391" s="459" t="s">
        <v>274</v>
      </c>
      <c r="O391" s="298" t="s">
        <v>35</v>
      </c>
      <c r="P391" s="314" t="s">
        <v>58</v>
      </c>
      <c r="Q391" s="430" t="s">
        <v>598</v>
      </c>
      <c r="R391" s="299" t="s">
        <v>81</v>
      </c>
      <c r="S391" s="300" t="s">
        <v>599</v>
      </c>
    </row>
    <row r="392" spans="1:19">
      <c r="A392" s="427" t="s">
        <v>60</v>
      </c>
      <c r="B392" s="199"/>
      <c r="C392" s="199"/>
      <c r="D392" s="199"/>
      <c r="E392" s="391">
        <v>11776</v>
      </c>
      <c r="F392" s="382">
        <v>358.94772000000006</v>
      </c>
      <c r="G392" s="156" t="s">
        <v>196</v>
      </c>
      <c r="H392" s="196"/>
      <c r="I392" s="449">
        <v>-2.1805172633840377</v>
      </c>
      <c r="J392" s="451">
        <v>-1.08</v>
      </c>
      <c r="K392" s="787">
        <f t="shared" si="10"/>
        <v>21.315402544332503</v>
      </c>
      <c r="L392" s="438" t="s">
        <v>675</v>
      </c>
      <c r="M392" s="296" t="s">
        <v>85</v>
      </c>
      <c r="N392" s="459" t="s">
        <v>274</v>
      </c>
      <c r="O392" s="298" t="s">
        <v>35</v>
      </c>
      <c r="P392" s="314" t="s">
        <v>58</v>
      </c>
      <c r="Q392" s="430" t="s">
        <v>598</v>
      </c>
      <c r="R392" s="299" t="s">
        <v>81</v>
      </c>
      <c r="S392" s="300" t="s">
        <v>599</v>
      </c>
    </row>
    <row r="393" spans="1:19">
      <c r="A393" s="431" t="s">
        <v>60</v>
      </c>
      <c r="B393" s="432"/>
      <c r="C393" s="432"/>
      <c r="D393" s="432"/>
      <c r="E393" s="393">
        <v>11776</v>
      </c>
      <c r="F393" s="385">
        <v>358.94772000000006</v>
      </c>
      <c r="G393" s="226" t="s">
        <v>196</v>
      </c>
      <c r="H393" s="226"/>
      <c r="I393" s="456">
        <v>-2.5465845075011662</v>
      </c>
      <c r="J393" s="454">
        <v>-1.08</v>
      </c>
      <c r="K393" s="403">
        <f t="shared" si="10"/>
        <v>23.098530425393232</v>
      </c>
      <c r="L393" s="439" t="s">
        <v>675</v>
      </c>
      <c r="M393" s="386" t="s">
        <v>85</v>
      </c>
      <c r="N393" s="393" t="s">
        <v>274</v>
      </c>
      <c r="O393" s="390" t="s">
        <v>35</v>
      </c>
      <c r="P393" s="388" t="s">
        <v>58</v>
      </c>
      <c r="Q393" s="436" t="s">
        <v>598</v>
      </c>
      <c r="R393" s="299" t="s">
        <v>81</v>
      </c>
      <c r="S393" s="300" t="s">
        <v>599</v>
      </c>
    </row>
    <row r="394" spans="1:19">
      <c r="A394" s="427" t="s">
        <v>60</v>
      </c>
      <c r="B394" s="199"/>
      <c r="C394" s="199"/>
      <c r="D394" s="199"/>
      <c r="E394" s="396">
        <v>11702</v>
      </c>
      <c r="F394" s="396">
        <v>356.69</v>
      </c>
      <c r="G394" s="156" t="s">
        <v>661</v>
      </c>
      <c r="H394" s="69"/>
      <c r="I394" s="449">
        <v>-4.2275632702049437</v>
      </c>
      <c r="J394" s="451">
        <v>-1.08</v>
      </c>
      <c r="K394" s="402">
        <f t="shared" ref="K394:K429" si="11">16.1-4.64*($I394-J394)+0.09*($I394-J394)^2</f>
        <v>31.596337482345827</v>
      </c>
      <c r="L394" s="429" t="s">
        <v>676</v>
      </c>
      <c r="M394" s="296" t="s">
        <v>85</v>
      </c>
      <c r="N394" s="459" t="s">
        <v>274</v>
      </c>
      <c r="O394" s="298" t="s">
        <v>35</v>
      </c>
      <c r="P394" s="314" t="s">
        <v>58</v>
      </c>
      <c r="Q394" s="430" t="s">
        <v>598</v>
      </c>
      <c r="R394" s="299" t="s">
        <v>81</v>
      </c>
      <c r="S394" s="300" t="s">
        <v>599</v>
      </c>
    </row>
    <row r="395" spans="1:19">
      <c r="A395" s="427" t="s">
        <v>60</v>
      </c>
      <c r="B395" s="199"/>
      <c r="C395" s="199"/>
      <c r="D395" s="199"/>
      <c r="E395" s="396">
        <v>11702</v>
      </c>
      <c r="F395" s="396">
        <v>356.69</v>
      </c>
      <c r="G395" s="156" t="s">
        <v>661</v>
      </c>
      <c r="H395" s="69"/>
      <c r="I395" s="449">
        <v>-3.3603156454250414</v>
      </c>
      <c r="J395" s="451">
        <v>-1.08</v>
      </c>
      <c r="K395" s="402">
        <f t="shared" si="11"/>
        <v>27.148650144621513</v>
      </c>
      <c r="L395" s="429" t="s">
        <v>676</v>
      </c>
      <c r="M395" s="296" t="s">
        <v>85</v>
      </c>
      <c r="N395" s="459" t="s">
        <v>274</v>
      </c>
      <c r="O395" s="298" t="s">
        <v>35</v>
      </c>
      <c r="P395" s="314" t="s">
        <v>58</v>
      </c>
      <c r="Q395" s="430" t="s">
        <v>598</v>
      </c>
      <c r="R395" s="299" t="s">
        <v>81</v>
      </c>
      <c r="S395" s="300" t="s">
        <v>599</v>
      </c>
    </row>
    <row r="396" spans="1:19">
      <c r="A396" s="427" t="s">
        <v>60</v>
      </c>
      <c r="B396" s="199"/>
      <c r="C396" s="199"/>
      <c r="D396" s="199"/>
      <c r="E396" s="396">
        <v>11702</v>
      </c>
      <c r="F396" s="396">
        <v>356.69</v>
      </c>
      <c r="G396" s="156" t="s">
        <v>661</v>
      </c>
      <c r="H396" s="69"/>
      <c r="I396" s="449">
        <v>-3.8271726193209457</v>
      </c>
      <c r="J396" s="451">
        <v>-1.08</v>
      </c>
      <c r="K396" s="402">
        <f t="shared" si="11"/>
        <v>29.526107119680393</v>
      </c>
      <c r="L396" s="429" t="s">
        <v>676</v>
      </c>
      <c r="M396" s="296" t="s">
        <v>85</v>
      </c>
      <c r="N396" s="459" t="s">
        <v>274</v>
      </c>
      <c r="O396" s="298" t="s">
        <v>35</v>
      </c>
      <c r="P396" s="314" t="s">
        <v>58</v>
      </c>
      <c r="Q396" s="430" t="s">
        <v>598</v>
      </c>
      <c r="R396" s="299" t="s">
        <v>81</v>
      </c>
      <c r="S396" s="300" t="s">
        <v>599</v>
      </c>
    </row>
    <row r="397" spans="1:19">
      <c r="A397" s="427" t="s">
        <v>60</v>
      </c>
      <c r="B397" s="199"/>
      <c r="C397" s="199"/>
      <c r="D397" s="199"/>
      <c r="E397" s="396">
        <v>11702</v>
      </c>
      <c r="F397" s="396">
        <v>356.69</v>
      </c>
      <c r="G397" s="156" t="s">
        <v>661</v>
      </c>
      <c r="H397" s="69"/>
      <c r="I397" s="449">
        <v>-3.8125249726983359</v>
      </c>
      <c r="J397" s="451">
        <v>-1.08</v>
      </c>
      <c r="K397" s="402">
        <f t="shared" si="11"/>
        <v>29.450918218698085</v>
      </c>
      <c r="L397" s="429" t="s">
        <v>676</v>
      </c>
      <c r="M397" s="296" t="s">
        <v>85</v>
      </c>
      <c r="N397" s="459" t="s">
        <v>274</v>
      </c>
      <c r="O397" s="298" t="s">
        <v>35</v>
      </c>
      <c r="P397" s="314" t="s">
        <v>58</v>
      </c>
      <c r="Q397" s="430" t="s">
        <v>598</v>
      </c>
      <c r="R397" s="299" t="s">
        <v>81</v>
      </c>
      <c r="S397" s="300" t="s">
        <v>599</v>
      </c>
    </row>
    <row r="398" spans="1:19">
      <c r="A398" s="427" t="s">
        <v>60</v>
      </c>
      <c r="B398" s="199"/>
      <c r="C398" s="199"/>
      <c r="D398" s="199"/>
      <c r="E398" s="396">
        <v>11702</v>
      </c>
      <c r="F398" s="396">
        <v>356.69</v>
      </c>
      <c r="G398" s="156" t="s">
        <v>661</v>
      </c>
      <c r="H398" s="69"/>
      <c r="I398" s="449">
        <v>-4.1099547914581303</v>
      </c>
      <c r="J398" s="451">
        <v>-1.08</v>
      </c>
      <c r="K398" s="402">
        <f t="shared" si="11"/>
        <v>30.985246575810933</v>
      </c>
      <c r="L398" s="429" t="s">
        <v>676</v>
      </c>
      <c r="M398" s="296" t="s">
        <v>85</v>
      </c>
      <c r="N398" s="459" t="s">
        <v>274</v>
      </c>
      <c r="O398" s="298" t="s">
        <v>35</v>
      </c>
      <c r="P398" s="314" t="s">
        <v>58</v>
      </c>
      <c r="Q398" s="430" t="s">
        <v>598</v>
      </c>
      <c r="R398" s="299" t="s">
        <v>81</v>
      </c>
      <c r="S398" s="300" t="s">
        <v>599</v>
      </c>
    </row>
    <row r="399" spans="1:19">
      <c r="A399" s="427" t="s">
        <v>60</v>
      </c>
      <c r="B399" s="199"/>
      <c r="C399" s="199"/>
      <c r="D399" s="199"/>
      <c r="E399" s="460">
        <v>11706</v>
      </c>
      <c r="F399" s="460">
        <v>356.84</v>
      </c>
      <c r="G399" s="156" t="s">
        <v>661</v>
      </c>
      <c r="H399" s="69"/>
      <c r="I399" s="449">
        <v>-4.1557064663937595</v>
      </c>
      <c r="J399" s="451">
        <v>-1.08</v>
      </c>
      <c r="K399" s="402">
        <f t="shared" si="11"/>
        <v>31.222675328134518</v>
      </c>
      <c r="L399" s="429" t="s">
        <v>676</v>
      </c>
      <c r="M399" s="296" t="s">
        <v>85</v>
      </c>
      <c r="N399" s="459" t="s">
        <v>274</v>
      </c>
      <c r="O399" s="298" t="s">
        <v>35</v>
      </c>
      <c r="P399" s="314" t="s">
        <v>58</v>
      </c>
      <c r="Q399" s="430" t="s">
        <v>598</v>
      </c>
      <c r="R399" s="299" t="s">
        <v>81</v>
      </c>
      <c r="S399" s="300" t="s">
        <v>599</v>
      </c>
    </row>
    <row r="400" spans="1:19">
      <c r="A400" s="427" t="s">
        <v>60</v>
      </c>
      <c r="B400" s="199"/>
      <c r="C400" s="199"/>
      <c r="D400" s="199"/>
      <c r="E400" s="460">
        <v>11706</v>
      </c>
      <c r="F400" s="460">
        <v>356.84</v>
      </c>
      <c r="G400" s="156" t="s">
        <v>661</v>
      </c>
      <c r="H400" s="69"/>
      <c r="I400" s="449">
        <v>-3.4698578718074016</v>
      </c>
      <c r="J400" s="451">
        <v>-1.08</v>
      </c>
      <c r="K400" s="402">
        <f t="shared" si="11"/>
        <v>27.702968383455925</v>
      </c>
      <c r="L400" s="429" t="s">
        <v>676</v>
      </c>
      <c r="M400" s="296" t="s">
        <v>85</v>
      </c>
      <c r="N400" s="459" t="s">
        <v>274</v>
      </c>
      <c r="O400" s="298" t="s">
        <v>35</v>
      </c>
      <c r="P400" s="314" t="s">
        <v>58</v>
      </c>
      <c r="Q400" s="430" t="s">
        <v>598</v>
      </c>
      <c r="R400" s="299" t="s">
        <v>81</v>
      </c>
      <c r="S400" s="300" t="s">
        <v>599</v>
      </c>
    </row>
    <row r="401" spans="1:19">
      <c r="A401" s="427" t="s">
        <v>60</v>
      </c>
      <c r="B401" s="199"/>
      <c r="C401" s="199"/>
      <c r="D401" s="199"/>
      <c r="E401" s="460">
        <v>11706</v>
      </c>
      <c r="F401" s="460">
        <v>356.84</v>
      </c>
      <c r="G401" s="156" t="s">
        <v>661</v>
      </c>
      <c r="H401" s="69"/>
      <c r="I401" s="449">
        <v>-4.1100604868539845</v>
      </c>
      <c r="J401" s="451">
        <v>-1.08</v>
      </c>
      <c r="K401" s="402">
        <f t="shared" si="11"/>
        <v>30.985794648861933</v>
      </c>
      <c r="L401" s="429" t="s">
        <v>676</v>
      </c>
      <c r="M401" s="296" t="s">
        <v>85</v>
      </c>
      <c r="N401" s="459" t="s">
        <v>274</v>
      </c>
      <c r="O401" s="298" t="s">
        <v>35</v>
      </c>
      <c r="P401" s="314" t="s">
        <v>58</v>
      </c>
      <c r="Q401" s="430" t="s">
        <v>598</v>
      </c>
      <c r="R401" s="299" t="s">
        <v>81</v>
      </c>
      <c r="S401" s="300" t="s">
        <v>599</v>
      </c>
    </row>
    <row r="402" spans="1:19">
      <c r="A402" s="427" t="s">
        <v>60</v>
      </c>
      <c r="B402" s="199"/>
      <c r="C402" s="199"/>
      <c r="D402" s="199"/>
      <c r="E402" s="460">
        <v>11706</v>
      </c>
      <c r="F402" s="460">
        <v>356.84</v>
      </c>
      <c r="G402" s="156" t="s">
        <v>661</v>
      </c>
      <c r="H402" s="69"/>
      <c r="I402" s="449">
        <v>-3.1792668054311921</v>
      </c>
      <c r="J402" s="451">
        <v>-1.08</v>
      </c>
      <c r="K402" s="402">
        <f t="shared" si="11"/>
        <v>26.237220878035405</v>
      </c>
      <c r="L402" s="429" t="s">
        <v>676</v>
      </c>
      <c r="M402" s="296" t="s">
        <v>85</v>
      </c>
      <c r="N402" s="459" t="s">
        <v>274</v>
      </c>
      <c r="O402" s="298" t="s">
        <v>35</v>
      </c>
      <c r="P402" s="314" t="s">
        <v>58</v>
      </c>
      <c r="Q402" s="430" t="s">
        <v>598</v>
      </c>
      <c r="R402" s="299" t="s">
        <v>81</v>
      </c>
      <c r="S402" s="300" t="s">
        <v>599</v>
      </c>
    </row>
    <row r="403" spans="1:19">
      <c r="A403" s="427" t="s">
        <v>60</v>
      </c>
      <c r="B403" s="199"/>
      <c r="C403" s="199"/>
      <c r="D403" s="199"/>
      <c r="E403" s="460">
        <v>11706</v>
      </c>
      <c r="F403" s="460">
        <v>356.84</v>
      </c>
      <c r="G403" s="156" t="s">
        <v>661</v>
      </c>
      <c r="H403" s="69"/>
      <c r="I403" s="449">
        <v>-3.4790980042605826</v>
      </c>
      <c r="J403" s="451">
        <v>-1.08</v>
      </c>
      <c r="K403" s="402">
        <f t="shared" si="11"/>
        <v>27.749825150833342</v>
      </c>
      <c r="L403" s="429" t="s">
        <v>676</v>
      </c>
      <c r="M403" s="296" t="s">
        <v>85</v>
      </c>
      <c r="N403" s="459" t="s">
        <v>274</v>
      </c>
      <c r="O403" s="298" t="s">
        <v>35</v>
      </c>
      <c r="P403" s="314" t="s">
        <v>58</v>
      </c>
      <c r="Q403" s="430" t="s">
        <v>598</v>
      </c>
      <c r="R403" s="299" t="s">
        <v>81</v>
      </c>
      <c r="S403" s="300" t="s">
        <v>599</v>
      </c>
    </row>
    <row r="404" spans="1:19">
      <c r="A404" s="427" t="s">
        <v>60</v>
      </c>
      <c r="B404" s="199"/>
      <c r="C404" s="199"/>
      <c r="D404" s="199"/>
      <c r="E404" s="460">
        <v>11706</v>
      </c>
      <c r="F404" s="460">
        <v>356.84</v>
      </c>
      <c r="G404" s="156" t="s">
        <v>661</v>
      </c>
      <c r="H404" s="69"/>
      <c r="I404" s="449">
        <v>-3.3302192371446324</v>
      </c>
      <c r="J404" s="451">
        <v>-1.08</v>
      </c>
      <c r="K404" s="402">
        <f t="shared" si="11"/>
        <v>26.996731055720517</v>
      </c>
      <c r="L404" s="429" t="s">
        <v>676</v>
      </c>
      <c r="M404" s="296" t="s">
        <v>85</v>
      </c>
      <c r="N404" s="459" t="s">
        <v>274</v>
      </c>
      <c r="O404" s="298" t="s">
        <v>35</v>
      </c>
      <c r="P404" s="314" t="s">
        <v>58</v>
      </c>
      <c r="Q404" s="430" t="s">
        <v>598</v>
      </c>
      <c r="R404" s="299" t="s">
        <v>81</v>
      </c>
      <c r="S404" s="300" t="s">
        <v>599</v>
      </c>
    </row>
    <row r="405" spans="1:19">
      <c r="A405" s="427" t="s">
        <v>60</v>
      </c>
      <c r="B405" s="199"/>
      <c r="C405" s="199"/>
      <c r="D405" s="199"/>
      <c r="E405" s="396">
        <v>11710</v>
      </c>
      <c r="F405" s="396">
        <v>356.97</v>
      </c>
      <c r="G405" s="156" t="s">
        <v>661</v>
      </c>
      <c r="H405" s="69"/>
      <c r="I405" s="449">
        <v>-3.1901559660773282</v>
      </c>
      <c r="J405" s="451">
        <v>-1.08</v>
      </c>
      <c r="K405" s="402">
        <f t="shared" si="11"/>
        <v>26.29187192070426</v>
      </c>
      <c r="L405" s="429" t="s">
        <v>676</v>
      </c>
      <c r="M405" s="296" t="s">
        <v>85</v>
      </c>
      <c r="N405" s="459" t="s">
        <v>274</v>
      </c>
      <c r="O405" s="298" t="s">
        <v>35</v>
      </c>
      <c r="P405" s="314" t="s">
        <v>58</v>
      </c>
      <c r="Q405" s="430" t="s">
        <v>598</v>
      </c>
      <c r="R405" s="299" t="s">
        <v>81</v>
      </c>
      <c r="S405" s="300" t="s">
        <v>599</v>
      </c>
    </row>
    <row r="406" spans="1:19">
      <c r="A406" s="427" t="s">
        <v>60</v>
      </c>
      <c r="B406" s="199"/>
      <c r="C406" s="199"/>
      <c r="D406" s="199"/>
      <c r="E406" s="396">
        <v>11710</v>
      </c>
      <c r="F406" s="396">
        <v>356.97</v>
      </c>
      <c r="G406" s="156" t="s">
        <v>661</v>
      </c>
      <c r="H406" s="69"/>
      <c r="I406" s="449">
        <v>-4.187376117095253</v>
      </c>
      <c r="J406" s="451">
        <v>-1.08</v>
      </c>
      <c r="K406" s="402">
        <f t="shared" si="11"/>
        <v>31.387245953300432</v>
      </c>
      <c r="L406" s="429" t="s">
        <v>676</v>
      </c>
      <c r="M406" s="296" t="s">
        <v>85</v>
      </c>
      <c r="N406" s="459" t="s">
        <v>274</v>
      </c>
      <c r="O406" s="298" t="s">
        <v>35</v>
      </c>
      <c r="P406" s="314" t="s">
        <v>58</v>
      </c>
      <c r="Q406" s="430" t="s">
        <v>598</v>
      </c>
      <c r="R406" s="299" t="s">
        <v>81</v>
      </c>
      <c r="S406" s="300" t="s">
        <v>599</v>
      </c>
    </row>
    <row r="407" spans="1:19">
      <c r="A407" s="427" t="s">
        <v>60</v>
      </c>
      <c r="B407" s="199"/>
      <c r="C407" s="199"/>
      <c r="D407" s="199"/>
      <c r="E407" s="396">
        <v>11710</v>
      </c>
      <c r="F407" s="396">
        <v>356.97</v>
      </c>
      <c r="G407" s="156" t="s">
        <v>661</v>
      </c>
      <c r="H407" s="69"/>
      <c r="I407" s="449">
        <v>-3.2473433686438824</v>
      </c>
      <c r="J407" s="451">
        <v>-1.08</v>
      </c>
      <c r="K407" s="402">
        <f t="shared" si="11"/>
        <v>26.57923718549203</v>
      </c>
      <c r="L407" s="429" t="s">
        <v>676</v>
      </c>
      <c r="M407" s="296" t="s">
        <v>85</v>
      </c>
      <c r="N407" s="459" t="s">
        <v>274</v>
      </c>
      <c r="O407" s="298" t="s">
        <v>35</v>
      </c>
      <c r="P407" s="314" t="s">
        <v>58</v>
      </c>
      <c r="Q407" s="430" t="s">
        <v>598</v>
      </c>
      <c r="R407" s="299" t="s">
        <v>81</v>
      </c>
      <c r="S407" s="300" t="s">
        <v>599</v>
      </c>
    </row>
    <row r="408" spans="1:19">
      <c r="A408" s="427" t="s">
        <v>60</v>
      </c>
      <c r="B408" s="199"/>
      <c r="C408" s="199"/>
      <c r="D408" s="199"/>
      <c r="E408" s="396">
        <v>11710</v>
      </c>
      <c r="F408" s="396">
        <v>356.97</v>
      </c>
      <c r="G408" s="156" t="s">
        <v>661</v>
      </c>
      <c r="H408" s="69"/>
      <c r="I408" s="449">
        <v>-3.4727537908017467</v>
      </c>
      <c r="J408" s="451">
        <v>-1.08</v>
      </c>
      <c r="K408" s="402">
        <f t="shared" si="11"/>
        <v>27.717651952625758</v>
      </c>
      <c r="L408" s="429" t="s">
        <v>676</v>
      </c>
      <c r="M408" s="296" t="s">
        <v>85</v>
      </c>
      <c r="N408" s="459" t="s">
        <v>274</v>
      </c>
      <c r="O408" s="298" t="s">
        <v>35</v>
      </c>
      <c r="P408" s="314" t="s">
        <v>58</v>
      </c>
      <c r="Q408" s="430" t="s">
        <v>598</v>
      </c>
      <c r="R408" s="299" t="s">
        <v>81</v>
      </c>
      <c r="S408" s="300" t="s">
        <v>599</v>
      </c>
    </row>
    <row r="409" spans="1:19">
      <c r="A409" s="427" t="s">
        <v>60</v>
      </c>
      <c r="B409" s="199"/>
      <c r="C409" s="199"/>
      <c r="D409" s="199"/>
      <c r="E409" s="396">
        <v>11710</v>
      </c>
      <c r="F409" s="396">
        <v>356.97</v>
      </c>
      <c r="G409" s="156" t="s">
        <v>661</v>
      </c>
      <c r="H409" s="69"/>
      <c r="I409" s="449">
        <v>-4.21238120741942</v>
      </c>
      <c r="J409" s="451">
        <v>-1.08</v>
      </c>
      <c r="K409" s="402">
        <f t="shared" si="11"/>
        <v>31.517311884999597</v>
      </c>
      <c r="L409" s="429" t="s">
        <v>676</v>
      </c>
      <c r="M409" s="296" t="s">
        <v>85</v>
      </c>
      <c r="N409" s="459" t="s">
        <v>274</v>
      </c>
      <c r="O409" s="298" t="s">
        <v>35</v>
      </c>
      <c r="P409" s="314" t="s">
        <v>58</v>
      </c>
      <c r="Q409" s="430" t="s">
        <v>598</v>
      </c>
      <c r="R409" s="299" t="s">
        <v>81</v>
      </c>
      <c r="S409" s="300" t="s">
        <v>599</v>
      </c>
    </row>
    <row r="410" spans="1:19">
      <c r="A410" s="427" t="s">
        <v>60</v>
      </c>
      <c r="B410" s="199"/>
      <c r="C410" s="199"/>
      <c r="D410" s="199"/>
      <c r="E410" s="396">
        <v>11713</v>
      </c>
      <c r="F410" s="396">
        <v>357.03</v>
      </c>
      <c r="G410" s="156" t="s">
        <v>663</v>
      </c>
      <c r="H410" s="69"/>
      <c r="I410" s="449">
        <v>-3.002369276866637</v>
      </c>
      <c r="J410" s="451">
        <v>-1.08</v>
      </c>
      <c r="K410" s="401">
        <f t="shared" si="11"/>
        <v>25.352388771958864</v>
      </c>
      <c r="L410" s="429" t="s">
        <v>676</v>
      </c>
      <c r="M410" s="296" t="s">
        <v>85</v>
      </c>
      <c r="N410" s="459" t="s">
        <v>274</v>
      </c>
      <c r="O410" s="298" t="s">
        <v>35</v>
      </c>
      <c r="P410" s="314" t="s">
        <v>58</v>
      </c>
      <c r="Q410" s="430" t="s">
        <v>598</v>
      </c>
      <c r="R410" s="299" t="s">
        <v>81</v>
      </c>
      <c r="S410" s="300" t="s">
        <v>599</v>
      </c>
    </row>
    <row r="411" spans="1:19">
      <c r="A411" s="427" t="s">
        <v>60</v>
      </c>
      <c r="B411" s="199"/>
      <c r="C411" s="199"/>
      <c r="D411" s="199"/>
      <c r="E411" s="396">
        <v>11713</v>
      </c>
      <c r="F411" s="396">
        <v>357.03</v>
      </c>
      <c r="G411" s="156" t="s">
        <v>663</v>
      </c>
      <c r="H411" s="69"/>
      <c r="I411" s="449">
        <v>-3.2574189231090083</v>
      </c>
      <c r="J411" s="451">
        <v>-1.08</v>
      </c>
      <c r="K411" s="401">
        <f t="shared" si="11"/>
        <v>26.629927588229982</v>
      </c>
      <c r="L411" s="429" t="s">
        <v>676</v>
      </c>
      <c r="M411" s="296" t="s">
        <v>85</v>
      </c>
      <c r="N411" s="459" t="s">
        <v>274</v>
      </c>
      <c r="O411" s="298" t="s">
        <v>35</v>
      </c>
      <c r="P411" s="314" t="s">
        <v>58</v>
      </c>
      <c r="Q411" s="430" t="s">
        <v>598</v>
      </c>
      <c r="R411" s="299" t="s">
        <v>81</v>
      </c>
      <c r="S411" s="300" t="s">
        <v>599</v>
      </c>
    </row>
    <row r="412" spans="1:19">
      <c r="A412" s="427" t="s">
        <v>60</v>
      </c>
      <c r="B412" s="199"/>
      <c r="C412" s="199"/>
      <c r="D412" s="199"/>
      <c r="E412" s="396">
        <v>11713</v>
      </c>
      <c r="F412" s="396">
        <v>357.03</v>
      </c>
      <c r="G412" s="156" t="s">
        <v>663</v>
      </c>
      <c r="H412" s="69"/>
      <c r="I412" s="449">
        <v>-4.0374547614692409</v>
      </c>
      <c r="J412" s="451">
        <v>-1.08</v>
      </c>
      <c r="K412" s="401">
        <f t="shared" si="11"/>
        <v>30.609778573169617</v>
      </c>
      <c r="L412" s="429" t="s">
        <v>676</v>
      </c>
      <c r="M412" s="296" t="s">
        <v>85</v>
      </c>
      <c r="N412" s="459" t="s">
        <v>274</v>
      </c>
      <c r="O412" s="298" t="s">
        <v>35</v>
      </c>
      <c r="P412" s="314" t="s">
        <v>58</v>
      </c>
      <c r="Q412" s="430" t="s">
        <v>598</v>
      </c>
      <c r="R412" s="299" t="s">
        <v>81</v>
      </c>
      <c r="S412" s="300" t="s">
        <v>599</v>
      </c>
    </row>
    <row r="413" spans="1:19">
      <c r="A413" s="427" t="s">
        <v>60</v>
      </c>
      <c r="B413" s="199"/>
      <c r="C413" s="199"/>
      <c r="D413" s="199"/>
      <c r="E413" s="396">
        <v>11713</v>
      </c>
      <c r="F413" s="396">
        <v>357.03</v>
      </c>
      <c r="G413" s="156" t="s">
        <v>663</v>
      </c>
      <c r="H413" s="69"/>
      <c r="I413" s="449">
        <v>-3.8487845294511809</v>
      </c>
      <c r="J413" s="451">
        <v>-1.08</v>
      </c>
      <c r="K413" s="401">
        <f t="shared" si="11"/>
        <v>29.637115316001015</v>
      </c>
      <c r="L413" s="429" t="s">
        <v>676</v>
      </c>
      <c r="M413" s="296" t="s">
        <v>85</v>
      </c>
      <c r="N413" s="459" t="s">
        <v>274</v>
      </c>
      <c r="O413" s="298" t="s">
        <v>35</v>
      </c>
      <c r="P413" s="314" t="s">
        <v>58</v>
      </c>
      <c r="Q413" s="430" t="s">
        <v>598</v>
      </c>
      <c r="R413" s="299" t="s">
        <v>81</v>
      </c>
      <c r="S413" s="300" t="s">
        <v>599</v>
      </c>
    </row>
    <row r="414" spans="1:19">
      <c r="A414" s="431" t="s">
        <v>60</v>
      </c>
      <c r="B414" s="432"/>
      <c r="C414" s="432"/>
      <c r="D414" s="432"/>
      <c r="E414" s="397">
        <v>11713</v>
      </c>
      <c r="F414" s="397">
        <v>357.03</v>
      </c>
      <c r="G414" s="226" t="s">
        <v>663</v>
      </c>
      <c r="H414" s="183"/>
      <c r="I414" s="456">
        <v>-2.9642350311179415</v>
      </c>
      <c r="J414" s="454">
        <v>-1.08</v>
      </c>
      <c r="K414" s="786">
        <f t="shared" si="11"/>
        <v>25.16238129311153</v>
      </c>
      <c r="L414" s="435" t="s">
        <v>676</v>
      </c>
      <c r="M414" s="386" t="s">
        <v>85</v>
      </c>
      <c r="N414" s="393" t="s">
        <v>274</v>
      </c>
      <c r="O414" s="390" t="s">
        <v>35</v>
      </c>
      <c r="P414" s="388" t="s">
        <v>58</v>
      </c>
      <c r="Q414" s="436" t="s">
        <v>598</v>
      </c>
      <c r="R414" s="299" t="s">
        <v>81</v>
      </c>
      <c r="S414" s="300" t="s">
        <v>599</v>
      </c>
    </row>
    <row r="415" spans="1:19">
      <c r="A415" s="427" t="s">
        <v>60</v>
      </c>
      <c r="B415" s="199"/>
      <c r="C415" s="199"/>
      <c r="D415" s="199"/>
      <c r="E415" s="396">
        <v>11716</v>
      </c>
      <c r="F415" s="396">
        <v>357.12</v>
      </c>
      <c r="G415" s="244" t="s">
        <v>32</v>
      </c>
      <c r="H415" s="69"/>
      <c r="I415" s="449">
        <v>-2.8963749549425568</v>
      </c>
      <c r="J415" s="451">
        <v>-1.08</v>
      </c>
      <c r="K415" s="401">
        <f t="shared" si="11"/>
        <v>24.824909408858296</v>
      </c>
      <c r="L415" s="429" t="s">
        <v>676</v>
      </c>
      <c r="M415" s="296" t="s">
        <v>85</v>
      </c>
      <c r="N415" s="459" t="s">
        <v>274</v>
      </c>
      <c r="O415" s="298" t="s">
        <v>35</v>
      </c>
      <c r="P415" s="314" t="s">
        <v>58</v>
      </c>
      <c r="Q415" s="430" t="s">
        <v>598</v>
      </c>
      <c r="R415" s="299" t="s">
        <v>81</v>
      </c>
      <c r="S415" s="300" t="s">
        <v>599</v>
      </c>
    </row>
    <row r="416" spans="1:19">
      <c r="A416" s="427" t="s">
        <v>60</v>
      </c>
      <c r="B416" s="199"/>
      <c r="C416" s="199"/>
      <c r="D416" s="199"/>
      <c r="E416" s="396">
        <v>11716</v>
      </c>
      <c r="F416" s="396">
        <v>357.12</v>
      </c>
      <c r="G416" s="244" t="s">
        <v>32</v>
      </c>
      <c r="H416" s="69"/>
      <c r="I416" s="449">
        <v>-3.8871608137015468</v>
      </c>
      <c r="J416" s="451">
        <v>-1.08</v>
      </c>
      <c r="K416" s="401">
        <f t="shared" si="11"/>
        <v>29.834439840633518</v>
      </c>
      <c r="L416" s="429" t="s">
        <v>676</v>
      </c>
      <c r="M416" s="296" t="s">
        <v>85</v>
      </c>
      <c r="N416" s="459" t="s">
        <v>274</v>
      </c>
      <c r="O416" s="298" t="s">
        <v>35</v>
      </c>
      <c r="P416" s="314" t="s">
        <v>58</v>
      </c>
      <c r="Q416" s="430" t="s">
        <v>598</v>
      </c>
      <c r="R416" s="299" t="s">
        <v>81</v>
      </c>
      <c r="S416" s="300" t="s">
        <v>599</v>
      </c>
    </row>
    <row r="417" spans="1:19">
      <c r="A417" s="427" t="s">
        <v>60</v>
      </c>
      <c r="B417" s="199"/>
      <c r="C417" s="199"/>
      <c r="D417" s="199"/>
      <c r="E417" s="396">
        <v>11716</v>
      </c>
      <c r="F417" s="396">
        <v>357.12</v>
      </c>
      <c r="G417" s="244" t="s">
        <v>32</v>
      </c>
      <c r="H417" s="69"/>
      <c r="I417" s="449">
        <v>-3.8453678401926696</v>
      </c>
      <c r="J417" s="451">
        <v>-1.08</v>
      </c>
      <c r="K417" s="401">
        <f t="shared" si="11"/>
        <v>29.619560114735457</v>
      </c>
      <c r="L417" s="429" t="s">
        <v>676</v>
      </c>
      <c r="M417" s="296" t="s">
        <v>85</v>
      </c>
      <c r="N417" s="459" t="s">
        <v>600</v>
      </c>
      <c r="O417" s="298" t="s">
        <v>35</v>
      </c>
      <c r="P417" s="314" t="s">
        <v>58</v>
      </c>
      <c r="Q417" s="430" t="s">
        <v>598</v>
      </c>
      <c r="R417" s="299" t="s">
        <v>81</v>
      </c>
      <c r="S417" s="300" t="s">
        <v>599</v>
      </c>
    </row>
    <row r="418" spans="1:19">
      <c r="A418" s="427" t="s">
        <v>60</v>
      </c>
      <c r="B418" s="199"/>
      <c r="C418" s="199"/>
      <c r="D418" s="199"/>
      <c r="E418" s="396">
        <v>11719</v>
      </c>
      <c r="F418" s="396">
        <v>357.21</v>
      </c>
      <c r="G418" s="244" t="s">
        <v>32</v>
      </c>
      <c r="H418" s="69"/>
      <c r="I418" s="449">
        <v>-3.3463461912266235</v>
      </c>
      <c r="J418" s="451">
        <v>-1.08</v>
      </c>
      <c r="K418" s="401">
        <f t="shared" si="11"/>
        <v>27.078115582555405</v>
      </c>
      <c r="L418" s="429" t="s">
        <v>676</v>
      </c>
      <c r="M418" s="296" t="s">
        <v>85</v>
      </c>
      <c r="N418" s="459" t="s">
        <v>274</v>
      </c>
      <c r="O418" s="298" t="s">
        <v>35</v>
      </c>
      <c r="P418" s="314" t="s">
        <v>58</v>
      </c>
      <c r="Q418" s="430" t="s">
        <v>598</v>
      </c>
      <c r="R418" s="299" t="s">
        <v>81</v>
      </c>
      <c r="S418" s="300" t="s">
        <v>599</v>
      </c>
    </row>
    <row r="419" spans="1:19">
      <c r="A419" s="427" t="s">
        <v>60</v>
      </c>
      <c r="B419" s="199"/>
      <c r="C419" s="199"/>
      <c r="D419" s="199"/>
      <c r="E419" s="396">
        <v>11719</v>
      </c>
      <c r="F419" s="396">
        <v>357.21</v>
      </c>
      <c r="G419" s="244" t="s">
        <v>32</v>
      </c>
      <c r="H419" s="69"/>
      <c r="I419" s="449">
        <v>-2.2960523097156118</v>
      </c>
      <c r="J419" s="451">
        <v>-1.08</v>
      </c>
      <c r="K419" s="401">
        <f t="shared" si="11"/>
        <v>21.875573206877259</v>
      </c>
      <c r="L419" s="429" t="s">
        <v>676</v>
      </c>
      <c r="M419" s="296" t="s">
        <v>85</v>
      </c>
      <c r="N419" s="459" t="s">
        <v>274</v>
      </c>
      <c r="O419" s="298" t="s">
        <v>35</v>
      </c>
      <c r="P419" s="314" t="s">
        <v>58</v>
      </c>
      <c r="Q419" s="430" t="s">
        <v>598</v>
      </c>
      <c r="R419" s="299" t="s">
        <v>81</v>
      </c>
      <c r="S419" s="300" t="s">
        <v>599</v>
      </c>
    </row>
    <row r="420" spans="1:19">
      <c r="A420" s="427" t="s">
        <v>60</v>
      </c>
      <c r="B420" s="199"/>
      <c r="C420" s="199"/>
      <c r="D420" s="199"/>
      <c r="E420" s="396">
        <v>11719</v>
      </c>
      <c r="F420" s="396">
        <v>357.21</v>
      </c>
      <c r="G420" s="244" t="s">
        <v>32</v>
      </c>
      <c r="H420" s="69"/>
      <c r="I420" s="449">
        <v>-2.858430483495126</v>
      </c>
      <c r="J420" s="451">
        <v>-1.08</v>
      </c>
      <c r="K420" s="401">
        <f t="shared" si="11"/>
        <v>24.636570792033609</v>
      </c>
      <c r="L420" s="429" t="s">
        <v>676</v>
      </c>
      <c r="M420" s="296" t="s">
        <v>85</v>
      </c>
      <c r="N420" s="459" t="s">
        <v>274</v>
      </c>
      <c r="O420" s="298" t="s">
        <v>35</v>
      </c>
      <c r="P420" s="314" t="s">
        <v>58</v>
      </c>
      <c r="Q420" s="430" t="s">
        <v>598</v>
      </c>
      <c r="R420" s="299" t="s">
        <v>81</v>
      </c>
      <c r="S420" s="300" t="s">
        <v>599</v>
      </c>
    </row>
    <row r="421" spans="1:19">
      <c r="A421" s="427" t="s">
        <v>60</v>
      </c>
      <c r="B421" s="199"/>
      <c r="C421" s="199"/>
      <c r="D421" s="199"/>
      <c r="E421" s="396">
        <v>11719</v>
      </c>
      <c r="F421" s="396">
        <v>357.21</v>
      </c>
      <c r="G421" s="244" t="s">
        <v>32</v>
      </c>
      <c r="H421" s="69"/>
      <c r="I421" s="449">
        <v>-2.7718839286156678</v>
      </c>
      <c r="J421" s="451">
        <v>-1.08</v>
      </c>
      <c r="K421" s="401">
        <f t="shared" si="11"/>
        <v>24.207963839288418</v>
      </c>
      <c r="L421" s="429" t="s">
        <v>676</v>
      </c>
      <c r="M421" s="296" t="s">
        <v>85</v>
      </c>
      <c r="N421" s="459" t="s">
        <v>274</v>
      </c>
      <c r="O421" s="298" t="s">
        <v>35</v>
      </c>
      <c r="P421" s="314" t="s">
        <v>58</v>
      </c>
      <c r="Q421" s="430" t="s">
        <v>598</v>
      </c>
      <c r="R421" s="299" t="s">
        <v>81</v>
      </c>
      <c r="S421" s="300" t="s">
        <v>599</v>
      </c>
    </row>
    <row r="422" spans="1:19">
      <c r="A422" s="427" t="s">
        <v>60</v>
      </c>
      <c r="B422" s="199"/>
      <c r="C422" s="199"/>
      <c r="D422" s="199"/>
      <c r="E422" s="396">
        <v>11725</v>
      </c>
      <c r="F422" s="396">
        <v>357.39</v>
      </c>
      <c r="G422" s="244" t="s">
        <v>32</v>
      </c>
      <c r="H422" s="69"/>
      <c r="I422" s="449">
        <v>-2.9183873649627694</v>
      </c>
      <c r="J422" s="451">
        <v>-1.08</v>
      </c>
      <c r="K422" s="401">
        <f t="shared" si="11"/>
        <v>24.934287502756177</v>
      </c>
      <c r="L422" s="429" t="s">
        <v>676</v>
      </c>
      <c r="M422" s="296" t="s">
        <v>85</v>
      </c>
      <c r="N422" s="459" t="s">
        <v>600</v>
      </c>
      <c r="O422" s="298" t="s">
        <v>35</v>
      </c>
      <c r="P422" s="314" t="s">
        <v>58</v>
      </c>
      <c r="Q422" s="430" t="s">
        <v>598</v>
      </c>
      <c r="R422" s="299" t="s">
        <v>81</v>
      </c>
      <c r="S422" s="300" t="s">
        <v>599</v>
      </c>
    </row>
    <row r="423" spans="1:19">
      <c r="A423" s="427" t="s">
        <v>60</v>
      </c>
      <c r="B423" s="199"/>
      <c r="C423" s="199"/>
      <c r="D423" s="199"/>
      <c r="E423" s="396">
        <v>11725</v>
      </c>
      <c r="F423" s="396">
        <v>357.39</v>
      </c>
      <c r="G423" s="244" t="s">
        <v>32</v>
      </c>
      <c r="H423" s="69"/>
      <c r="I423" s="449">
        <v>-2.4035536618481093</v>
      </c>
      <c r="J423" s="451">
        <v>-1.08</v>
      </c>
      <c r="K423" s="401">
        <f t="shared" si="11"/>
        <v>22.398950477596468</v>
      </c>
      <c r="L423" s="429" t="s">
        <v>676</v>
      </c>
      <c r="M423" s="296" t="s">
        <v>85</v>
      </c>
      <c r="N423" s="459" t="s">
        <v>600</v>
      </c>
      <c r="O423" s="298" t="s">
        <v>35</v>
      </c>
      <c r="P423" s="314" t="s">
        <v>58</v>
      </c>
      <c r="Q423" s="430" t="s">
        <v>598</v>
      </c>
      <c r="R423" s="299" t="s">
        <v>81</v>
      </c>
      <c r="S423" s="300" t="s">
        <v>599</v>
      </c>
    </row>
    <row r="424" spans="1:19">
      <c r="A424" s="427" t="s">
        <v>60</v>
      </c>
      <c r="B424" s="199"/>
      <c r="C424" s="199"/>
      <c r="D424" s="199"/>
      <c r="E424" s="396">
        <v>11725</v>
      </c>
      <c r="F424" s="396">
        <v>357.39</v>
      </c>
      <c r="G424" s="244" t="s">
        <v>32</v>
      </c>
      <c r="H424" s="69"/>
      <c r="I424" s="449">
        <v>-2.7176255522428914</v>
      </c>
      <c r="J424" s="451">
        <v>-1.08</v>
      </c>
      <c r="K424" s="401">
        <f t="shared" si="11"/>
        <v>23.939946132849311</v>
      </c>
      <c r="L424" s="429" t="s">
        <v>676</v>
      </c>
      <c r="M424" s="296" t="s">
        <v>85</v>
      </c>
      <c r="N424" s="459" t="s">
        <v>600</v>
      </c>
      <c r="O424" s="298" t="s">
        <v>35</v>
      </c>
      <c r="P424" s="314" t="s">
        <v>58</v>
      </c>
      <c r="Q424" s="430" t="s">
        <v>598</v>
      </c>
      <c r="R424" s="299" t="s">
        <v>81</v>
      </c>
      <c r="S424" s="300" t="s">
        <v>599</v>
      </c>
    </row>
    <row r="425" spans="1:19">
      <c r="A425" s="427" t="s">
        <v>60</v>
      </c>
      <c r="B425" s="199"/>
      <c r="C425" s="199"/>
      <c r="D425" s="199"/>
      <c r="E425" s="396">
        <v>117280</v>
      </c>
      <c r="F425" s="462">
        <v>357.4923</v>
      </c>
      <c r="G425" s="244" t="s">
        <v>32</v>
      </c>
      <c r="H425" s="69"/>
      <c r="I425" s="449">
        <v>-3.0511799070649399</v>
      </c>
      <c r="J425" s="451">
        <v>-1.08</v>
      </c>
      <c r="K425" s="401">
        <f t="shared" si="11"/>
        <v>25.595974289122807</v>
      </c>
      <c r="L425" s="429" t="s">
        <v>676</v>
      </c>
      <c r="M425" s="296" t="s">
        <v>85</v>
      </c>
      <c r="N425" s="459" t="s">
        <v>600</v>
      </c>
      <c r="O425" s="298" t="s">
        <v>35</v>
      </c>
      <c r="P425" s="314" t="s">
        <v>58</v>
      </c>
      <c r="Q425" s="430" t="s">
        <v>598</v>
      </c>
      <c r="R425" s="299" t="s">
        <v>81</v>
      </c>
      <c r="S425" s="300" t="s">
        <v>599</v>
      </c>
    </row>
    <row r="426" spans="1:19">
      <c r="A426" s="427" t="s">
        <v>60</v>
      </c>
      <c r="B426" s="199"/>
      <c r="C426" s="199"/>
      <c r="D426" s="199"/>
      <c r="E426" s="396">
        <v>11731</v>
      </c>
      <c r="F426" s="462">
        <v>357.57612000000006</v>
      </c>
      <c r="G426" s="244" t="s">
        <v>32</v>
      </c>
      <c r="H426" s="69"/>
      <c r="I426" s="449">
        <v>-1.6538193380856336</v>
      </c>
      <c r="J426" s="451">
        <v>-1.08</v>
      </c>
      <c r="K426" s="401">
        <f t="shared" si="11"/>
        <v>18.792155905665837</v>
      </c>
      <c r="L426" s="429" t="s">
        <v>676</v>
      </c>
      <c r="M426" s="296" t="s">
        <v>85</v>
      </c>
      <c r="N426" s="459" t="s">
        <v>600</v>
      </c>
      <c r="O426" s="298" t="s">
        <v>35</v>
      </c>
      <c r="P426" s="314" t="s">
        <v>58</v>
      </c>
      <c r="Q426" s="430" t="s">
        <v>598</v>
      </c>
      <c r="R426" s="299" t="s">
        <v>81</v>
      </c>
      <c r="S426" s="300" t="s">
        <v>599</v>
      </c>
    </row>
    <row r="427" spans="1:19">
      <c r="A427" s="427" t="s">
        <v>60</v>
      </c>
      <c r="B427" s="199"/>
      <c r="C427" s="199"/>
      <c r="D427" s="199"/>
      <c r="E427" s="391">
        <v>11766</v>
      </c>
      <c r="F427" s="462">
        <v>358.64292000000006</v>
      </c>
      <c r="G427" s="244" t="s">
        <v>32</v>
      </c>
      <c r="H427" s="69"/>
      <c r="I427" s="449">
        <v>-3.0813720802627715</v>
      </c>
      <c r="J427" s="451">
        <v>-1.08</v>
      </c>
      <c r="K427" s="401">
        <f t="shared" si="11"/>
        <v>25.74686057074824</v>
      </c>
      <c r="L427" s="429" t="s">
        <v>676</v>
      </c>
      <c r="M427" s="296" t="s">
        <v>85</v>
      </c>
      <c r="N427" s="459" t="s">
        <v>274</v>
      </c>
      <c r="O427" s="298" t="s">
        <v>35</v>
      </c>
      <c r="P427" s="314" t="s">
        <v>58</v>
      </c>
      <c r="Q427" s="430" t="s">
        <v>598</v>
      </c>
      <c r="R427" s="299" t="s">
        <v>81</v>
      </c>
      <c r="S427" s="300" t="s">
        <v>599</v>
      </c>
    </row>
    <row r="428" spans="1:19">
      <c r="A428" s="427" t="s">
        <v>60</v>
      </c>
      <c r="B428" s="199"/>
      <c r="C428" s="199"/>
      <c r="D428" s="199"/>
      <c r="E428" s="391">
        <v>11772</v>
      </c>
      <c r="F428" s="462">
        <v>358.82580000000007</v>
      </c>
      <c r="G428" s="69" t="s">
        <v>601</v>
      </c>
      <c r="H428" s="69"/>
      <c r="I428" s="449">
        <v>-2.9385102189177887</v>
      </c>
      <c r="J428" s="451">
        <v>-1.08</v>
      </c>
      <c r="K428" s="787">
        <f t="shared" si="11"/>
        <v>25.03435283682251</v>
      </c>
      <c r="L428" s="429" t="s">
        <v>676</v>
      </c>
      <c r="M428" s="296" t="s">
        <v>85</v>
      </c>
      <c r="N428" s="459" t="s">
        <v>274</v>
      </c>
      <c r="O428" s="298" t="s">
        <v>35</v>
      </c>
      <c r="P428" s="314" t="s">
        <v>58</v>
      </c>
      <c r="Q428" s="430" t="s">
        <v>598</v>
      </c>
      <c r="R428" s="299" t="s">
        <v>81</v>
      </c>
      <c r="S428" s="300" t="s">
        <v>599</v>
      </c>
    </row>
    <row r="429" spans="1:19">
      <c r="A429" s="431" t="s">
        <v>60</v>
      </c>
      <c r="B429" s="432"/>
      <c r="C429" s="432"/>
      <c r="D429" s="432"/>
      <c r="E429" s="393">
        <v>11776</v>
      </c>
      <c r="F429" s="385">
        <v>358.94772000000006</v>
      </c>
      <c r="G429" s="183" t="s">
        <v>662</v>
      </c>
      <c r="H429" s="183"/>
      <c r="I429" s="456">
        <v>-3.0630493848363951</v>
      </c>
      <c r="J429" s="454">
        <v>-1.08</v>
      </c>
      <c r="K429" s="403">
        <f t="shared" si="11"/>
        <v>25.655272783283873</v>
      </c>
      <c r="L429" s="435" t="s">
        <v>676</v>
      </c>
      <c r="M429" s="386" t="s">
        <v>85</v>
      </c>
      <c r="N429" s="393" t="s">
        <v>274</v>
      </c>
      <c r="O429" s="390" t="s">
        <v>35</v>
      </c>
      <c r="P429" s="388" t="s">
        <v>58</v>
      </c>
      <c r="Q429" s="436" t="s">
        <v>598</v>
      </c>
      <c r="R429" s="299" t="s">
        <v>81</v>
      </c>
      <c r="S429" s="300" t="s">
        <v>599</v>
      </c>
    </row>
    <row r="430" spans="1:19">
      <c r="A430" s="427" t="s">
        <v>60</v>
      </c>
      <c r="B430" s="199"/>
      <c r="C430" s="199"/>
      <c r="D430" s="199"/>
      <c r="E430" s="396">
        <v>11719</v>
      </c>
      <c r="F430" s="396">
        <v>357.21</v>
      </c>
      <c r="G430" s="69" t="s">
        <v>32</v>
      </c>
      <c r="H430" s="69"/>
      <c r="I430" s="449">
        <v>-3.5970118489502374</v>
      </c>
      <c r="J430" s="451">
        <v>-1.08</v>
      </c>
      <c r="K430" s="401">
        <f t="shared" ref="K430:K447" si="12">16.1-4.64*($I430-J430)+0.09*($I430-J430)^2</f>
        <v>28.349116357427135</v>
      </c>
      <c r="L430" s="464" t="s">
        <v>677</v>
      </c>
      <c r="M430" s="296" t="s">
        <v>85</v>
      </c>
      <c r="N430" s="459" t="s">
        <v>274</v>
      </c>
      <c r="O430" s="298" t="s">
        <v>35</v>
      </c>
      <c r="P430" s="314" t="s">
        <v>58</v>
      </c>
      <c r="Q430" s="430" t="s">
        <v>598</v>
      </c>
      <c r="R430" s="299" t="s">
        <v>81</v>
      </c>
      <c r="S430" s="300" t="s">
        <v>599</v>
      </c>
    </row>
    <row r="431" spans="1:19">
      <c r="A431" s="427" t="s">
        <v>60</v>
      </c>
      <c r="B431" s="199"/>
      <c r="C431" s="199"/>
      <c r="D431" s="199"/>
      <c r="E431" s="396">
        <v>11725</v>
      </c>
      <c r="F431" s="396">
        <v>357.39</v>
      </c>
      <c r="G431" s="69" t="s">
        <v>32</v>
      </c>
      <c r="H431" s="69"/>
      <c r="I431" s="449">
        <v>-3.4255428598658835</v>
      </c>
      <c r="J431" s="451">
        <v>-1.08</v>
      </c>
      <c r="K431" s="401">
        <f t="shared" si="12"/>
        <v>27.478460287449803</v>
      </c>
      <c r="L431" s="464" t="s">
        <v>677</v>
      </c>
      <c r="M431" s="296" t="s">
        <v>85</v>
      </c>
      <c r="N431" s="459" t="s">
        <v>37</v>
      </c>
      <c r="O431" s="298" t="s">
        <v>35</v>
      </c>
      <c r="P431" s="314" t="s">
        <v>58</v>
      </c>
      <c r="Q431" s="430" t="s">
        <v>598</v>
      </c>
      <c r="R431" s="299" t="s">
        <v>81</v>
      </c>
      <c r="S431" s="300" t="s">
        <v>599</v>
      </c>
    </row>
    <row r="432" spans="1:19">
      <c r="A432" s="427" t="s">
        <v>60</v>
      </c>
      <c r="B432" s="199"/>
      <c r="C432" s="199"/>
      <c r="D432" s="199"/>
      <c r="E432" s="396">
        <v>11737</v>
      </c>
      <c r="F432" s="462">
        <v>357.75900000000001</v>
      </c>
      <c r="G432" s="69" t="s">
        <v>601</v>
      </c>
      <c r="H432" s="69"/>
      <c r="I432" s="449">
        <v>-2.6802177731345642</v>
      </c>
      <c r="J432" s="451">
        <v>-1.08</v>
      </c>
      <c r="K432" s="787">
        <f t="shared" si="12"/>
        <v>23.755473190275396</v>
      </c>
      <c r="L432" s="464" t="s">
        <v>677</v>
      </c>
      <c r="M432" s="296" t="s">
        <v>85</v>
      </c>
      <c r="N432" s="459" t="s">
        <v>600</v>
      </c>
      <c r="O432" s="298" t="s">
        <v>35</v>
      </c>
      <c r="P432" s="314" t="s">
        <v>58</v>
      </c>
      <c r="Q432" s="430" t="s">
        <v>598</v>
      </c>
      <c r="R432" s="299" t="s">
        <v>81</v>
      </c>
      <c r="S432" s="300" t="s">
        <v>599</v>
      </c>
    </row>
    <row r="433" spans="1:19">
      <c r="A433" s="427" t="s">
        <v>60</v>
      </c>
      <c r="B433" s="199"/>
      <c r="C433" s="199"/>
      <c r="D433" s="199"/>
      <c r="E433" s="396">
        <v>11740</v>
      </c>
      <c r="F433" s="462">
        <v>357.85044000000005</v>
      </c>
      <c r="G433" s="69" t="s">
        <v>601</v>
      </c>
      <c r="H433" s="69"/>
      <c r="I433" s="449">
        <v>-2.8407765204659245</v>
      </c>
      <c r="J433" s="451">
        <v>-1.08</v>
      </c>
      <c r="K433" s="787">
        <f t="shared" si="12"/>
        <v>24.54903311091406</v>
      </c>
      <c r="L433" s="464" t="s">
        <v>677</v>
      </c>
      <c r="M433" s="296" t="s">
        <v>85</v>
      </c>
      <c r="N433" s="459" t="s">
        <v>274</v>
      </c>
      <c r="O433" s="298" t="s">
        <v>35</v>
      </c>
      <c r="P433" s="314" t="s">
        <v>58</v>
      </c>
      <c r="Q433" s="430" t="s">
        <v>598</v>
      </c>
      <c r="R433" s="299" t="s">
        <v>81</v>
      </c>
      <c r="S433" s="300" t="s">
        <v>599</v>
      </c>
    </row>
    <row r="434" spans="1:19">
      <c r="A434" s="427" t="s">
        <v>60</v>
      </c>
      <c r="B434" s="199"/>
      <c r="C434" s="199"/>
      <c r="D434" s="199"/>
      <c r="E434" s="463">
        <v>11742</v>
      </c>
      <c r="F434" s="462">
        <v>357.91140000000007</v>
      </c>
      <c r="G434" s="69" t="s">
        <v>601</v>
      </c>
      <c r="H434" s="69"/>
      <c r="I434" s="449">
        <v>-3.074425903553049</v>
      </c>
      <c r="J434" s="451">
        <v>-1.08</v>
      </c>
      <c r="K434" s="787">
        <f t="shared" si="12"/>
        <v>25.712132314114854</v>
      </c>
      <c r="L434" s="464" t="s">
        <v>677</v>
      </c>
      <c r="M434" s="296" t="s">
        <v>85</v>
      </c>
      <c r="N434" s="459" t="s">
        <v>274</v>
      </c>
      <c r="O434" s="298" t="s">
        <v>35</v>
      </c>
      <c r="P434" s="314" t="s">
        <v>58</v>
      </c>
      <c r="Q434" s="430" t="s">
        <v>598</v>
      </c>
      <c r="R434" s="299" t="s">
        <v>81</v>
      </c>
      <c r="S434" s="300" t="s">
        <v>599</v>
      </c>
    </row>
    <row r="435" spans="1:19">
      <c r="A435" s="427" t="s">
        <v>60</v>
      </c>
      <c r="B435" s="199"/>
      <c r="C435" s="199"/>
      <c r="D435" s="199"/>
      <c r="E435" s="463">
        <v>11742</v>
      </c>
      <c r="F435" s="462">
        <v>357.91140000000007</v>
      </c>
      <c r="G435" s="69" t="s">
        <v>601</v>
      </c>
      <c r="H435" s="69"/>
      <c r="I435" s="449">
        <v>-3.1273032541460335</v>
      </c>
      <c r="J435" s="451">
        <v>-1.08</v>
      </c>
      <c r="K435" s="787">
        <f t="shared" si="12"/>
        <v>25.97671765453692</v>
      </c>
      <c r="L435" s="464" t="s">
        <v>677</v>
      </c>
      <c r="M435" s="296" t="s">
        <v>85</v>
      </c>
      <c r="N435" s="459" t="s">
        <v>274</v>
      </c>
      <c r="O435" s="298" t="s">
        <v>35</v>
      </c>
      <c r="P435" s="314" t="s">
        <v>58</v>
      </c>
      <c r="Q435" s="430" t="s">
        <v>598</v>
      </c>
      <c r="R435" s="299" t="s">
        <v>81</v>
      </c>
      <c r="S435" s="300" t="s">
        <v>599</v>
      </c>
    </row>
    <row r="436" spans="1:19">
      <c r="A436" s="427" t="s">
        <v>60</v>
      </c>
      <c r="B436" s="199"/>
      <c r="C436" s="199"/>
      <c r="D436" s="199"/>
      <c r="E436" s="463">
        <v>11742</v>
      </c>
      <c r="F436" s="462">
        <v>357.91140000000007</v>
      </c>
      <c r="G436" s="69" t="s">
        <v>601</v>
      </c>
      <c r="H436" s="69"/>
      <c r="I436" s="449">
        <v>-3.021850327641757</v>
      </c>
      <c r="J436" s="451">
        <v>-1.08</v>
      </c>
      <c r="K436" s="787">
        <f t="shared" si="12"/>
        <v>25.449555962804368</v>
      </c>
      <c r="L436" s="464" t="s">
        <v>677</v>
      </c>
      <c r="M436" s="296" t="s">
        <v>85</v>
      </c>
      <c r="N436" s="459" t="s">
        <v>274</v>
      </c>
      <c r="O436" s="298" t="s">
        <v>35</v>
      </c>
      <c r="P436" s="314" t="s">
        <v>58</v>
      </c>
      <c r="Q436" s="430" t="s">
        <v>598</v>
      </c>
      <c r="R436" s="299" t="s">
        <v>81</v>
      </c>
      <c r="S436" s="300" t="s">
        <v>599</v>
      </c>
    </row>
    <row r="437" spans="1:19">
      <c r="A437" s="427" t="s">
        <v>60</v>
      </c>
      <c r="B437" s="199"/>
      <c r="C437" s="199"/>
      <c r="D437" s="199"/>
      <c r="E437" s="463">
        <v>11742</v>
      </c>
      <c r="F437" s="462">
        <v>357.91140000000007</v>
      </c>
      <c r="G437" s="69" t="s">
        <v>601</v>
      </c>
      <c r="H437" s="69"/>
      <c r="I437" s="449">
        <v>-2.3203022301295926</v>
      </c>
      <c r="J437" s="451">
        <v>-1.08</v>
      </c>
      <c r="K437" s="787">
        <f t="shared" si="12"/>
        <v>21.993453813787109</v>
      </c>
      <c r="L437" s="464" t="s">
        <v>677</v>
      </c>
      <c r="M437" s="296" t="s">
        <v>85</v>
      </c>
      <c r="N437" s="459" t="s">
        <v>274</v>
      </c>
      <c r="O437" s="298" t="s">
        <v>35</v>
      </c>
      <c r="P437" s="314" t="s">
        <v>58</v>
      </c>
      <c r="Q437" s="430" t="s">
        <v>598</v>
      </c>
      <c r="R437" s="299" t="s">
        <v>81</v>
      </c>
      <c r="S437" s="300" t="s">
        <v>599</v>
      </c>
    </row>
    <row r="438" spans="1:19">
      <c r="A438" s="427" t="s">
        <v>60</v>
      </c>
      <c r="B438" s="199"/>
      <c r="C438" s="199"/>
      <c r="D438" s="199"/>
      <c r="E438" s="391">
        <v>11752</v>
      </c>
      <c r="F438" s="462">
        <v>358.21620000000007</v>
      </c>
      <c r="G438" s="69" t="s">
        <v>601</v>
      </c>
      <c r="H438" s="69"/>
      <c r="I438" s="449">
        <v>-1.5068523909612999</v>
      </c>
      <c r="J438" s="451">
        <v>-1.08</v>
      </c>
      <c r="K438" s="787">
        <f t="shared" si="12"/>
        <v>18.096993360790677</v>
      </c>
      <c r="L438" s="464" t="s">
        <v>677</v>
      </c>
      <c r="M438" s="296" t="s">
        <v>85</v>
      </c>
      <c r="N438" s="459" t="s">
        <v>274</v>
      </c>
      <c r="O438" s="298" t="s">
        <v>35</v>
      </c>
      <c r="P438" s="314" t="s">
        <v>58</v>
      </c>
      <c r="Q438" s="430" t="s">
        <v>598</v>
      </c>
      <c r="R438" s="299" t="s">
        <v>81</v>
      </c>
      <c r="S438" s="300" t="s">
        <v>599</v>
      </c>
    </row>
    <row r="439" spans="1:19">
      <c r="A439" s="427" t="s">
        <v>60</v>
      </c>
      <c r="B439" s="199"/>
      <c r="C439" s="199"/>
      <c r="D439" s="199"/>
      <c r="E439" s="391">
        <v>11752</v>
      </c>
      <c r="F439" s="462">
        <v>358.21620000000007</v>
      </c>
      <c r="G439" s="69" t="s">
        <v>601</v>
      </c>
      <c r="H439" s="69"/>
      <c r="I439" s="449">
        <v>-1.5381666026201484</v>
      </c>
      <c r="J439" s="451">
        <v>-1.08</v>
      </c>
      <c r="K439" s="787">
        <f t="shared" si="12"/>
        <v>18.244785533375573</v>
      </c>
      <c r="L439" s="464" t="s">
        <v>677</v>
      </c>
      <c r="M439" s="296" t="s">
        <v>85</v>
      </c>
      <c r="N439" s="459" t="s">
        <v>274</v>
      </c>
      <c r="O439" s="298" t="s">
        <v>35</v>
      </c>
      <c r="P439" s="314" t="s">
        <v>58</v>
      </c>
      <c r="Q439" s="430" t="s">
        <v>598</v>
      </c>
      <c r="R439" s="299" t="s">
        <v>81</v>
      </c>
      <c r="S439" s="300" t="s">
        <v>599</v>
      </c>
    </row>
    <row r="440" spans="1:19">
      <c r="A440" s="427" t="s">
        <v>60</v>
      </c>
      <c r="B440" s="199"/>
      <c r="C440" s="199"/>
      <c r="D440" s="199"/>
      <c r="E440" s="391">
        <v>11761</v>
      </c>
      <c r="F440" s="462">
        <v>358.49052000000006</v>
      </c>
      <c r="G440" s="69" t="s">
        <v>601</v>
      </c>
      <c r="H440" s="69"/>
      <c r="I440" s="449">
        <v>-2.773960999228601</v>
      </c>
      <c r="J440" s="451">
        <v>-1.08</v>
      </c>
      <c r="K440" s="787">
        <f t="shared" si="12"/>
        <v>24.21823438444239</v>
      </c>
      <c r="L440" s="464" t="s">
        <v>677</v>
      </c>
      <c r="M440" s="296" t="s">
        <v>85</v>
      </c>
      <c r="N440" s="459" t="s">
        <v>274</v>
      </c>
      <c r="O440" s="298" t="s">
        <v>35</v>
      </c>
      <c r="P440" s="314" t="s">
        <v>58</v>
      </c>
      <c r="Q440" s="430" t="s">
        <v>598</v>
      </c>
      <c r="R440" s="299" t="s">
        <v>81</v>
      </c>
      <c r="S440" s="300" t="s">
        <v>599</v>
      </c>
    </row>
    <row r="441" spans="1:19">
      <c r="A441" s="427" t="s">
        <v>60</v>
      </c>
      <c r="B441" s="199"/>
      <c r="C441" s="199"/>
      <c r="D441" s="199"/>
      <c r="E441" s="391">
        <v>11766</v>
      </c>
      <c r="F441" s="462">
        <v>358.64292000000006</v>
      </c>
      <c r="G441" s="69" t="s">
        <v>601</v>
      </c>
      <c r="H441" s="69"/>
      <c r="I441" s="449">
        <v>-2.7281431270226708</v>
      </c>
      <c r="J441" s="451">
        <v>-1.08</v>
      </c>
      <c r="K441" s="787">
        <f t="shared" si="12"/>
        <v>23.991857928428882</v>
      </c>
      <c r="L441" s="464" t="s">
        <v>677</v>
      </c>
      <c r="M441" s="296" t="s">
        <v>85</v>
      </c>
      <c r="N441" s="459" t="s">
        <v>274</v>
      </c>
      <c r="O441" s="298" t="s">
        <v>35</v>
      </c>
      <c r="P441" s="314" t="s">
        <v>58</v>
      </c>
      <c r="Q441" s="430" t="s">
        <v>598</v>
      </c>
      <c r="R441" s="299" t="s">
        <v>81</v>
      </c>
      <c r="S441" s="300" t="s">
        <v>599</v>
      </c>
    </row>
    <row r="442" spans="1:19">
      <c r="A442" s="427" t="s">
        <v>60</v>
      </c>
      <c r="B442" s="199"/>
      <c r="C442" s="199"/>
      <c r="D442" s="199"/>
      <c r="E442" s="391">
        <v>11766</v>
      </c>
      <c r="F442" s="462">
        <v>358.64292000000006</v>
      </c>
      <c r="G442" s="69" t="s">
        <v>601</v>
      </c>
      <c r="H442" s="69"/>
      <c r="I442" s="449">
        <v>-1.5678546394698032</v>
      </c>
      <c r="J442" s="451">
        <v>-1.08</v>
      </c>
      <c r="K442" s="787">
        <f t="shared" si="12"/>
        <v>18.385065720572587</v>
      </c>
      <c r="L442" s="464" t="s">
        <v>677</v>
      </c>
      <c r="M442" s="296" t="s">
        <v>85</v>
      </c>
      <c r="N442" s="459" t="s">
        <v>274</v>
      </c>
      <c r="O442" s="298" t="s">
        <v>35</v>
      </c>
      <c r="P442" s="314" t="s">
        <v>58</v>
      </c>
      <c r="Q442" s="430" t="s">
        <v>598</v>
      </c>
      <c r="R442" s="299" t="s">
        <v>81</v>
      </c>
      <c r="S442" s="300" t="s">
        <v>599</v>
      </c>
    </row>
    <row r="443" spans="1:19">
      <c r="A443" s="427" t="s">
        <v>60</v>
      </c>
      <c r="B443" s="199"/>
      <c r="C443" s="199"/>
      <c r="D443" s="199"/>
      <c r="E443" s="391">
        <v>11766</v>
      </c>
      <c r="F443" s="462">
        <v>358.64292000000006</v>
      </c>
      <c r="G443" s="69" t="s">
        <v>601</v>
      </c>
      <c r="H443" s="69"/>
      <c r="I443" s="449">
        <v>-2.0635971617184641</v>
      </c>
      <c r="J443" s="451">
        <v>-1.08</v>
      </c>
      <c r="K443" s="787">
        <f t="shared" si="12"/>
        <v>20.750962534262328</v>
      </c>
      <c r="L443" s="464" t="s">
        <v>677</v>
      </c>
      <c r="M443" s="296" t="s">
        <v>85</v>
      </c>
      <c r="N443" s="459" t="s">
        <v>274</v>
      </c>
      <c r="O443" s="298" t="s">
        <v>35</v>
      </c>
      <c r="P443" s="314" t="s">
        <v>58</v>
      </c>
      <c r="Q443" s="430" t="s">
        <v>598</v>
      </c>
      <c r="R443" s="299" t="s">
        <v>81</v>
      </c>
      <c r="S443" s="300" t="s">
        <v>599</v>
      </c>
    </row>
    <row r="444" spans="1:19">
      <c r="A444" s="427" t="s">
        <v>60</v>
      </c>
      <c r="B444" s="199"/>
      <c r="C444" s="199"/>
      <c r="D444" s="199"/>
      <c r="E444" s="391">
        <v>11772</v>
      </c>
      <c r="F444" s="462">
        <v>358.82580000000007</v>
      </c>
      <c r="G444" s="69" t="s">
        <v>601</v>
      </c>
      <c r="H444" s="69"/>
      <c r="I444" s="449">
        <v>-2.9025338112536478</v>
      </c>
      <c r="J444" s="451">
        <v>-1.08</v>
      </c>
      <c r="K444" s="787">
        <f t="shared" si="12"/>
        <v>24.855503538601571</v>
      </c>
      <c r="L444" s="464" t="s">
        <v>677</v>
      </c>
      <c r="M444" s="296" t="s">
        <v>85</v>
      </c>
      <c r="N444" s="459" t="s">
        <v>274</v>
      </c>
      <c r="O444" s="298" t="s">
        <v>35</v>
      </c>
      <c r="P444" s="314" t="s">
        <v>58</v>
      </c>
      <c r="Q444" s="430" t="s">
        <v>598</v>
      </c>
      <c r="R444" s="299" t="s">
        <v>81</v>
      </c>
      <c r="S444" s="300" t="s">
        <v>599</v>
      </c>
    </row>
    <row r="445" spans="1:19">
      <c r="A445" s="427" t="s">
        <v>60</v>
      </c>
      <c r="B445" s="199"/>
      <c r="C445" s="199"/>
      <c r="D445" s="199"/>
      <c r="E445" s="391">
        <v>11772</v>
      </c>
      <c r="F445" s="462">
        <v>358.82580000000007</v>
      </c>
      <c r="G445" s="69" t="s">
        <v>601</v>
      </c>
      <c r="H445" s="69"/>
      <c r="I445" s="449">
        <v>-2.7429390697592488</v>
      </c>
      <c r="J445" s="451">
        <v>-1.08</v>
      </c>
      <c r="K445" s="787">
        <f t="shared" si="12"/>
        <v>24.064920255158775</v>
      </c>
      <c r="L445" s="464" t="s">
        <v>677</v>
      </c>
      <c r="M445" s="296" t="s">
        <v>85</v>
      </c>
      <c r="N445" s="459" t="s">
        <v>274</v>
      </c>
      <c r="O445" s="298" t="s">
        <v>35</v>
      </c>
      <c r="P445" s="314" t="s">
        <v>58</v>
      </c>
      <c r="Q445" s="430" t="s">
        <v>598</v>
      </c>
      <c r="R445" s="299" t="s">
        <v>81</v>
      </c>
      <c r="S445" s="300" t="s">
        <v>599</v>
      </c>
    </row>
    <row r="446" spans="1:19">
      <c r="A446" s="427" t="s">
        <v>60</v>
      </c>
      <c r="B446" s="199"/>
      <c r="C446" s="199"/>
      <c r="D446" s="199"/>
      <c r="E446" s="391">
        <v>11772</v>
      </c>
      <c r="F446" s="462">
        <v>358.82580000000007</v>
      </c>
      <c r="G446" s="69" t="s">
        <v>601</v>
      </c>
      <c r="H446" s="69"/>
      <c r="I446" s="449">
        <v>-2.2253486531078592</v>
      </c>
      <c r="J446" s="451">
        <v>-1.08</v>
      </c>
      <c r="K446" s="787">
        <f t="shared" si="12"/>
        <v>21.532481868766308</v>
      </c>
      <c r="L446" s="464" t="s">
        <v>677</v>
      </c>
      <c r="M446" s="296" t="s">
        <v>85</v>
      </c>
      <c r="N446" s="459" t="s">
        <v>274</v>
      </c>
      <c r="O446" s="298" t="s">
        <v>35</v>
      </c>
      <c r="P446" s="314" t="s">
        <v>58</v>
      </c>
      <c r="Q446" s="430" t="s">
        <v>598</v>
      </c>
      <c r="R446" s="299" t="s">
        <v>81</v>
      </c>
      <c r="S446" s="300" t="s">
        <v>599</v>
      </c>
    </row>
    <row r="447" spans="1:19">
      <c r="A447" s="427" t="s">
        <v>60</v>
      </c>
      <c r="B447" s="199"/>
      <c r="C447" s="199"/>
      <c r="D447" s="199"/>
      <c r="E447" s="391">
        <v>11776</v>
      </c>
      <c r="F447" s="382">
        <v>358.94772000000006</v>
      </c>
      <c r="G447" s="69" t="s">
        <v>601</v>
      </c>
      <c r="H447" s="69"/>
      <c r="I447" s="449">
        <v>-3.2331551331403112</v>
      </c>
      <c r="J447" s="451">
        <v>-1.08</v>
      </c>
      <c r="K447" s="787">
        <f t="shared" si="12"/>
        <v>26.507886750234206</v>
      </c>
      <c r="L447" s="464" t="s">
        <v>677</v>
      </c>
      <c r="M447" s="296" t="s">
        <v>85</v>
      </c>
      <c r="N447" s="459" t="s">
        <v>274</v>
      </c>
      <c r="O447" s="298" t="s">
        <v>35</v>
      </c>
      <c r="P447" s="314" t="s">
        <v>58</v>
      </c>
      <c r="Q447" s="430" t="s">
        <v>598</v>
      </c>
      <c r="R447" s="299" t="s">
        <v>81</v>
      </c>
      <c r="S447" s="300" t="s">
        <v>599</v>
      </c>
    </row>
    <row r="448" spans="1:19" ht="13.5" thickBot="1">
      <c r="A448" s="200"/>
      <c r="B448" s="201"/>
      <c r="C448" s="201"/>
      <c r="D448" s="201"/>
      <c r="E448" s="201"/>
      <c r="F448" s="202"/>
      <c r="G448" s="202"/>
      <c r="H448" s="202"/>
      <c r="I448" s="465"/>
      <c r="J448" s="329"/>
      <c r="K448" s="442"/>
      <c r="L448" s="441"/>
      <c r="M448" s="201"/>
      <c r="N448" s="440"/>
      <c r="O448" s="442"/>
      <c r="P448" s="200"/>
      <c r="Q448" s="204"/>
      <c r="R448" s="329"/>
      <c r="S448" s="329"/>
    </row>
    <row r="449" spans="7:16">
      <c r="M449" s="191"/>
    </row>
    <row r="450" spans="7:16" ht="13.5" thickBot="1"/>
    <row r="451" spans="7:16" ht="13.5" thickBot="1">
      <c r="G451" s="729"/>
      <c r="H451" s="730" t="s">
        <v>607</v>
      </c>
      <c r="I451" s="730" t="s">
        <v>605</v>
      </c>
      <c r="J451" s="731">
        <v>0.05</v>
      </c>
      <c r="K451" s="730" t="s">
        <v>602</v>
      </c>
      <c r="L451" s="731">
        <v>0.95</v>
      </c>
      <c r="M451" s="732" t="s">
        <v>606</v>
      </c>
      <c r="N451" s="443"/>
      <c r="O451" s="443"/>
      <c r="P451" s="60"/>
    </row>
    <row r="452" spans="7:16">
      <c r="G452" s="673" t="s">
        <v>21</v>
      </c>
      <c r="H452" s="674"/>
      <c r="I452" s="675"/>
      <c r="J452" s="675"/>
      <c r="K452" s="675"/>
      <c r="L452" s="675"/>
      <c r="M452" s="676"/>
      <c r="N452" s="443"/>
      <c r="O452" s="443"/>
      <c r="P452" s="60"/>
    </row>
    <row r="453" spans="7:16">
      <c r="G453" s="673" t="s">
        <v>20</v>
      </c>
      <c r="H453" s="674">
        <f>COUNT(K18:K19,K28:K29,K35:K36,K76:K91,K136:K152,K221,K224:K227,K326:K332,K394:K409)</f>
        <v>67</v>
      </c>
      <c r="I453" s="675">
        <f>MIN(K18:K19,K28:K29,K35:K36,K76:K91,K136:K152,K221,K224:K227,K326:K332,K394:K409)</f>
        <v>23.793336816900002</v>
      </c>
      <c r="J453" s="675">
        <f>_xlfn.PERCENTILE.INC((K18:K19,K28:K29,K35:K36,K76:K91,K136:K152,K221,K224:K227,K326:K332,K394:K409),0.05)</f>
        <v>24.429657787544777</v>
      </c>
      <c r="K453" s="675">
        <f>AVERAGE(K18:K19,K28:K29,K35:K36,K76:K91,K136:K152,K221,K224:K227,K326:K332,K394:K409)</f>
        <v>27.597344595722646</v>
      </c>
      <c r="L453" s="675">
        <f>_xlfn.PERCENTILE.INC((K18:K19,K28:K29,K35:K36,K76:K91,K136:K152,K221,K224:K227,K326:K332,K394:K409),0.95)</f>
        <v>31.473711399999999</v>
      </c>
      <c r="M453" s="676">
        <f>MAX(K18:K19,K28:K29,K35:K36,K76:K91,K136:K152,K221,K224:K227,K326:K332,K394:K409)</f>
        <v>33.852152477521003</v>
      </c>
    </row>
    <row r="454" spans="7:16" ht="13.5" thickBot="1">
      <c r="G454" s="677" t="s">
        <v>601</v>
      </c>
      <c r="H454" s="678">
        <f>COUNT($K97:K99,K230,K352:K393,K428:K429,K432:K447)</f>
        <v>64</v>
      </c>
      <c r="I454" s="679">
        <f>MIN($K97:K99,K230,K352:K393,K428:K429,K432:K447)</f>
        <v>16.53357562046029</v>
      </c>
      <c r="J454" s="679">
        <f>_xlfn.PERCENTILE.INC((K97:K99,K230,K352:K393,K428:K429,K432:K447),0.05)</f>
        <v>17.927606329302677</v>
      </c>
      <c r="K454" s="679">
        <f>AVERAGE(K97:K99,K230,K352:K393,K428:K429,K432:K447)</f>
        <v>22.482696814677475</v>
      </c>
      <c r="L454" s="679">
        <f>_xlfn.PERCENTILE.INC((K97:K99,K230,K352:K393,K428:K429,K432:K447),0.95)</f>
        <v>26.42821138587961</v>
      </c>
      <c r="M454" s="680">
        <f>MAX(K97:K99,K230,K352:K393,K428:K429,K432:K447)</f>
        <v>27.591128024690427</v>
      </c>
    </row>
  </sheetData>
  <sortState xmlns:xlrd2="http://schemas.microsoft.com/office/spreadsheetml/2017/richdata2" ref="F24:I29">
    <sortCondition ref="F2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47"/>
  <sheetViews>
    <sheetView zoomScale="70" zoomScaleNormal="70" zoomScalePageLayoutView="150" workbookViewId="0">
      <selection activeCell="B4" sqref="B4"/>
    </sheetView>
  </sheetViews>
  <sheetFormatPr defaultColWidth="10.625" defaultRowHeight="12.75"/>
  <cols>
    <col min="1" max="1" width="15.625" style="69" customWidth="1"/>
    <col min="2" max="2" width="30.625" style="69" customWidth="1"/>
    <col min="3" max="3" width="16.125" style="69" bestFit="1" customWidth="1"/>
    <col min="4" max="5" width="10.625" style="69"/>
    <col min="6" max="6" width="10.625" style="156"/>
    <col min="7" max="7" width="13.5" style="69" bestFit="1" customWidth="1"/>
    <col min="8" max="8" width="10.625" style="69"/>
    <col min="9" max="9" width="10.625" style="156"/>
    <col min="10" max="10" width="15.25" style="69" customWidth="1"/>
    <col min="11" max="11" width="16.5" style="69" customWidth="1"/>
    <col min="12" max="12" width="15.625" style="69" customWidth="1"/>
    <col min="13" max="13" width="42" style="156" bestFit="1" customWidth="1"/>
    <col min="14" max="14" width="13" style="69" bestFit="1" customWidth="1"/>
    <col min="15" max="15" width="12" style="156" bestFit="1" customWidth="1"/>
    <col min="16" max="16" width="10.625" style="69"/>
    <col min="17" max="17" width="10.875" style="69" customWidth="1"/>
    <col min="18" max="18" width="13.625" style="69" bestFit="1" customWidth="1"/>
    <col min="19" max="19" width="17.5" style="69" bestFit="1" customWidth="1"/>
    <col min="20" max="20" width="22.875" style="69" bestFit="1" customWidth="1"/>
    <col min="21" max="16384" width="10.625" style="69"/>
  </cols>
  <sheetData>
    <row r="1" spans="1:21" s="11" customFormat="1" ht="15.75">
      <c r="A1" s="466" t="s">
        <v>1</v>
      </c>
      <c r="B1" s="668" t="s">
        <v>53</v>
      </c>
      <c r="C1" s="497"/>
      <c r="F1" s="41"/>
      <c r="I1" s="41"/>
      <c r="M1" s="41"/>
      <c r="O1" s="41"/>
      <c r="P1" s="41"/>
    </row>
    <row r="2" spans="1:21">
      <c r="A2" s="208" t="s">
        <v>636</v>
      </c>
      <c r="B2" s="146" t="s">
        <v>650</v>
      </c>
      <c r="C2" s="143"/>
      <c r="D2" s="144"/>
      <c r="E2" s="144"/>
      <c r="F2" s="144"/>
      <c r="G2" s="144"/>
      <c r="H2" s="144"/>
      <c r="I2" s="144"/>
      <c r="J2" s="144"/>
      <c r="K2" s="144"/>
      <c r="L2" s="144"/>
      <c r="M2" s="144"/>
      <c r="N2" s="144"/>
      <c r="O2" s="144"/>
      <c r="P2" s="144"/>
      <c r="Q2" s="144"/>
      <c r="R2" s="145"/>
      <c r="S2" s="145"/>
      <c r="T2" s="145"/>
      <c r="U2" s="145"/>
    </row>
    <row r="3" spans="1:21">
      <c r="A3" s="147" t="s">
        <v>0</v>
      </c>
      <c r="B3" s="225" t="s">
        <v>628</v>
      </c>
      <c r="C3" s="407"/>
      <c r="P3" s="156"/>
    </row>
    <row r="4" spans="1:21">
      <c r="A4" s="230" t="s">
        <v>621</v>
      </c>
      <c r="B4" s="483">
        <v>39.39</v>
      </c>
      <c r="C4" s="50"/>
      <c r="P4" s="156"/>
    </row>
    <row r="5" spans="1:21">
      <c r="A5" s="230" t="s">
        <v>622</v>
      </c>
      <c r="B5" s="483">
        <v>-75.08</v>
      </c>
      <c r="C5" s="50"/>
      <c r="P5" s="156"/>
    </row>
    <row r="6" spans="1:21">
      <c r="A6" s="232" t="s">
        <v>50</v>
      </c>
      <c r="B6" s="135">
        <v>34.01</v>
      </c>
      <c r="C6" s="407"/>
      <c r="P6" s="156"/>
    </row>
    <row r="7" spans="1:21">
      <c r="A7" s="141" t="s">
        <v>696</v>
      </c>
      <c r="B7" s="407" t="s">
        <v>190</v>
      </c>
      <c r="C7" s="407" t="s">
        <v>755</v>
      </c>
      <c r="P7" s="156"/>
    </row>
    <row r="8" spans="1:21" ht="38.25">
      <c r="A8" s="147" t="s">
        <v>2</v>
      </c>
      <c r="B8" s="408" t="s">
        <v>41</v>
      </c>
      <c r="C8" s="408" t="s">
        <v>265</v>
      </c>
      <c r="P8" s="156"/>
    </row>
    <row r="9" spans="1:21">
      <c r="A9" s="147" t="s">
        <v>3</v>
      </c>
      <c r="B9" s="407" t="s">
        <v>603</v>
      </c>
      <c r="C9" s="407"/>
      <c r="P9" s="156"/>
    </row>
    <row r="10" spans="1:21">
      <c r="A10" s="147" t="s">
        <v>4</v>
      </c>
      <c r="B10" s="484" t="s">
        <v>264</v>
      </c>
      <c r="C10" s="410" t="s">
        <v>402</v>
      </c>
      <c r="P10" s="156"/>
    </row>
    <row r="11" spans="1:21" ht="13.5" thickBot="1">
      <c r="G11" s="270"/>
      <c r="L11" s="533"/>
      <c r="P11" s="156"/>
    </row>
    <row r="12" spans="1:21" ht="39" thickBot="1">
      <c r="A12" s="412" t="s">
        <v>5</v>
      </c>
      <c r="B12" s="413" t="s">
        <v>6</v>
      </c>
      <c r="C12" s="413" t="s">
        <v>7</v>
      </c>
      <c r="D12" s="413" t="s">
        <v>8</v>
      </c>
      <c r="E12" s="413" t="s">
        <v>9</v>
      </c>
      <c r="F12" s="413" t="s">
        <v>43</v>
      </c>
      <c r="G12" s="212" t="s">
        <v>31</v>
      </c>
      <c r="H12" s="485" t="s">
        <v>10</v>
      </c>
      <c r="I12" s="160" t="s">
        <v>725</v>
      </c>
      <c r="J12" s="486" t="s">
        <v>49</v>
      </c>
      <c r="K12" s="215" t="s">
        <v>664</v>
      </c>
      <c r="L12" s="531" t="s">
        <v>659</v>
      </c>
      <c r="M12" s="416" t="s">
        <v>11</v>
      </c>
      <c r="N12" s="416" t="s">
        <v>12</v>
      </c>
      <c r="O12" s="416" t="s">
        <v>36</v>
      </c>
      <c r="P12" s="417" t="s">
        <v>34</v>
      </c>
      <c r="Q12" s="418" t="s">
        <v>13</v>
      </c>
      <c r="R12" s="417" t="s">
        <v>14</v>
      </c>
      <c r="S12" s="419" t="s">
        <v>15</v>
      </c>
      <c r="T12" s="420" t="s">
        <v>38</v>
      </c>
    </row>
    <row r="13" spans="1:21">
      <c r="A13" s="421"/>
      <c r="B13" s="422"/>
      <c r="C13" s="422"/>
      <c r="D13" s="422"/>
      <c r="E13" s="422"/>
      <c r="F13" s="422"/>
      <c r="G13" s="422"/>
      <c r="H13" s="487"/>
      <c r="I13" s="424"/>
      <c r="J13" s="488"/>
      <c r="K13" s="489"/>
      <c r="L13" s="532"/>
      <c r="M13" s="289"/>
      <c r="N13" s="289"/>
      <c r="O13" s="289"/>
      <c r="P13" s="290"/>
      <c r="Q13" s="288"/>
      <c r="R13" s="290"/>
      <c r="S13" s="426"/>
      <c r="T13" s="291"/>
    </row>
    <row r="14" spans="1:21">
      <c r="A14" s="427" t="s">
        <v>53</v>
      </c>
      <c r="B14" s="428"/>
      <c r="C14" s="428"/>
      <c r="D14" s="428"/>
      <c r="E14" s="445"/>
      <c r="F14" s="471">
        <v>261.21359999999999</v>
      </c>
      <c r="G14" s="69" t="s">
        <v>403</v>
      </c>
      <c r="H14" s="490"/>
      <c r="I14" s="472">
        <v>-2.9472700000000001</v>
      </c>
      <c r="J14" s="473">
        <v>-1.1599999999999999</v>
      </c>
      <c r="K14" s="60">
        <v>-1.08</v>
      </c>
      <c r="L14" s="491">
        <f>16.1-4.64*($I14-K14)+0.09*($I14-K14)^2</f>
        <v>25.077935552760998</v>
      </c>
      <c r="M14" s="395" t="s">
        <v>33</v>
      </c>
      <c r="N14" s="296" t="s">
        <v>16</v>
      </c>
      <c r="O14" s="297" t="s">
        <v>37</v>
      </c>
      <c r="P14" s="298" t="s">
        <v>35</v>
      </c>
      <c r="Q14" s="314" t="s">
        <v>58</v>
      </c>
      <c r="R14" s="307" t="s">
        <v>40</v>
      </c>
      <c r="S14" s="299" t="s">
        <v>40</v>
      </c>
      <c r="T14" s="309" t="s">
        <v>39</v>
      </c>
    </row>
    <row r="15" spans="1:21">
      <c r="A15" s="427" t="s">
        <v>53</v>
      </c>
      <c r="B15" s="199"/>
      <c r="C15" s="199"/>
      <c r="D15" s="199"/>
      <c r="E15" s="199"/>
      <c r="F15" s="471">
        <v>261.51839999999999</v>
      </c>
      <c r="G15" s="199" t="s">
        <v>59</v>
      </c>
      <c r="H15" s="474"/>
      <c r="I15" s="472">
        <v>-3.2511999999999999</v>
      </c>
      <c r="J15" s="473">
        <v>-1.1599999999999999</v>
      </c>
      <c r="K15" s="60">
        <v>-1.08</v>
      </c>
      <c r="L15" s="491">
        <f t="shared" ref="L15:L20" si="0">16.1-4.64*($I15-K15)+0.09*($I15-K15)^2</f>
        <v>26.598637849599999</v>
      </c>
      <c r="M15" s="395" t="s">
        <v>33</v>
      </c>
      <c r="N15" s="296" t="s">
        <v>16</v>
      </c>
      <c r="O15" s="297" t="s">
        <v>37</v>
      </c>
      <c r="P15" s="298" t="s">
        <v>35</v>
      </c>
      <c r="Q15" s="314" t="s">
        <v>58</v>
      </c>
      <c r="R15" s="307" t="s">
        <v>40</v>
      </c>
      <c r="S15" s="299" t="s">
        <v>40</v>
      </c>
      <c r="T15" s="300"/>
    </row>
    <row r="16" spans="1:21">
      <c r="A16" s="427" t="s">
        <v>53</v>
      </c>
      <c r="B16" s="199"/>
      <c r="C16" s="199"/>
      <c r="D16" s="199"/>
      <c r="E16" s="199"/>
      <c r="F16" s="471">
        <v>261.82168000000001</v>
      </c>
      <c r="G16" s="199" t="s">
        <v>59</v>
      </c>
      <c r="H16" s="474"/>
      <c r="I16" s="472">
        <v>-3.23441</v>
      </c>
      <c r="J16" s="473">
        <v>-1.1599999999999999</v>
      </c>
      <c r="K16" s="60">
        <v>-1.08</v>
      </c>
      <c r="L16" s="491">
        <f t="shared" si="0"/>
        <v>26.514195820329</v>
      </c>
      <c r="M16" s="395" t="s">
        <v>33</v>
      </c>
      <c r="N16" s="296" t="s">
        <v>16</v>
      </c>
      <c r="O16" s="297" t="s">
        <v>37</v>
      </c>
      <c r="P16" s="298" t="s">
        <v>35</v>
      </c>
      <c r="Q16" s="314" t="s">
        <v>58</v>
      </c>
      <c r="R16" s="307" t="s">
        <v>40</v>
      </c>
      <c r="S16" s="299" t="s">
        <v>40</v>
      </c>
      <c r="T16" s="300"/>
    </row>
    <row r="17" spans="1:20">
      <c r="A17" s="427" t="s">
        <v>53</v>
      </c>
      <c r="B17" s="199"/>
      <c r="C17" s="199"/>
      <c r="D17" s="199"/>
      <c r="E17" s="199"/>
      <c r="F17" s="471">
        <v>261.96798000000001</v>
      </c>
      <c r="G17" s="199" t="s">
        <v>59</v>
      </c>
      <c r="H17" s="474"/>
      <c r="I17" s="472">
        <v>-2.7995399999999999</v>
      </c>
      <c r="J17" s="473">
        <v>-1.1599999999999999</v>
      </c>
      <c r="K17" s="60">
        <v>-1.08</v>
      </c>
      <c r="L17" s="491">
        <f t="shared" si="0"/>
        <v>24.344779203044002</v>
      </c>
      <c r="M17" s="395" t="s">
        <v>33</v>
      </c>
      <c r="N17" s="296" t="s">
        <v>16</v>
      </c>
      <c r="O17" s="297" t="s">
        <v>37</v>
      </c>
      <c r="P17" s="298" t="s">
        <v>35</v>
      </c>
      <c r="Q17" s="314" t="s">
        <v>58</v>
      </c>
      <c r="R17" s="307" t="s">
        <v>40</v>
      </c>
      <c r="S17" s="299" t="s">
        <v>40</v>
      </c>
      <c r="T17" s="300"/>
    </row>
    <row r="18" spans="1:20">
      <c r="A18" s="427" t="s">
        <v>53</v>
      </c>
      <c r="B18" s="199"/>
      <c r="C18" s="199"/>
      <c r="D18" s="199"/>
      <c r="E18" s="199"/>
      <c r="F18" s="471">
        <v>263.06526000000002</v>
      </c>
      <c r="G18" s="199" t="s">
        <v>59</v>
      </c>
      <c r="H18" s="474"/>
      <c r="I18" s="472">
        <v>-3.7718400000000001</v>
      </c>
      <c r="J18" s="473">
        <v>-1.1599999999999999</v>
      </c>
      <c r="K18" s="60">
        <v>-1.08</v>
      </c>
      <c r="L18" s="491">
        <f t="shared" si="0"/>
        <v>29.242277832703998</v>
      </c>
      <c r="M18" s="395" t="s">
        <v>33</v>
      </c>
      <c r="N18" s="296" t="s">
        <v>16</v>
      </c>
      <c r="O18" s="297" t="s">
        <v>37</v>
      </c>
      <c r="P18" s="298" t="s">
        <v>35</v>
      </c>
      <c r="Q18" s="314" t="s">
        <v>58</v>
      </c>
      <c r="R18" s="307" t="s">
        <v>40</v>
      </c>
      <c r="S18" s="299" t="s">
        <v>40</v>
      </c>
      <c r="T18" s="300"/>
    </row>
    <row r="19" spans="1:20">
      <c r="A19" s="427" t="s">
        <v>53</v>
      </c>
      <c r="B19" s="199"/>
      <c r="C19" s="199"/>
      <c r="D19" s="199"/>
      <c r="E19" s="199"/>
      <c r="F19" s="471">
        <v>264.88643999999999</v>
      </c>
      <c r="G19" s="199" t="s">
        <v>59</v>
      </c>
      <c r="H19" s="474"/>
      <c r="I19" s="472">
        <v>-3.5041600000000002</v>
      </c>
      <c r="J19" s="473">
        <v>-1.1599999999999999</v>
      </c>
      <c r="K19" s="60">
        <v>-1.08</v>
      </c>
      <c r="L19" s="491">
        <f t="shared" si="0"/>
        <v>27.876992053504001</v>
      </c>
      <c r="M19" s="395" t="s">
        <v>33</v>
      </c>
      <c r="N19" s="296" t="s">
        <v>16</v>
      </c>
      <c r="O19" s="297" t="s">
        <v>37</v>
      </c>
      <c r="P19" s="298" t="s">
        <v>35</v>
      </c>
      <c r="Q19" s="314" t="s">
        <v>58</v>
      </c>
      <c r="R19" s="307" t="s">
        <v>40</v>
      </c>
      <c r="S19" s="299" t="s">
        <v>40</v>
      </c>
      <c r="T19" s="300"/>
    </row>
    <row r="20" spans="1:20">
      <c r="A20" s="427" t="s">
        <v>53</v>
      </c>
      <c r="B20" s="199"/>
      <c r="C20" s="199"/>
      <c r="D20" s="199"/>
      <c r="E20" s="199"/>
      <c r="F20" s="471">
        <v>267.32636000000002</v>
      </c>
      <c r="G20" s="199" t="s">
        <v>59</v>
      </c>
      <c r="H20" s="474"/>
      <c r="I20" s="472">
        <v>-2.71129</v>
      </c>
      <c r="J20" s="473">
        <v>-1.1599999999999999</v>
      </c>
      <c r="K20" s="60">
        <v>-1.08</v>
      </c>
      <c r="L20" s="491">
        <f t="shared" si="0"/>
        <v>23.908685235768999</v>
      </c>
      <c r="M20" s="395" t="s">
        <v>33</v>
      </c>
      <c r="N20" s="296" t="s">
        <v>16</v>
      </c>
      <c r="O20" s="297" t="s">
        <v>37</v>
      </c>
      <c r="P20" s="298" t="s">
        <v>35</v>
      </c>
      <c r="Q20" s="314" t="s">
        <v>58</v>
      </c>
      <c r="R20" s="307" t="s">
        <v>40</v>
      </c>
      <c r="S20" s="299" t="s">
        <v>40</v>
      </c>
      <c r="T20" s="300"/>
    </row>
    <row r="21" spans="1:20">
      <c r="A21" s="427" t="s">
        <v>53</v>
      </c>
      <c r="B21" s="199"/>
      <c r="C21" s="199"/>
      <c r="D21" s="199"/>
      <c r="E21" s="199"/>
      <c r="F21" s="471">
        <v>269.17039999999997</v>
      </c>
      <c r="G21" s="199" t="s">
        <v>20</v>
      </c>
      <c r="H21" s="474"/>
      <c r="I21" s="472">
        <v>-2.8808600000000002</v>
      </c>
      <c r="J21" s="473">
        <v>-1.1599999999999999</v>
      </c>
      <c r="K21" s="60">
        <v>-1.08</v>
      </c>
      <c r="L21" s="492">
        <f>16.1-4.64*($I21-K21)+0.09*($I21-K21)^2</f>
        <v>24.747869106564</v>
      </c>
      <c r="M21" s="395" t="s">
        <v>33</v>
      </c>
      <c r="N21" s="296" t="s">
        <v>16</v>
      </c>
      <c r="O21" s="297" t="s">
        <v>37</v>
      </c>
      <c r="P21" s="298" t="s">
        <v>35</v>
      </c>
      <c r="Q21" s="314" t="s">
        <v>58</v>
      </c>
      <c r="R21" s="307" t="s">
        <v>40</v>
      </c>
      <c r="S21" s="299" t="s">
        <v>40</v>
      </c>
      <c r="T21" s="300"/>
    </row>
    <row r="22" spans="1:20">
      <c r="A22" s="427" t="s">
        <v>53</v>
      </c>
      <c r="B22" s="199"/>
      <c r="C22" s="199"/>
      <c r="D22" s="199"/>
      <c r="E22" s="199"/>
      <c r="F22" s="471">
        <v>271.00986999999998</v>
      </c>
      <c r="G22" s="199" t="s">
        <v>20</v>
      </c>
      <c r="H22" s="474"/>
      <c r="I22" s="472">
        <v>-3.0034999999999998</v>
      </c>
      <c r="J22" s="473">
        <v>-1.1599999999999999</v>
      </c>
      <c r="K22" s="60">
        <v>-1.08</v>
      </c>
      <c r="L22" s="492">
        <f t="shared" ref="L22:L26" si="1">16.1-4.64*($I22-K22)+0.09*($I22-K22)^2</f>
        <v>25.358026702499998</v>
      </c>
      <c r="M22" s="395" t="s">
        <v>33</v>
      </c>
      <c r="N22" s="296" t="s">
        <v>16</v>
      </c>
      <c r="O22" s="297" t="s">
        <v>37</v>
      </c>
      <c r="P22" s="298" t="s">
        <v>35</v>
      </c>
      <c r="Q22" s="314" t="s">
        <v>58</v>
      </c>
      <c r="R22" s="307" t="s">
        <v>40</v>
      </c>
      <c r="S22" s="299" t="s">
        <v>40</v>
      </c>
      <c r="T22" s="300"/>
    </row>
    <row r="23" spans="1:20">
      <c r="A23" s="427" t="s">
        <v>53</v>
      </c>
      <c r="B23" s="199"/>
      <c r="C23" s="199"/>
      <c r="D23" s="199"/>
      <c r="E23" s="199"/>
      <c r="F23" s="471">
        <v>271.54674999999997</v>
      </c>
      <c r="G23" s="199" t="s">
        <v>20</v>
      </c>
      <c r="H23" s="474"/>
      <c r="I23" s="472">
        <v>-2.9499900000000001</v>
      </c>
      <c r="J23" s="473">
        <v>-1.1599999999999999</v>
      </c>
      <c r="K23" s="60">
        <v>-1.08</v>
      </c>
      <c r="L23" s="492">
        <f t="shared" si="1"/>
        <v>25.091471234008999</v>
      </c>
      <c r="M23" s="395" t="s">
        <v>33</v>
      </c>
      <c r="N23" s="296" t="s">
        <v>16</v>
      </c>
      <c r="O23" s="297" t="s">
        <v>37</v>
      </c>
      <c r="P23" s="298" t="s">
        <v>35</v>
      </c>
      <c r="Q23" s="314" t="s">
        <v>58</v>
      </c>
      <c r="R23" s="307" t="s">
        <v>40</v>
      </c>
      <c r="S23" s="299" t="s">
        <v>40</v>
      </c>
      <c r="T23" s="300"/>
    </row>
    <row r="24" spans="1:20">
      <c r="A24" s="427" t="s">
        <v>53</v>
      </c>
      <c r="B24" s="199"/>
      <c r="C24" s="199"/>
      <c r="D24" s="199"/>
      <c r="E24" s="199"/>
      <c r="F24" s="471">
        <v>272.74304999999998</v>
      </c>
      <c r="G24" s="199" t="s">
        <v>20</v>
      </c>
      <c r="H24" s="474"/>
      <c r="I24" s="472">
        <v>-3.15178</v>
      </c>
      <c r="J24" s="473">
        <v>-1.1599999999999999</v>
      </c>
      <c r="K24" s="60">
        <v>-1.08</v>
      </c>
      <c r="L24" s="492">
        <f t="shared" si="1"/>
        <v>26.099363713155999</v>
      </c>
      <c r="M24" s="395" t="s">
        <v>33</v>
      </c>
      <c r="N24" s="296" t="s">
        <v>16</v>
      </c>
      <c r="O24" s="297" t="s">
        <v>37</v>
      </c>
      <c r="P24" s="298" t="s">
        <v>35</v>
      </c>
      <c r="Q24" s="314" t="s">
        <v>58</v>
      </c>
      <c r="R24" s="307" t="s">
        <v>40</v>
      </c>
      <c r="S24" s="299" t="s">
        <v>40</v>
      </c>
      <c r="T24" s="300"/>
    </row>
    <row r="25" spans="1:20">
      <c r="A25" s="427" t="s">
        <v>53</v>
      </c>
      <c r="B25" s="199"/>
      <c r="C25" s="199"/>
      <c r="D25" s="199"/>
      <c r="E25" s="199"/>
      <c r="F25" s="471">
        <v>272.74304999999998</v>
      </c>
      <c r="G25" s="199" t="s">
        <v>20</v>
      </c>
      <c r="H25" s="474"/>
      <c r="I25" s="472">
        <v>-3.5735100000000002</v>
      </c>
      <c r="J25" s="473">
        <v>-1.1599999999999999</v>
      </c>
      <c r="K25" s="60">
        <v>-1.08</v>
      </c>
      <c r="L25" s="492">
        <f t="shared" si="1"/>
        <v>28.229469690809005</v>
      </c>
      <c r="M25" s="395" t="s">
        <v>33</v>
      </c>
      <c r="N25" s="296" t="s">
        <v>16</v>
      </c>
      <c r="O25" s="297" t="s">
        <v>37</v>
      </c>
      <c r="P25" s="298" t="s">
        <v>35</v>
      </c>
      <c r="Q25" s="314" t="s">
        <v>58</v>
      </c>
      <c r="R25" s="307" t="s">
        <v>40</v>
      </c>
      <c r="S25" s="299" t="s">
        <v>40</v>
      </c>
      <c r="T25" s="300"/>
    </row>
    <row r="26" spans="1:20">
      <c r="A26" s="427" t="s">
        <v>53</v>
      </c>
      <c r="B26" s="199"/>
      <c r="C26" s="199"/>
      <c r="D26" s="199"/>
      <c r="E26" s="199"/>
      <c r="F26" s="471">
        <v>273.28825999999998</v>
      </c>
      <c r="G26" s="199" t="s">
        <v>20</v>
      </c>
      <c r="H26" s="474"/>
      <c r="I26" s="472">
        <v>-2.92238</v>
      </c>
      <c r="J26" s="473">
        <v>-1.1599999999999999</v>
      </c>
      <c r="K26" s="60">
        <v>-1.08</v>
      </c>
      <c r="L26" s="492">
        <f t="shared" si="1"/>
        <v>24.954135965796002</v>
      </c>
      <c r="M26" s="395" t="s">
        <v>33</v>
      </c>
      <c r="N26" s="296" t="s">
        <v>16</v>
      </c>
      <c r="O26" s="297" t="s">
        <v>37</v>
      </c>
      <c r="P26" s="298" t="s">
        <v>35</v>
      </c>
      <c r="Q26" s="314" t="s">
        <v>58</v>
      </c>
      <c r="R26" s="307" t="s">
        <v>40</v>
      </c>
      <c r="S26" s="299" t="s">
        <v>40</v>
      </c>
      <c r="T26" s="300"/>
    </row>
    <row r="27" spans="1:20">
      <c r="A27" s="431" t="s">
        <v>53</v>
      </c>
      <c r="B27" s="432"/>
      <c r="C27" s="432"/>
      <c r="D27" s="432"/>
      <c r="E27" s="432"/>
      <c r="F27" s="475">
        <v>273.38126999999997</v>
      </c>
      <c r="G27" s="432" t="s">
        <v>19</v>
      </c>
      <c r="H27" s="476"/>
      <c r="I27" s="477">
        <v>-2.7653500000000002</v>
      </c>
      <c r="J27" s="478">
        <v>-1.1599999999999999</v>
      </c>
      <c r="K27" s="179">
        <v>-1.08</v>
      </c>
      <c r="L27" s="493">
        <f>16.1-4.64*($I27-K27)+0.09*($I27-K27)^2</f>
        <v>24.175660416025</v>
      </c>
      <c r="M27" s="229" t="s">
        <v>33</v>
      </c>
      <c r="N27" s="386" t="s">
        <v>16</v>
      </c>
      <c r="O27" s="399" t="s">
        <v>37</v>
      </c>
      <c r="P27" s="390" t="s">
        <v>35</v>
      </c>
      <c r="Q27" s="388" t="s">
        <v>58</v>
      </c>
      <c r="R27" s="387" t="s">
        <v>40</v>
      </c>
      <c r="S27" s="299" t="s">
        <v>40</v>
      </c>
      <c r="T27" s="300"/>
    </row>
    <row r="28" spans="1:20">
      <c r="A28" s="427" t="s">
        <v>53</v>
      </c>
      <c r="B28" s="199"/>
      <c r="C28" s="199"/>
      <c r="D28" s="199"/>
      <c r="E28" s="199"/>
      <c r="F28" s="471">
        <v>263.36243999999999</v>
      </c>
      <c r="G28" s="199" t="s">
        <v>59</v>
      </c>
      <c r="H28" s="474"/>
      <c r="I28" s="472">
        <v>-4.4059900000000001</v>
      </c>
      <c r="J28" s="473">
        <v>-1.1599999999999999</v>
      </c>
      <c r="K28" s="60">
        <v>-1.08</v>
      </c>
      <c r="L28" s="491">
        <f>16.1-4.64*($I28-K28)+0.09*($I28-K28)^2</f>
        <v>32.528192453209002</v>
      </c>
      <c r="M28" s="197" t="s">
        <v>46</v>
      </c>
      <c r="N28" s="296" t="s">
        <v>16</v>
      </c>
      <c r="O28" s="297" t="s">
        <v>37</v>
      </c>
      <c r="P28" s="298" t="s">
        <v>35</v>
      </c>
      <c r="Q28" s="314" t="s">
        <v>58</v>
      </c>
      <c r="R28" s="307" t="s">
        <v>40</v>
      </c>
      <c r="S28" s="299" t="s">
        <v>40</v>
      </c>
      <c r="T28" s="300"/>
    </row>
    <row r="29" spans="1:20">
      <c r="A29" s="427" t="s">
        <v>53</v>
      </c>
      <c r="B29" s="199"/>
      <c r="C29" s="199"/>
      <c r="D29" s="199"/>
      <c r="E29" s="199"/>
      <c r="F29" s="471">
        <v>268.57452000000001</v>
      </c>
      <c r="G29" s="199" t="s">
        <v>20</v>
      </c>
      <c r="H29" s="474"/>
      <c r="I29" s="472">
        <v>-4.34056</v>
      </c>
      <c r="J29" s="473">
        <v>-1.1599999999999999</v>
      </c>
      <c r="K29" s="60">
        <v>-1.08</v>
      </c>
      <c r="L29" s="492">
        <f t="shared" ref="L29:L33" si="2">16.1-4.64*($I29-K29)+0.09*($I29-K29)^2</f>
        <v>32.185811036224003</v>
      </c>
      <c r="M29" s="197" t="s">
        <v>46</v>
      </c>
      <c r="N29" s="296" t="s">
        <v>16</v>
      </c>
      <c r="O29" s="297" t="s">
        <v>37</v>
      </c>
      <c r="P29" s="298" t="s">
        <v>35</v>
      </c>
      <c r="Q29" s="314" t="s">
        <v>58</v>
      </c>
      <c r="R29" s="307" t="s">
        <v>40</v>
      </c>
      <c r="S29" s="299" t="s">
        <v>40</v>
      </c>
      <c r="T29" s="300"/>
    </row>
    <row r="30" spans="1:20">
      <c r="A30" s="427" t="s">
        <v>53</v>
      </c>
      <c r="B30" s="199"/>
      <c r="C30" s="199"/>
      <c r="D30" s="199"/>
      <c r="E30" s="199"/>
      <c r="F30" s="471">
        <v>269.17039999999997</v>
      </c>
      <c r="G30" s="199" t="s">
        <v>20</v>
      </c>
      <c r="H30" s="474"/>
      <c r="I30" s="472">
        <v>-4.1247199999999999</v>
      </c>
      <c r="J30" s="473">
        <v>-1.1599999999999999</v>
      </c>
      <c r="K30" s="60">
        <v>-1.08</v>
      </c>
      <c r="L30" s="492">
        <f t="shared" si="2"/>
        <v>31.061829589056</v>
      </c>
      <c r="M30" s="197" t="s">
        <v>46</v>
      </c>
      <c r="N30" s="296" t="s">
        <v>16</v>
      </c>
      <c r="O30" s="297" t="s">
        <v>37</v>
      </c>
      <c r="P30" s="298" t="s">
        <v>35</v>
      </c>
      <c r="Q30" s="314" t="s">
        <v>58</v>
      </c>
      <c r="R30" s="307" t="s">
        <v>40</v>
      </c>
      <c r="S30" s="299" t="s">
        <v>40</v>
      </c>
      <c r="T30" s="300"/>
    </row>
    <row r="31" spans="1:20">
      <c r="A31" s="427" t="s">
        <v>53</v>
      </c>
      <c r="B31" s="199"/>
      <c r="C31" s="199"/>
      <c r="D31" s="199"/>
      <c r="E31" s="199"/>
      <c r="F31" s="471">
        <v>271.00986999999998</v>
      </c>
      <c r="G31" s="199" t="s">
        <v>20</v>
      </c>
      <c r="H31" s="474"/>
      <c r="I31" s="472">
        <v>-4.1706200000000004</v>
      </c>
      <c r="J31" s="473">
        <v>-1.1599999999999999</v>
      </c>
      <c r="K31" s="60">
        <v>-1.08</v>
      </c>
      <c r="L31" s="492">
        <f t="shared" si="2"/>
        <v>31.300150678596001</v>
      </c>
      <c r="M31" s="197" t="s">
        <v>46</v>
      </c>
      <c r="N31" s="296" t="s">
        <v>16</v>
      </c>
      <c r="O31" s="297" t="s">
        <v>37</v>
      </c>
      <c r="P31" s="298" t="s">
        <v>35</v>
      </c>
      <c r="Q31" s="314" t="s">
        <v>58</v>
      </c>
      <c r="R31" s="307" t="s">
        <v>40</v>
      </c>
      <c r="S31" s="299" t="s">
        <v>40</v>
      </c>
      <c r="T31" s="300"/>
    </row>
    <row r="32" spans="1:20">
      <c r="A32" s="427" t="s">
        <v>53</v>
      </c>
      <c r="B32" s="199"/>
      <c r="C32" s="199"/>
      <c r="D32" s="199"/>
      <c r="E32" s="199"/>
      <c r="F32" s="471">
        <v>271.00986999999998</v>
      </c>
      <c r="G32" s="199" t="s">
        <v>20</v>
      </c>
      <c r="H32" s="474"/>
      <c r="I32" s="472">
        <v>-3.2635900000000002</v>
      </c>
      <c r="J32" s="473">
        <v>-1.1599999999999999</v>
      </c>
      <c r="K32" s="60">
        <v>-1.08</v>
      </c>
      <c r="L32" s="492">
        <f t="shared" si="2"/>
        <v>26.660983475929001</v>
      </c>
      <c r="M32" s="197" t="s">
        <v>46</v>
      </c>
      <c r="N32" s="296" t="s">
        <v>16</v>
      </c>
      <c r="O32" s="297" t="s">
        <v>37</v>
      </c>
      <c r="P32" s="298" t="s">
        <v>35</v>
      </c>
      <c r="Q32" s="314" t="s">
        <v>58</v>
      </c>
      <c r="R32" s="307" t="s">
        <v>40</v>
      </c>
      <c r="S32" s="299" t="s">
        <v>40</v>
      </c>
      <c r="T32" s="300"/>
    </row>
    <row r="33" spans="1:20">
      <c r="A33" s="427" t="s">
        <v>53</v>
      </c>
      <c r="B33" s="199"/>
      <c r="C33" s="199"/>
      <c r="D33" s="199"/>
      <c r="E33" s="199"/>
      <c r="F33" s="471">
        <v>271.54674999999997</v>
      </c>
      <c r="G33" s="199" t="s">
        <v>20</v>
      </c>
      <c r="H33" s="474"/>
      <c r="I33" s="472">
        <v>-3.6204299999999998</v>
      </c>
      <c r="J33" s="473">
        <v>-1.1599999999999999</v>
      </c>
      <c r="K33" s="60">
        <v>-1.08</v>
      </c>
      <c r="L33" s="492">
        <f t="shared" si="2"/>
        <v>28.468435812641001</v>
      </c>
      <c r="M33" s="197" t="s">
        <v>46</v>
      </c>
      <c r="N33" s="296" t="s">
        <v>16</v>
      </c>
      <c r="O33" s="297" t="s">
        <v>37</v>
      </c>
      <c r="P33" s="298" t="s">
        <v>35</v>
      </c>
      <c r="Q33" s="314" t="s">
        <v>58</v>
      </c>
      <c r="R33" s="307" t="s">
        <v>40</v>
      </c>
      <c r="S33" s="299" t="s">
        <v>40</v>
      </c>
      <c r="T33" s="300"/>
    </row>
    <row r="34" spans="1:20">
      <c r="A34" s="427" t="s">
        <v>53</v>
      </c>
      <c r="B34" s="199"/>
      <c r="C34" s="199"/>
      <c r="D34" s="199"/>
      <c r="E34" s="199"/>
      <c r="F34" s="471">
        <v>274.39314999999999</v>
      </c>
      <c r="G34" s="199" t="s">
        <v>19</v>
      </c>
      <c r="H34" s="474"/>
      <c r="I34" s="472">
        <v>-3.3345099999999999</v>
      </c>
      <c r="J34" s="473">
        <v>-1.1599999999999999</v>
      </c>
      <c r="K34" s="60">
        <v>-1.08</v>
      </c>
      <c r="L34" s="494">
        <f>16.1-4.64*($I34-K34)+0.09*($I34-K34)^2</f>
        <v>27.018379780608999</v>
      </c>
      <c r="M34" s="197" t="s">
        <v>46</v>
      </c>
      <c r="N34" s="296" t="s">
        <v>16</v>
      </c>
      <c r="O34" s="297" t="s">
        <v>37</v>
      </c>
      <c r="P34" s="298" t="s">
        <v>35</v>
      </c>
      <c r="Q34" s="314" t="s">
        <v>58</v>
      </c>
      <c r="R34" s="307" t="s">
        <v>40</v>
      </c>
      <c r="S34" s="299" t="s">
        <v>40</v>
      </c>
      <c r="T34" s="300"/>
    </row>
    <row r="35" spans="1:20">
      <c r="A35" s="427" t="s">
        <v>53</v>
      </c>
      <c r="B35" s="199"/>
      <c r="C35" s="199"/>
      <c r="D35" s="199"/>
      <c r="E35" s="199"/>
      <c r="F35" s="471">
        <v>261.51839999999999</v>
      </c>
      <c r="G35" s="145" t="s">
        <v>59</v>
      </c>
      <c r="H35" s="474"/>
      <c r="I35" s="472">
        <v>-2.9651000000000001</v>
      </c>
      <c r="J35" s="473">
        <v>-1.1599999999999999</v>
      </c>
      <c r="K35" s="60">
        <v>-1.08</v>
      </c>
      <c r="L35" s="491">
        <f t="shared" ref="L35:L39" si="3">16.1-4.64*($I35-K35)+0.09*($I35-K35)^2</f>
        <v>25.1666881809</v>
      </c>
      <c r="M35" s="197" t="s">
        <v>54</v>
      </c>
      <c r="N35" s="296" t="s">
        <v>16</v>
      </c>
      <c r="O35" s="297" t="s">
        <v>37</v>
      </c>
      <c r="P35" s="298" t="s">
        <v>35</v>
      </c>
      <c r="Q35" s="314" t="s">
        <v>58</v>
      </c>
      <c r="R35" s="307" t="s">
        <v>40</v>
      </c>
      <c r="S35" s="299" t="s">
        <v>40</v>
      </c>
      <c r="T35" s="300"/>
    </row>
    <row r="36" spans="1:20">
      <c r="A36" s="427" t="s">
        <v>53</v>
      </c>
      <c r="B36" s="199"/>
      <c r="C36" s="199"/>
      <c r="D36" s="199"/>
      <c r="E36" s="199"/>
      <c r="F36" s="471">
        <v>264.87119999999999</v>
      </c>
      <c r="G36" s="199" t="s">
        <v>59</v>
      </c>
      <c r="H36" s="474"/>
      <c r="I36" s="472">
        <v>-3.3987400000000001</v>
      </c>
      <c r="J36" s="473">
        <v>-1.1599999999999999</v>
      </c>
      <c r="K36" s="60">
        <v>-1.08</v>
      </c>
      <c r="L36" s="491">
        <f t="shared" si="3"/>
        <v>27.342843566884</v>
      </c>
      <c r="M36" s="197" t="s">
        <v>54</v>
      </c>
      <c r="N36" s="296" t="s">
        <v>16</v>
      </c>
      <c r="O36" s="297" t="s">
        <v>37</v>
      </c>
      <c r="P36" s="298" t="s">
        <v>35</v>
      </c>
      <c r="Q36" s="314" t="s">
        <v>58</v>
      </c>
      <c r="R36" s="307" t="s">
        <v>40</v>
      </c>
      <c r="S36" s="299" t="s">
        <v>40</v>
      </c>
      <c r="T36" s="300"/>
    </row>
    <row r="37" spans="1:20">
      <c r="A37" s="427" t="s">
        <v>53</v>
      </c>
      <c r="B37" s="199"/>
      <c r="C37" s="199"/>
      <c r="D37" s="199"/>
      <c r="E37" s="199"/>
      <c r="F37" s="471">
        <v>267.30959999999999</v>
      </c>
      <c r="G37" s="199" t="s">
        <v>20</v>
      </c>
      <c r="H37" s="474"/>
      <c r="I37" s="472">
        <v>-3.13381</v>
      </c>
      <c r="J37" s="473">
        <v>-1.1599999999999999</v>
      </c>
      <c r="K37" s="60">
        <v>-1.08</v>
      </c>
      <c r="L37" s="492">
        <f t="shared" si="3"/>
        <v>26.009310596448998</v>
      </c>
      <c r="M37" s="197" t="s">
        <v>54</v>
      </c>
      <c r="N37" s="296" t="s">
        <v>16</v>
      </c>
      <c r="O37" s="297" t="s">
        <v>37</v>
      </c>
      <c r="P37" s="298" t="s">
        <v>35</v>
      </c>
      <c r="Q37" s="314" t="s">
        <v>58</v>
      </c>
      <c r="R37" s="307" t="s">
        <v>40</v>
      </c>
      <c r="S37" s="299" t="s">
        <v>40</v>
      </c>
      <c r="T37" s="300"/>
    </row>
    <row r="38" spans="1:20">
      <c r="A38" s="427" t="s">
        <v>53</v>
      </c>
      <c r="B38" s="199"/>
      <c r="C38" s="199"/>
      <c r="D38" s="199"/>
      <c r="E38" s="199"/>
      <c r="F38" s="471">
        <v>270.99158</v>
      </c>
      <c r="G38" s="199" t="s">
        <v>20</v>
      </c>
      <c r="H38" s="474"/>
      <c r="I38" s="472">
        <v>-3.3042899999999999</v>
      </c>
      <c r="J38" s="473">
        <v>-1.1599999999999999</v>
      </c>
      <c r="K38" s="60">
        <v>-1.08</v>
      </c>
      <c r="L38" s="492">
        <f t="shared" si="3"/>
        <v>26.865977540368998</v>
      </c>
      <c r="M38" s="197" t="s">
        <v>54</v>
      </c>
      <c r="N38" s="296" t="s">
        <v>16</v>
      </c>
      <c r="O38" s="297" t="s">
        <v>37</v>
      </c>
      <c r="P38" s="298" t="s">
        <v>35</v>
      </c>
      <c r="Q38" s="314" t="s">
        <v>58</v>
      </c>
      <c r="R38" s="307" t="s">
        <v>40</v>
      </c>
      <c r="S38" s="299" t="s">
        <v>40</v>
      </c>
      <c r="T38" s="300"/>
    </row>
    <row r="39" spans="1:20">
      <c r="A39" s="431" t="s">
        <v>53</v>
      </c>
      <c r="B39" s="432"/>
      <c r="C39" s="432"/>
      <c r="D39" s="432"/>
      <c r="E39" s="432"/>
      <c r="F39" s="475">
        <v>273.23491000000001</v>
      </c>
      <c r="G39" s="432" t="s">
        <v>20</v>
      </c>
      <c r="H39" s="476"/>
      <c r="I39" s="477">
        <v>-3.2427100000000002</v>
      </c>
      <c r="J39" s="478">
        <v>-1.1599999999999999</v>
      </c>
      <c r="K39" s="179">
        <v>-1.08</v>
      </c>
      <c r="L39" s="495">
        <f t="shared" si="3"/>
        <v>26.555932708968999</v>
      </c>
      <c r="M39" s="479" t="s">
        <v>54</v>
      </c>
      <c r="N39" s="386" t="s">
        <v>16</v>
      </c>
      <c r="O39" s="399" t="s">
        <v>37</v>
      </c>
      <c r="P39" s="390" t="s">
        <v>35</v>
      </c>
      <c r="Q39" s="388" t="s">
        <v>58</v>
      </c>
      <c r="R39" s="387" t="s">
        <v>40</v>
      </c>
      <c r="S39" s="299" t="s">
        <v>40</v>
      </c>
      <c r="T39" s="300"/>
    </row>
    <row r="40" spans="1:20">
      <c r="A40" s="427" t="s">
        <v>53</v>
      </c>
      <c r="B40" s="199"/>
      <c r="C40" s="199"/>
      <c r="D40" s="199"/>
      <c r="E40" s="199"/>
      <c r="F40" s="471">
        <v>261.21359999999999</v>
      </c>
      <c r="G40" s="199" t="s">
        <v>403</v>
      </c>
      <c r="H40" s="474"/>
      <c r="I40" s="472">
        <v>-1.78</v>
      </c>
      <c r="J40" s="473">
        <v>-1.1599999999999999</v>
      </c>
      <c r="K40" s="60">
        <v>-1.08</v>
      </c>
      <c r="L40" s="491">
        <f t="shared" ref="L40:L49" si="4">16.1-4.64*($I40-K40)+0.09*($I40-K40)^2</f>
        <v>19.392100000000003</v>
      </c>
      <c r="M40" s="197" t="s">
        <v>55</v>
      </c>
      <c r="N40" s="296" t="s">
        <v>16</v>
      </c>
      <c r="O40" s="297" t="s">
        <v>37</v>
      </c>
      <c r="P40" s="298" t="s">
        <v>44</v>
      </c>
      <c r="Q40" s="314" t="s">
        <v>58</v>
      </c>
      <c r="R40" s="307" t="s">
        <v>40</v>
      </c>
      <c r="S40" s="299" t="s">
        <v>40</v>
      </c>
      <c r="T40" s="300"/>
    </row>
    <row r="41" spans="1:20">
      <c r="A41" s="427" t="s">
        <v>53</v>
      </c>
      <c r="B41" s="199"/>
      <c r="C41" s="199"/>
      <c r="D41" s="199"/>
      <c r="E41" s="199"/>
      <c r="F41" s="471">
        <v>261.51839999999999</v>
      </c>
      <c r="G41" s="199" t="s">
        <v>59</v>
      </c>
      <c r="H41" s="474"/>
      <c r="I41" s="472">
        <v>-2.08161</v>
      </c>
      <c r="J41" s="473">
        <v>-1.1599999999999999</v>
      </c>
      <c r="K41" s="60">
        <v>-1.08</v>
      </c>
      <c r="L41" s="491">
        <f t="shared" si="4"/>
        <v>20.837760433289002</v>
      </c>
      <c r="M41" s="197" t="s">
        <v>55</v>
      </c>
      <c r="N41" s="296" t="s">
        <v>16</v>
      </c>
      <c r="O41" s="297" t="s">
        <v>37</v>
      </c>
      <c r="P41" s="298" t="s">
        <v>44</v>
      </c>
      <c r="Q41" s="314" t="s">
        <v>58</v>
      </c>
      <c r="R41" s="307" t="s">
        <v>40</v>
      </c>
      <c r="S41" s="299" t="s">
        <v>40</v>
      </c>
      <c r="T41" s="300"/>
    </row>
    <row r="42" spans="1:20">
      <c r="A42" s="427" t="s">
        <v>53</v>
      </c>
      <c r="B42" s="199"/>
      <c r="C42" s="199"/>
      <c r="D42" s="199"/>
      <c r="E42" s="199"/>
      <c r="F42" s="471">
        <v>261.82168000000001</v>
      </c>
      <c r="G42" s="199" t="s">
        <v>59</v>
      </c>
      <c r="H42" s="474"/>
      <c r="I42" s="472">
        <v>-2.37799</v>
      </c>
      <c r="J42" s="473">
        <v>-1.1599999999999999</v>
      </c>
      <c r="K42" s="60">
        <v>-1.08</v>
      </c>
      <c r="L42" s="491">
        <f t="shared" si="4"/>
        <v>22.274303623608997</v>
      </c>
      <c r="M42" s="197" t="s">
        <v>55</v>
      </c>
      <c r="N42" s="296" t="s">
        <v>16</v>
      </c>
      <c r="O42" s="297" t="s">
        <v>37</v>
      </c>
      <c r="P42" s="298" t="s">
        <v>44</v>
      </c>
      <c r="Q42" s="314" t="s">
        <v>58</v>
      </c>
      <c r="R42" s="307" t="s">
        <v>40</v>
      </c>
      <c r="S42" s="299" t="s">
        <v>40</v>
      </c>
      <c r="T42" s="300"/>
    </row>
    <row r="43" spans="1:20">
      <c r="A43" s="427" t="s">
        <v>53</v>
      </c>
      <c r="B43" s="199"/>
      <c r="C43" s="199"/>
      <c r="D43" s="199"/>
      <c r="E43" s="199"/>
      <c r="F43" s="471">
        <v>261.96798000000001</v>
      </c>
      <c r="G43" s="199" t="s">
        <v>59</v>
      </c>
      <c r="H43" s="474"/>
      <c r="I43" s="472">
        <v>-2.57924</v>
      </c>
      <c r="J43" s="473">
        <v>-1.1599999999999999</v>
      </c>
      <c r="K43" s="60">
        <v>-1.08</v>
      </c>
      <c r="L43" s="491">
        <f t="shared" si="4"/>
        <v>23.258768451984</v>
      </c>
      <c r="M43" s="197" t="s">
        <v>55</v>
      </c>
      <c r="N43" s="296" t="s">
        <v>16</v>
      </c>
      <c r="O43" s="297" t="s">
        <v>37</v>
      </c>
      <c r="P43" s="298" t="s">
        <v>44</v>
      </c>
      <c r="Q43" s="314" t="s">
        <v>58</v>
      </c>
      <c r="R43" s="307" t="s">
        <v>40</v>
      </c>
      <c r="S43" s="299" t="s">
        <v>40</v>
      </c>
      <c r="T43" s="300"/>
    </row>
    <row r="44" spans="1:20">
      <c r="A44" s="427" t="s">
        <v>53</v>
      </c>
      <c r="B44" s="199"/>
      <c r="C44" s="199"/>
      <c r="D44" s="199"/>
      <c r="E44" s="199"/>
      <c r="F44" s="471">
        <v>263.06526000000002</v>
      </c>
      <c r="G44" s="199" t="s">
        <v>59</v>
      </c>
      <c r="H44" s="474"/>
      <c r="I44" s="472">
        <v>-2.7405400000000002</v>
      </c>
      <c r="J44" s="473">
        <v>-1.1599999999999999</v>
      </c>
      <c r="K44" s="60">
        <v>-1.08</v>
      </c>
      <c r="L44" s="491">
        <f t="shared" si="4"/>
        <v>24.053070978244001</v>
      </c>
      <c r="M44" s="197" t="s">
        <v>55</v>
      </c>
      <c r="N44" s="296" t="s">
        <v>16</v>
      </c>
      <c r="O44" s="297" t="s">
        <v>37</v>
      </c>
      <c r="P44" s="298" t="s">
        <v>44</v>
      </c>
      <c r="Q44" s="314" t="s">
        <v>58</v>
      </c>
      <c r="R44" s="307" t="s">
        <v>40</v>
      </c>
      <c r="S44" s="299" t="s">
        <v>40</v>
      </c>
      <c r="T44" s="300"/>
    </row>
    <row r="45" spans="1:20">
      <c r="A45" s="427" t="s">
        <v>53</v>
      </c>
      <c r="B45" s="199"/>
      <c r="C45" s="199"/>
      <c r="D45" s="199"/>
      <c r="E45" s="199"/>
      <c r="F45" s="471">
        <v>264.88643999999999</v>
      </c>
      <c r="G45" s="199" t="s">
        <v>59</v>
      </c>
      <c r="H45" s="474"/>
      <c r="I45" s="472">
        <v>-2.63436</v>
      </c>
      <c r="J45" s="473">
        <v>-1.1599999999999999</v>
      </c>
      <c r="K45" s="60">
        <v>-1.08</v>
      </c>
      <c r="L45" s="491">
        <f t="shared" si="4"/>
        <v>23.529673550864</v>
      </c>
      <c r="M45" s="197" t="s">
        <v>55</v>
      </c>
      <c r="N45" s="296" t="s">
        <v>16</v>
      </c>
      <c r="O45" s="297" t="s">
        <v>37</v>
      </c>
      <c r="P45" s="298" t="s">
        <v>44</v>
      </c>
      <c r="Q45" s="314" t="s">
        <v>58</v>
      </c>
      <c r="R45" s="307" t="s">
        <v>40</v>
      </c>
      <c r="S45" s="299" t="s">
        <v>40</v>
      </c>
      <c r="T45" s="300"/>
    </row>
    <row r="46" spans="1:20">
      <c r="A46" s="427" t="s">
        <v>53</v>
      </c>
      <c r="B46" s="199"/>
      <c r="C46" s="199"/>
      <c r="D46" s="199"/>
      <c r="E46" s="199"/>
      <c r="F46" s="471">
        <v>267.32636000000002</v>
      </c>
      <c r="G46" s="199" t="s">
        <v>20</v>
      </c>
      <c r="H46" s="474"/>
      <c r="I46" s="472">
        <v>-3.08358</v>
      </c>
      <c r="J46" s="473">
        <v>-1.1599999999999999</v>
      </c>
      <c r="K46" s="60">
        <v>-1.08</v>
      </c>
      <c r="L46" s="491">
        <f t="shared" si="4"/>
        <v>25.757901153476002</v>
      </c>
      <c r="M46" s="197" t="s">
        <v>55</v>
      </c>
      <c r="N46" s="296" t="s">
        <v>16</v>
      </c>
      <c r="O46" s="297" t="s">
        <v>37</v>
      </c>
      <c r="P46" s="298" t="s">
        <v>44</v>
      </c>
      <c r="Q46" s="314" t="s">
        <v>58</v>
      </c>
      <c r="R46" s="307" t="s">
        <v>40</v>
      </c>
      <c r="S46" s="299" t="s">
        <v>40</v>
      </c>
      <c r="T46" s="300"/>
    </row>
    <row r="47" spans="1:20">
      <c r="A47" s="427" t="s">
        <v>53</v>
      </c>
      <c r="B47" s="199"/>
      <c r="C47" s="199"/>
      <c r="D47" s="199"/>
      <c r="E47" s="199"/>
      <c r="F47" s="471">
        <v>269.17039999999997</v>
      </c>
      <c r="G47" s="199" t="s">
        <v>20</v>
      </c>
      <c r="H47" s="474"/>
      <c r="I47" s="472">
        <v>-2.9499</v>
      </c>
      <c r="J47" s="473">
        <v>-1.1599999999999999</v>
      </c>
      <c r="K47" s="60">
        <v>-1.08</v>
      </c>
      <c r="L47" s="491">
        <f t="shared" si="4"/>
        <v>25.091023340900001</v>
      </c>
      <c r="M47" s="197" t="s">
        <v>55</v>
      </c>
      <c r="N47" s="296" t="s">
        <v>16</v>
      </c>
      <c r="O47" s="297" t="s">
        <v>37</v>
      </c>
      <c r="P47" s="298" t="s">
        <v>44</v>
      </c>
      <c r="Q47" s="314" t="s">
        <v>58</v>
      </c>
      <c r="R47" s="307" t="s">
        <v>40</v>
      </c>
      <c r="S47" s="299" t="s">
        <v>40</v>
      </c>
      <c r="T47" s="300"/>
    </row>
    <row r="48" spans="1:20">
      <c r="A48" s="427" t="s">
        <v>53</v>
      </c>
      <c r="B48" s="199"/>
      <c r="C48" s="199"/>
      <c r="D48" s="199"/>
      <c r="E48" s="199"/>
      <c r="F48" s="471">
        <v>272.74304999999998</v>
      </c>
      <c r="G48" s="199" t="s">
        <v>20</v>
      </c>
      <c r="H48" s="474"/>
      <c r="I48" s="472">
        <v>-3.2452299999999998</v>
      </c>
      <c r="J48" s="473">
        <v>-1.1599999999999999</v>
      </c>
      <c r="K48" s="60">
        <v>-1.08</v>
      </c>
      <c r="L48" s="491">
        <f t="shared" si="4"/>
        <v>26.568607085760998</v>
      </c>
      <c r="M48" s="197" t="s">
        <v>55</v>
      </c>
      <c r="N48" s="296" t="s">
        <v>16</v>
      </c>
      <c r="O48" s="297" t="s">
        <v>37</v>
      </c>
      <c r="P48" s="298" t="s">
        <v>44</v>
      </c>
      <c r="Q48" s="314" t="s">
        <v>58</v>
      </c>
      <c r="R48" s="307" t="s">
        <v>40</v>
      </c>
      <c r="S48" s="299" t="s">
        <v>40</v>
      </c>
      <c r="T48" s="300"/>
    </row>
    <row r="49" spans="1:20">
      <c r="A49" s="431" t="s">
        <v>53</v>
      </c>
      <c r="B49" s="432"/>
      <c r="C49" s="432"/>
      <c r="D49" s="432"/>
      <c r="E49" s="432"/>
      <c r="F49" s="475">
        <v>274.39314999999999</v>
      </c>
      <c r="G49" s="432" t="s">
        <v>19</v>
      </c>
      <c r="H49" s="476"/>
      <c r="I49" s="477">
        <v>-1.00604</v>
      </c>
      <c r="J49" s="478">
        <v>-1.1599999999999999</v>
      </c>
      <c r="K49" s="179">
        <v>-1.08</v>
      </c>
      <c r="L49" s="496">
        <f t="shared" si="4"/>
        <v>15.757317907344001</v>
      </c>
      <c r="M49" s="479" t="s">
        <v>55</v>
      </c>
      <c r="N49" s="386" t="s">
        <v>16</v>
      </c>
      <c r="O49" s="399" t="s">
        <v>37</v>
      </c>
      <c r="P49" s="390" t="s">
        <v>44</v>
      </c>
      <c r="Q49" s="388" t="s">
        <v>58</v>
      </c>
      <c r="R49" s="387" t="s">
        <v>40</v>
      </c>
      <c r="S49" s="299" t="s">
        <v>40</v>
      </c>
      <c r="T49" s="300"/>
    </row>
    <row r="50" spans="1:20">
      <c r="A50" s="427" t="s">
        <v>53</v>
      </c>
      <c r="B50" s="199"/>
      <c r="C50" s="199"/>
      <c r="D50" s="199"/>
      <c r="E50" s="199"/>
      <c r="F50" s="156">
        <v>257.55</v>
      </c>
      <c r="G50" s="199"/>
      <c r="H50" s="474"/>
      <c r="I50" s="156">
        <v>-3.2</v>
      </c>
      <c r="J50" s="473">
        <v>-1.1599999999999999</v>
      </c>
      <c r="K50" s="60">
        <v>-1.08</v>
      </c>
      <c r="L50" s="491">
        <f t="shared" ref="L50:L81" si="5">16.1-4.64*($I50-K50)+0.09*($I50-K50)^2</f>
        <v>26.341296000000003</v>
      </c>
      <c r="M50" s="197" t="s">
        <v>239</v>
      </c>
      <c r="N50" s="296" t="s">
        <v>16</v>
      </c>
      <c r="O50" s="156" t="s">
        <v>37</v>
      </c>
      <c r="P50" s="298" t="s">
        <v>35</v>
      </c>
      <c r="Q50" s="314" t="s">
        <v>58</v>
      </c>
      <c r="R50" s="307" t="s">
        <v>40</v>
      </c>
      <c r="S50" s="299" t="s">
        <v>254</v>
      </c>
      <c r="T50" s="300"/>
    </row>
    <row r="51" spans="1:20">
      <c r="A51" s="427" t="s">
        <v>53</v>
      </c>
      <c r="B51" s="199"/>
      <c r="C51" s="199"/>
      <c r="D51" s="199"/>
      <c r="E51" s="199"/>
      <c r="F51" s="156">
        <v>257.91000000000003</v>
      </c>
      <c r="G51" s="199"/>
      <c r="H51" s="474"/>
      <c r="I51" s="156">
        <v>-2.5099999999999998</v>
      </c>
      <c r="J51" s="473">
        <v>-1.1599999999999999</v>
      </c>
      <c r="K51" s="60">
        <v>-1.08</v>
      </c>
      <c r="L51" s="491">
        <f t="shared" si="5"/>
        <v>22.919241</v>
      </c>
      <c r="M51" s="197" t="s">
        <v>239</v>
      </c>
      <c r="N51" s="296" t="s">
        <v>16</v>
      </c>
      <c r="O51" s="156" t="s">
        <v>37</v>
      </c>
      <c r="P51" s="298" t="s">
        <v>35</v>
      </c>
      <c r="Q51" s="314" t="s">
        <v>58</v>
      </c>
      <c r="R51" s="307" t="s">
        <v>40</v>
      </c>
      <c r="S51" s="299" t="s">
        <v>254</v>
      </c>
      <c r="T51" s="300"/>
    </row>
    <row r="52" spans="1:20">
      <c r="A52" s="427" t="s">
        <v>53</v>
      </c>
      <c r="B52" s="199"/>
      <c r="C52" s="199"/>
      <c r="D52" s="199"/>
      <c r="E52" s="199"/>
      <c r="F52" s="156">
        <v>258.3</v>
      </c>
      <c r="G52" s="199"/>
      <c r="H52" s="474"/>
      <c r="I52" s="156">
        <v>-2.59</v>
      </c>
      <c r="J52" s="473">
        <v>-1.1599999999999999</v>
      </c>
      <c r="K52" s="60">
        <v>-1.08</v>
      </c>
      <c r="L52" s="491">
        <f t="shared" si="5"/>
        <v>23.311609000000001</v>
      </c>
      <c r="M52" s="197" t="s">
        <v>239</v>
      </c>
      <c r="N52" s="296" t="s">
        <v>16</v>
      </c>
      <c r="O52" s="156" t="s">
        <v>37</v>
      </c>
      <c r="P52" s="298" t="s">
        <v>35</v>
      </c>
      <c r="Q52" s="314" t="s">
        <v>58</v>
      </c>
      <c r="R52" s="307" t="s">
        <v>40</v>
      </c>
      <c r="S52" s="299" t="s">
        <v>254</v>
      </c>
      <c r="T52" s="300"/>
    </row>
    <row r="53" spans="1:20">
      <c r="A53" s="427" t="s">
        <v>53</v>
      </c>
      <c r="B53" s="199"/>
      <c r="C53" s="199"/>
      <c r="D53" s="199"/>
      <c r="E53" s="199"/>
      <c r="F53" s="156">
        <v>258.43</v>
      </c>
      <c r="G53" s="199"/>
      <c r="H53" s="474"/>
      <c r="I53" s="156">
        <v>-2.84</v>
      </c>
      <c r="J53" s="473">
        <v>-1.1599999999999999</v>
      </c>
      <c r="K53" s="60">
        <v>-1.08</v>
      </c>
      <c r="L53" s="491">
        <f t="shared" si="5"/>
        <v>24.545183999999999</v>
      </c>
      <c r="M53" s="197" t="s">
        <v>239</v>
      </c>
      <c r="N53" s="296" t="s">
        <v>16</v>
      </c>
      <c r="O53" s="156" t="s">
        <v>37</v>
      </c>
      <c r="P53" s="298" t="s">
        <v>35</v>
      </c>
      <c r="Q53" s="314" t="s">
        <v>58</v>
      </c>
      <c r="R53" s="307" t="s">
        <v>40</v>
      </c>
      <c r="S53" s="299" t="s">
        <v>254</v>
      </c>
      <c r="T53" s="300"/>
    </row>
    <row r="54" spans="1:20">
      <c r="A54" s="427" t="s">
        <v>53</v>
      </c>
      <c r="B54" s="199"/>
      <c r="C54" s="199"/>
      <c r="D54" s="199"/>
      <c r="E54" s="199"/>
      <c r="F54" s="156">
        <v>259.13</v>
      </c>
      <c r="G54" s="199"/>
      <c r="H54" s="474"/>
      <c r="I54" s="156">
        <v>-2.58</v>
      </c>
      <c r="J54" s="473">
        <v>-1.1599999999999999</v>
      </c>
      <c r="K54" s="60">
        <v>-1.08</v>
      </c>
      <c r="L54" s="491">
        <f t="shared" si="5"/>
        <v>23.262500000000003</v>
      </c>
      <c r="M54" s="197" t="s">
        <v>239</v>
      </c>
      <c r="N54" s="296" t="s">
        <v>16</v>
      </c>
      <c r="O54" s="156" t="s">
        <v>37</v>
      </c>
      <c r="P54" s="298" t="s">
        <v>35</v>
      </c>
      <c r="Q54" s="314" t="s">
        <v>58</v>
      </c>
      <c r="R54" s="307" t="s">
        <v>40</v>
      </c>
      <c r="S54" s="299" t="s">
        <v>254</v>
      </c>
      <c r="T54" s="300"/>
    </row>
    <row r="55" spans="1:20">
      <c r="A55" s="427" t="s">
        <v>53</v>
      </c>
      <c r="B55" s="199"/>
      <c r="C55" s="199"/>
      <c r="D55" s="199"/>
      <c r="E55" s="199"/>
      <c r="F55" s="156">
        <v>259.43</v>
      </c>
      <c r="G55" s="199"/>
      <c r="H55" s="474"/>
      <c r="I55" s="156">
        <v>-2.78</v>
      </c>
      <c r="J55" s="473">
        <v>-1.1599999999999999</v>
      </c>
      <c r="K55" s="60">
        <v>-1.08</v>
      </c>
      <c r="L55" s="491">
        <f t="shared" si="5"/>
        <v>24.248100000000001</v>
      </c>
      <c r="M55" s="197" t="s">
        <v>239</v>
      </c>
      <c r="N55" s="296" t="s">
        <v>16</v>
      </c>
      <c r="O55" s="156" t="s">
        <v>37</v>
      </c>
      <c r="P55" s="298" t="s">
        <v>35</v>
      </c>
      <c r="Q55" s="314" t="s">
        <v>58</v>
      </c>
      <c r="R55" s="307" t="s">
        <v>40</v>
      </c>
      <c r="S55" s="299" t="s">
        <v>254</v>
      </c>
      <c r="T55" s="300"/>
    </row>
    <row r="56" spans="1:20">
      <c r="A56" s="427" t="s">
        <v>53</v>
      </c>
      <c r="B56" s="199"/>
      <c r="C56" s="199"/>
      <c r="D56" s="199"/>
      <c r="E56" s="199"/>
      <c r="F56" s="156">
        <v>259.67</v>
      </c>
      <c r="G56" s="199"/>
      <c r="H56" s="474"/>
      <c r="I56" s="156">
        <v>-2.91</v>
      </c>
      <c r="J56" s="473">
        <v>-1.1599999999999999</v>
      </c>
      <c r="K56" s="60">
        <v>-1.08</v>
      </c>
      <c r="L56" s="491">
        <f t="shared" si="5"/>
        <v>24.892600999999999</v>
      </c>
      <c r="M56" s="197" t="s">
        <v>239</v>
      </c>
      <c r="N56" s="296" t="s">
        <v>16</v>
      </c>
      <c r="O56" s="156" t="s">
        <v>37</v>
      </c>
      <c r="P56" s="298" t="s">
        <v>35</v>
      </c>
      <c r="Q56" s="314" t="s">
        <v>58</v>
      </c>
      <c r="R56" s="307" t="s">
        <v>40</v>
      </c>
      <c r="S56" s="299" t="s">
        <v>254</v>
      </c>
      <c r="T56" s="300"/>
    </row>
    <row r="57" spans="1:20">
      <c r="A57" s="427" t="s">
        <v>53</v>
      </c>
      <c r="B57" s="199"/>
      <c r="C57" s="199"/>
      <c r="D57" s="199"/>
      <c r="E57" s="199"/>
      <c r="F57" s="156">
        <v>259.8</v>
      </c>
      <c r="G57" s="199"/>
      <c r="H57" s="474"/>
      <c r="I57" s="156">
        <v>-2.91</v>
      </c>
      <c r="J57" s="473">
        <v>-1.1599999999999999</v>
      </c>
      <c r="K57" s="60">
        <v>-1.08</v>
      </c>
      <c r="L57" s="491">
        <f t="shared" si="5"/>
        <v>24.892600999999999</v>
      </c>
      <c r="M57" s="197" t="s">
        <v>239</v>
      </c>
      <c r="N57" s="296" t="s">
        <v>16</v>
      </c>
      <c r="O57" s="156" t="s">
        <v>37</v>
      </c>
      <c r="P57" s="298" t="s">
        <v>35</v>
      </c>
      <c r="Q57" s="314" t="s">
        <v>58</v>
      </c>
      <c r="R57" s="307" t="s">
        <v>40</v>
      </c>
      <c r="S57" s="299" t="s">
        <v>254</v>
      </c>
      <c r="T57" s="300"/>
    </row>
    <row r="58" spans="1:20">
      <c r="A58" s="427" t="s">
        <v>53</v>
      </c>
      <c r="B58" s="199"/>
      <c r="C58" s="199"/>
      <c r="D58" s="199"/>
      <c r="E58" s="199"/>
      <c r="F58" s="156">
        <v>259.95</v>
      </c>
      <c r="G58" s="199"/>
      <c r="H58" s="474"/>
      <c r="I58" s="156">
        <v>-2.58</v>
      </c>
      <c r="J58" s="473">
        <v>-1.1599999999999999</v>
      </c>
      <c r="K58" s="60">
        <v>-1.08</v>
      </c>
      <c r="L58" s="491">
        <f t="shared" si="5"/>
        <v>23.262500000000003</v>
      </c>
      <c r="M58" s="197" t="s">
        <v>239</v>
      </c>
      <c r="N58" s="296" t="s">
        <v>16</v>
      </c>
      <c r="O58" s="156" t="s">
        <v>37</v>
      </c>
      <c r="P58" s="298" t="s">
        <v>35</v>
      </c>
      <c r="Q58" s="314" t="s">
        <v>58</v>
      </c>
      <c r="R58" s="307" t="s">
        <v>40</v>
      </c>
      <c r="S58" s="299" t="s">
        <v>254</v>
      </c>
      <c r="T58" s="300"/>
    </row>
    <row r="59" spans="1:20">
      <c r="A59" s="427" t="s">
        <v>53</v>
      </c>
      <c r="B59" s="199"/>
      <c r="C59" s="199"/>
      <c r="D59" s="199"/>
      <c r="E59" s="199"/>
      <c r="F59" s="156">
        <v>260.06</v>
      </c>
      <c r="G59" s="199"/>
      <c r="H59" s="474"/>
      <c r="I59" s="156">
        <v>-3.2</v>
      </c>
      <c r="J59" s="473">
        <v>-1.1599999999999999</v>
      </c>
      <c r="K59" s="60">
        <v>-1.08</v>
      </c>
      <c r="L59" s="491">
        <f t="shared" si="5"/>
        <v>26.341296000000003</v>
      </c>
      <c r="M59" s="197" t="s">
        <v>239</v>
      </c>
      <c r="N59" s="296" t="s">
        <v>16</v>
      </c>
      <c r="O59" s="156" t="s">
        <v>37</v>
      </c>
      <c r="P59" s="298" t="s">
        <v>35</v>
      </c>
      <c r="Q59" s="314" t="s">
        <v>58</v>
      </c>
      <c r="R59" s="307" t="s">
        <v>40</v>
      </c>
      <c r="S59" s="299" t="s">
        <v>254</v>
      </c>
      <c r="T59" s="300"/>
    </row>
    <row r="60" spans="1:20">
      <c r="A60" s="427" t="s">
        <v>53</v>
      </c>
      <c r="B60" s="199"/>
      <c r="C60" s="199"/>
      <c r="D60" s="199"/>
      <c r="E60" s="199"/>
      <c r="F60" s="156">
        <v>260.27999999999997</v>
      </c>
      <c r="G60" s="199"/>
      <c r="H60" s="474"/>
      <c r="I60" s="156">
        <v>-2.66</v>
      </c>
      <c r="J60" s="473">
        <v>-1.1599999999999999</v>
      </c>
      <c r="K60" s="60">
        <v>-1.08</v>
      </c>
      <c r="L60" s="491">
        <f t="shared" si="5"/>
        <v>23.655875999999999</v>
      </c>
      <c r="M60" s="197" t="s">
        <v>239</v>
      </c>
      <c r="N60" s="296" t="s">
        <v>16</v>
      </c>
      <c r="O60" s="156" t="s">
        <v>37</v>
      </c>
      <c r="P60" s="298" t="s">
        <v>35</v>
      </c>
      <c r="Q60" s="314" t="s">
        <v>58</v>
      </c>
      <c r="R60" s="307" t="s">
        <v>40</v>
      </c>
      <c r="S60" s="299" t="s">
        <v>254</v>
      </c>
      <c r="T60" s="300"/>
    </row>
    <row r="61" spans="1:20">
      <c r="A61" s="427" t="s">
        <v>53</v>
      </c>
      <c r="B61" s="199"/>
      <c r="C61" s="199"/>
      <c r="D61" s="199"/>
      <c r="E61" s="199"/>
      <c r="F61" s="156">
        <v>260.43</v>
      </c>
      <c r="G61" s="199"/>
      <c r="H61" s="474"/>
      <c r="I61" s="156">
        <v>-2.76</v>
      </c>
      <c r="J61" s="473">
        <v>-1.1599999999999999</v>
      </c>
      <c r="K61" s="60">
        <v>-1.08</v>
      </c>
      <c r="L61" s="491">
        <f t="shared" si="5"/>
        <v>24.149215999999999</v>
      </c>
      <c r="M61" s="197" t="s">
        <v>239</v>
      </c>
      <c r="N61" s="296" t="s">
        <v>16</v>
      </c>
      <c r="O61" s="156" t="s">
        <v>37</v>
      </c>
      <c r="P61" s="298" t="s">
        <v>35</v>
      </c>
      <c r="Q61" s="314" t="s">
        <v>58</v>
      </c>
      <c r="R61" s="307" t="s">
        <v>40</v>
      </c>
      <c r="S61" s="299" t="s">
        <v>254</v>
      </c>
      <c r="T61" s="300"/>
    </row>
    <row r="62" spans="1:20">
      <c r="A62" s="427" t="s">
        <v>53</v>
      </c>
      <c r="B62" s="199"/>
      <c r="C62" s="199"/>
      <c r="D62" s="199"/>
      <c r="E62" s="199"/>
      <c r="F62" s="156">
        <v>260.68</v>
      </c>
      <c r="G62" s="199"/>
      <c r="H62" s="474"/>
      <c r="I62" s="156">
        <v>-3.02</v>
      </c>
      <c r="J62" s="473">
        <v>-1.1599999999999999</v>
      </c>
      <c r="K62" s="60">
        <v>-1.08</v>
      </c>
      <c r="L62" s="491">
        <f t="shared" si="5"/>
        <v>25.440324</v>
      </c>
      <c r="M62" s="197" t="s">
        <v>239</v>
      </c>
      <c r="N62" s="296" t="s">
        <v>16</v>
      </c>
      <c r="O62" s="156" t="s">
        <v>37</v>
      </c>
      <c r="P62" s="298" t="s">
        <v>35</v>
      </c>
      <c r="Q62" s="314" t="s">
        <v>58</v>
      </c>
      <c r="R62" s="307" t="s">
        <v>40</v>
      </c>
      <c r="S62" s="299" t="s">
        <v>254</v>
      </c>
      <c r="T62" s="300"/>
    </row>
    <row r="63" spans="1:20">
      <c r="A63" s="427" t="s">
        <v>53</v>
      </c>
      <c r="B63" s="199"/>
      <c r="C63" s="199"/>
      <c r="D63" s="199"/>
      <c r="E63" s="199"/>
      <c r="F63" s="156">
        <v>260.89</v>
      </c>
      <c r="G63" s="199" t="s">
        <v>380</v>
      </c>
      <c r="H63" s="474"/>
      <c r="I63" s="156">
        <v>-2.88</v>
      </c>
      <c r="J63" s="473">
        <v>-1.1599999999999999</v>
      </c>
      <c r="K63" s="60">
        <v>-1.08</v>
      </c>
      <c r="L63" s="491">
        <f t="shared" si="5"/>
        <v>24.743599999999997</v>
      </c>
      <c r="M63" s="197" t="s">
        <v>239</v>
      </c>
      <c r="N63" s="296" t="s">
        <v>16</v>
      </c>
      <c r="O63" s="156" t="s">
        <v>37</v>
      </c>
      <c r="P63" s="298" t="s">
        <v>35</v>
      </c>
      <c r="Q63" s="314" t="s">
        <v>58</v>
      </c>
      <c r="R63" s="307" t="s">
        <v>40</v>
      </c>
      <c r="S63" s="299" t="s">
        <v>254</v>
      </c>
      <c r="T63" s="300"/>
    </row>
    <row r="64" spans="1:20">
      <c r="A64" s="427" t="s">
        <v>53</v>
      </c>
      <c r="B64" s="199"/>
      <c r="C64" s="199"/>
      <c r="D64" s="199"/>
      <c r="E64" s="199"/>
      <c r="F64" s="156">
        <v>261.23</v>
      </c>
      <c r="G64" s="199" t="s">
        <v>59</v>
      </c>
      <c r="H64" s="474"/>
      <c r="I64" s="156">
        <v>-3.11</v>
      </c>
      <c r="J64" s="473">
        <v>-1.1599999999999999</v>
      </c>
      <c r="K64" s="60">
        <v>-1.08</v>
      </c>
      <c r="L64" s="491">
        <f t="shared" si="5"/>
        <v>25.890080999999999</v>
      </c>
      <c r="M64" s="197" t="s">
        <v>239</v>
      </c>
      <c r="N64" s="296" t="s">
        <v>16</v>
      </c>
      <c r="O64" s="156" t="s">
        <v>240</v>
      </c>
      <c r="P64" s="298" t="s">
        <v>35</v>
      </c>
      <c r="Q64" s="314" t="s">
        <v>58</v>
      </c>
      <c r="R64" s="307" t="s">
        <v>40</v>
      </c>
      <c r="S64" s="299" t="s">
        <v>254</v>
      </c>
      <c r="T64" s="300"/>
    </row>
    <row r="65" spans="1:20">
      <c r="A65" s="427" t="s">
        <v>53</v>
      </c>
      <c r="B65" s="199"/>
      <c r="C65" s="199"/>
      <c r="D65" s="199"/>
      <c r="E65" s="199"/>
      <c r="F65" s="156">
        <v>261.52999999999997</v>
      </c>
      <c r="G65" s="199" t="s">
        <v>59</v>
      </c>
      <c r="H65" s="474"/>
      <c r="I65" s="156">
        <v>-3.24</v>
      </c>
      <c r="J65" s="473">
        <v>-1.1599999999999999</v>
      </c>
      <c r="K65" s="60">
        <v>-1.08</v>
      </c>
      <c r="L65" s="491">
        <f t="shared" si="5"/>
        <v>26.542303999999998</v>
      </c>
      <c r="M65" s="197" t="s">
        <v>239</v>
      </c>
      <c r="N65" s="296" t="s">
        <v>16</v>
      </c>
      <c r="O65" s="156" t="s">
        <v>240</v>
      </c>
      <c r="P65" s="298" t="s">
        <v>35</v>
      </c>
      <c r="Q65" s="314" t="s">
        <v>58</v>
      </c>
      <c r="R65" s="307" t="s">
        <v>40</v>
      </c>
      <c r="S65" s="299" t="s">
        <v>254</v>
      </c>
      <c r="T65" s="300"/>
    </row>
    <row r="66" spans="1:20">
      <c r="A66" s="427" t="s">
        <v>53</v>
      </c>
      <c r="B66" s="199"/>
      <c r="C66" s="199"/>
      <c r="D66" s="199"/>
      <c r="E66" s="199"/>
      <c r="F66" s="156">
        <v>261.7</v>
      </c>
      <c r="G66" s="199" t="s">
        <v>59</v>
      </c>
      <c r="H66" s="474"/>
      <c r="I66" s="156">
        <v>-3.18</v>
      </c>
      <c r="J66" s="473">
        <v>-1.1599999999999999</v>
      </c>
      <c r="K66" s="60">
        <v>-1.08</v>
      </c>
      <c r="L66" s="491">
        <f t="shared" si="5"/>
        <v>26.2409</v>
      </c>
      <c r="M66" s="197" t="s">
        <v>239</v>
      </c>
      <c r="N66" s="296" t="s">
        <v>16</v>
      </c>
      <c r="O66" s="156" t="s">
        <v>240</v>
      </c>
      <c r="P66" s="298" t="s">
        <v>35</v>
      </c>
      <c r="Q66" s="314" t="s">
        <v>58</v>
      </c>
      <c r="R66" s="307" t="s">
        <v>40</v>
      </c>
      <c r="S66" s="299" t="s">
        <v>254</v>
      </c>
      <c r="T66" s="300"/>
    </row>
    <row r="67" spans="1:20">
      <c r="A67" s="427" t="s">
        <v>53</v>
      </c>
      <c r="B67" s="199"/>
      <c r="C67" s="199"/>
      <c r="D67" s="199"/>
      <c r="E67" s="199"/>
      <c r="F67" s="156">
        <v>261.82</v>
      </c>
      <c r="G67" s="199" t="s">
        <v>59</v>
      </c>
      <c r="H67" s="474"/>
      <c r="I67" s="156">
        <v>-3.21</v>
      </c>
      <c r="J67" s="473">
        <v>-1.1599999999999999</v>
      </c>
      <c r="K67" s="60">
        <v>-1.08</v>
      </c>
      <c r="L67" s="491">
        <f t="shared" si="5"/>
        <v>26.391521000000001</v>
      </c>
      <c r="M67" s="197" t="s">
        <v>239</v>
      </c>
      <c r="N67" s="296" t="s">
        <v>16</v>
      </c>
      <c r="O67" s="156" t="s">
        <v>240</v>
      </c>
      <c r="P67" s="298" t="s">
        <v>35</v>
      </c>
      <c r="Q67" s="314" t="s">
        <v>58</v>
      </c>
      <c r="R67" s="307" t="s">
        <v>40</v>
      </c>
      <c r="S67" s="299" t="s">
        <v>254</v>
      </c>
      <c r="T67" s="300"/>
    </row>
    <row r="68" spans="1:20">
      <c r="A68" s="427" t="s">
        <v>53</v>
      </c>
      <c r="B68" s="199"/>
      <c r="C68" s="199"/>
      <c r="D68" s="199"/>
      <c r="E68" s="199"/>
      <c r="F68" s="156">
        <v>261.89999999999998</v>
      </c>
      <c r="G68" s="199" t="s">
        <v>59</v>
      </c>
      <c r="H68" s="474"/>
      <c r="I68" s="156">
        <v>-3.29</v>
      </c>
      <c r="J68" s="473">
        <v>-1.1599999999999999</v>
      </c>
      <c r="K68" s="60">
        <v>-1.08</v>
      </c>
      <c r="L68" s="491">
        <f t="shared" si="5"/>
        <v>26.793968999999997</v>
      </c>
      <c r="M68" s="197" t="s">
        <v>239</v>
      </c>
      <c r="N68" s="296" t="s">
        <v>16</v>
      </c>
      <c r="O68" s="156" t="s">
        <v>240</v>
      </c>
      <c r="P68" s="298" t="s">
        <v>35</v>
      </c>
      <c r="Q68" s="314" t="s">
        <v>58</v>
      </c>
      <c r="R68" s="307" t="s">
        <v>40</v>
      </c>
      <c r="S68" s="299" t="s">
        <v>254</v>
      </c>
      <c r="T68" s="300"/>
    </row>
    <row r="69" spans="1:20">
      <c r="A69" s="427" t="s">
        <v>53</v>
      </c>
      <c r="B69" s="199"/>
      <c r="C69" s="199"/>
      <c r="D69" s="199"/>
      <c r="E69" s="199"/>
      <c r="F69" s="156">
        <v>261.99</v>
      </c>
      <c r="G69" s="199" t="s">
        <v>59</v>
      </c>
      <c r="H69" s="474"/>
      <c r="I69" s="156">
        <v>-3.37</v>
      </c>
      <c r="J69" s="473">
        <v>-1.1599999999999999</v>
      </c>
      <c r="K69" s="60">
        <v>-1.08</v>
      </c>
      <c r="L69" s="491">
        <f t="shared" si="5"/>
        <v>27.197569000000001</v>
      </c>
      <c r="M69" s="197" t="s">
        <v>239</v>
      </c>
      <c r="N69" s="296" t="s">
        <v>16</v>
      </c>
      <c r="O69" s="156" t="s">
        <v>240</v>
      </c>
      <c r="P69" s="298" t="s">
        <v>35</v>
      </c>
      <c r="Q69" s="314" t="s">
        <v>58</v>
      </c>
      <c r="R69" s="307" t="s">
        <v>40</v>
      </c>
      <c r="S69" s="299" t="s">
        <v>254</v>
      </c>
      <c r="T69" s="300"/>
    </row>
    <row r="70" spans="1:20">
      <c r="A70" s="427" t="s">
        <v>53</v>
      </c>
      <c r="B70" s="199"/>
      <c r="C70" s="199"/>
      <c r="D70" s="199"/>
      <c r="E70" s="199"/>
      <c r="F70" s="156">
        <v>262.12</v>
      </c>
      <c r="G70" s="199" t="s">
        <v>59</v>
      </c>
      <c r="H70" s="474"/>
      <c r="I70" s="156">
        <v>-3.57</v>
      </c>
      <c r="J70" s="473">
        <v>-1.1599999999999999</v>
      </c>
      <c r="K70" s="60">
        <v>-1.08</v>
      </c>
      <c r="L70" s="491">
        <f t="shared" si="5"/>
        <v>28.211608999999996</v>
      </c>
      <c r="M70" s="197" t="s">
        <v>239</v>
      </c>
      <c r="N70" s="296" t="s">
        <v>16</v>
      </c>
      <c r="O70" s="156" t="s">
        <v>240</v>
      </c>
      <c r="P70" s="298" t="s">
        <v>35</v>
      </c>
      <c r="Q70" s="314" t="s">
        <v>58</v>
      </c>
      <c r="R70" s="307" t="s">
        <v>40</v>
      </c>
      <c r="S70" s="299" t="s">
        <v>254</v>
      </c>
      <c r="T70" s="300"/>
    </row>
    <row r="71" spans="1:20">
      <c r="A71" s="427" t="s">
        <v>53</v>
      </c>
      <c r="B71" s="199"/>
      <c r="C71" s="199"/>
      <c r="D71" s="199"/>
      <c r="E71" s="199"/>
      <c r="F71" s="156">
        <v>262.27999999999997</v>
      </c>
      <c r="G71" s="199" t="s">
        <v>59</v>
      </c>
      <c r="H71" s="474"/>
      <c r="I71" s="156">
        <v>-3.2</v>
      </c>
      <c r="J71" s="473">
        <v>-1.1599999999999999</v>
      </c>
      <c r="K71" s="60">
        <v>-1.08</v>
      </c>
      <c r="L71" s="491">
        <f t="shared" si="5"/>
        <v>26.341296000000003</v>
      </c>
      <c r="M71" s="197" t="s">
        <v>239</v>
      </c>
      <c r="N71" s="296" t="s">
        <v>16</v>
      </c>
      <c r="O71" s="156" t="s">
        <v>240</v>
      </c>
      <c r="P71" s="298" t="s">
        <v>35</v>
      </c>
      <c r="Q71" s="314" t="s">
        <v>58</v>
      </c>
      <c r="R71" s="307" t="s">
        <v>40</v>
      </c>
      <c r="S71" s="299" t="s">
        <v>254</v>
      </c>
      <c r="T71" s="300"/>
    </row>
    <row r="72" spans="1:20">
      <c r="A72" s="427" t="s">
        <v>53</v>
      </c>
      <c r="B72" s="199"/>
      <c r="C72" s="199"/>
      <c r="D72" s="199"/>
      <c r="E72" s="199"/>
      <c r="F72" s="156">
        <v>262.48</v>
      </c>
      <c r="G72" s="199" t="s">
        <v>59</v>
      </c>
      <c r="H72" s="474"/>
      <c r="I72" s="156">
        <v>-3.63</v>
      </c>
      <c r="J72" s="473">
        <v>-1.1599999999999999</v>
      </c>
      <c r="K72" s="60">
        <v>-1.08</v>
      </c>
      <c r="L72" s="491">
        <f t="shared" si="5"/>
        <v>28.517225000000003</v>
      </c>
      <c r="M72" s="197" t="s">
        <v>239</v>
      </c>
      <c r="N72" s="296" t="s">
        <v>16</v>
      </c>
      <c r="O72" s="156" t="s">
        <v>240</v>
      </c>
      <c r="P72" s="298" t="s">
        <v>35</v>
      </c>
      <c r="Q72" s="314" t="s">
        <v>58</v>
      </c>
      <c r="R72" s="307" t="s">
        <v>40</v>
      </c>
      <c r="S72" s="299" t="s">
        <v>254</v>
      </c>
      <c r="T72" s="300"/>
    </row>
    <row r="73" spans="1:20">
      <c r="A73" s="427" t="s">
        <v>53</v>
      </c>
      <c r="B73" s="199"/>
      <c r="C73" s="199"/>
      <c r="D73" s="199"/>
      <c r="E73" s="199"/>
      <c r="F73" s="156">
        <v>262.72000000000003</v>
      </c>
      <c r="G73" s="199" t="s">
        <v>59</v>
      </c>
      <c r="H73" s="474"/>
      <c r="I73" s="156">
        <v>-3.35</v>
      </c>
      <c r="J73" s="473">
        <v>-1.1599999999999999</v>
      </c>
      <c r="K73" s="60">
        <v>-1.08</v>
      </c>
      <c r="L73" s="491">
        <f t="shared" si="5"/>
        <v>27.096561000000005</v>
      </c>
      <c r="M73" s="197" t="s">
        <v>239</v>
      </c>
      <c r="N73" s="296" t="s">
        <v>16</v>
      </c>
      <c r="O73" s="156" t="s">
        <v>240</v>
      </c>
      <c r="P73" s="298" t="s">
        <v>35</v>
      </c>
      <c r="Q73" s="314" t="s">
        <v>58</v>
      </c>
      <c r="R73" s="307" t="s">
        <v>40</v>
      </c>
      <c r="S73" s="299" t="s">
        <v>254</v>
      </c>
      <c r="T73" s="300"/>
    </row>
    <row r="74" spans="1:20">
      <c r="A74" s="427" t="s">
        <v>53</v>
      </c>
      <c r="B74" s="199"/>
      <c r="C74" s="199"/>
      <c r="D74" s="199"/>
      <c r="E74" s="199"/>
      <c r="F74" s="156">
        <v>263.07</v>
      </c>
      <c r="G74" s="199" t="s">
        <v>59</v>
      </c>
      <c r="H74" s="474"/>
      <c r="I74" s="156">
        <v>-3.17</v>
      </c>
      <c r="J74" s="473">
        <v>-1.1599999999999999</v>
      </c>
      <c r="K74" s="60">
        <v>-1.08</v>
      </c>
      <c r="L74" s="491">
        <f t="shared" si="5"/>
        <v>26.190729000000001</v>
      </c>
      <c r="M74" s="197" t="s">
        <v>239</v>
      </c>
      <c r="N74" s="296" t="s">
        <v>16</v>
      </c>
      <c r="O74" s="156" t="s">
        <v>241</v>
      </c>
      <c r="P74" s="298" t="s">
        <v>35</v>
      </c>
      <c r="Q74" s="314" t="s">
        <v>58</v>
      </c>
      <c r="R74" s="307" t="s">
        <v>40</v>
      </c>
      <c r="S74" s="299" t="s">
        <v>254</v>
      </c>
      <c r="T74" s="300"/>
    </row>
    <row r="75" spans="1:20">
      <c r="A75" s="427" t="s">
        <v>53</v>
      </c>
      <c r="B75" s="199"/>
      <c r="C75" s="199"/>
      <c r="D75" s="199"/>
      <c r="E75" s="199"/>
      <c r="F75" s="156">
        <v>263.36</v>
      </c>
      <c r="G75" s="199" t="s">
        <v>59</v>
      </c>
      <c r="H75" s="474"/>
      <c r="I75" s="156">
        <v>-3.4</v>
      </c>
      <c r="J75" s="473">
        <v>-1.1599999999999999</v>
      </c>
      <c r="K75" s="60">
        <v>-1.08</v>
      </c>
      <c r="L75" s="491">
        <f t="shared" si="5"/>
        <v>27.349216000000002</v>
      </c>
      <c r="M75" s="197" t="s">
        <v>239</v>
      </c>
      <c r="N75" s="296" t="s">
        <v>16</v>
      </c>
      <c r="O75" s="156" t="s">
        <v>240</v>
      </c>
      <c r="P75" s="298" t="s">
        <v>35</v>
      </c>
      <c r="Q75" s="314" t="s">
        <v>58</v>
      </c>
      <c r="R75" s="307" t="s">
        <v>40</v>
      </c>
      <c r="S75" s="299" t="s">
        <v>254</v>
      </c>
      <c r="T75" s="300"/>
    </row>
    <row r="76" spans="1:20">
      <c r="A76" s="427" t="s">
        <v>53</v>
      </c>
      <c r="B76" s="199"/>
      <c r="C76" s="199"/>
      <c r="D76" s="199"/>
      <c r="E76" s="199"/>
      <c r="F76" s="156">
        <v>263.69</v>
      </c>
      <c r="G76" s="199" t="s">
        <v>59</v>
      </c>
      <c r="H76" s="474"/>
      <c r="I76" s="156">
        <v>-3.79</v>
      </c>
      <c r="J76" s="473">
        <v>-1.1599999999999999</v>
      </c>
      <c r="K76" s="60">
        <v>-1.08</v>
      </c>
      <c r="L76" s="491">
        <f t="shared" si="5"/>
        <v>29.335369</v>
      </c>
      <c r="M76" s="197" t="s">
        <v>239</v>
      </c>
      <c r="N76" s="296" t="s">
        <v>16</v>
      </c>
      <c r="O76" s="156" t="s">
        <v>240</v>
      </c>
      <c r="P76" s="298" t="s">
        <v>35</v>
      </c>
      <c r="Q76" s="314" t="s">
        <v>58</v>
      </c>
      <c r="R76" s="307" t="s">
        <v>40</v>
      </c>
      <c r="S76" s="299" t="s">
        <v>254</v>
      </c>
      <c r="T76" s="300"/>
    </row>
    <row r="77" spans="1:20">
      <c r="A77" s="427" t="s">
        <v>53</v>
      </c>
      <c r="B77" s="199"/>
      <c r="C77" s="199"/>
      <c r="D77" s="199"/>
      <c r="E77" s="199"/>
      <c r="F77" s="156">
        <v>264.27999999999997</v>
      </c>
      <c r="G77" s="199" t="s">
        <v>59</v>
      </c>
      <c r="H77" s="474"/>
      <c r="I77" s="156">
        <v>-3.3</v>
      </c>
      <c r="J77" s="473">
        <v>-1.1599999999999999</v>
      </c>
      <c r="K77" s="60">
        <v>-1.08</v>
      </c>
      <c r="L77" s="491">
        <f t="shared" si="5"/>
        <v>26.844356000000001</v>
      </c>
      <c r="M77" s="197" t="s">
        <v>239</v>
      </c>
      <c r="N77" s="296" t="s">
        <v>16</v>
      </c>
      <c r="O77" s="156" t="s">
        <v>240</v>
      </c>
      <c r="P77" s="298" t="s">
        <v>35</v>
      </c>
      <c r="Q77" s="314" t="s">
        <v>58</v>
      </c>
      <c r="R77" s="307" t="s">
        <v>40</v>
      </c>
      <c r="S77" s="299" t="s">
        <v>254</v>
      </c>
      <c r="T77" s="300"/>
    </row>
    <row r="78" spans="1:20">
      <c r="A78" s="427" t="s">
        <v>53</v>
      </c>
      <c r="B78" s="199"/>
      <c r="C78" s="199"/>
      <c r="D78" s="199"/>
      <c r="E78" s="199"/>
      <c r="F78" s="156">
        <v>264.89</v>
      </c>
      <c r="G78" s="199" t="s">
        <v>59</v>
      </c>
      <c r="H78" s="474"/>
      <c r="I78" s="156">
        <v>-3.09</v>
      </c>
      <c r="J78" s="473">
        <v>-1.1599999999999999</v>
      </c>
      <c r="K78" s="60">
        <v>-1.08</v>
      </c>
      <c r="L78" s="491">
        <f t="shared" si="5"/>
        <v>25.790009000000001</v>
      </c>
      <c r="M78" s="197" t="s">
        <v>257</v>
      </c>
      <c r="N78" s="296" t="s">
        <v>16</v>
      </c>
      <c r="O78" s="156" t="s">
        <v>240</v>
      </c>
      <c r="P78" s="298" t="s">
        <v>35</v>
      </c>
      <c r="Q78" s="314" t="s">
        <v>58</v>
      </c>
      <c r="R78" s="307" t="s">
        <v>40</v>
      </c>
      <c r="S78" s="299" t="s">
        <v>254</v>
      </c>
      <c r="T78" s="300"/>
    </row>
    <row r="79" spans="1:20">
      <c r="A79" s="427" t="s">
        <v>53</v>
      </c>
      <c r="B79" s="199"/>
      <c r="C79" s="199"/>
      <c r="D79" s="199"/>
      <c r="E79" s="199"/>
      <c r="F79" s="156">
        <v>265.45999999999998</v>
      </c>
      <c r="G79" s="199" t="s">
        <v>59</v>
      </c>
      <c r="H79" s="474"/>
      <c r="I79" s="156">
        <v>-3.32</v>
      </c>
      <c r="J79" s="473">
        <v>-1.1599999999999999</v>
      </c>
      <c r="K79" s="60">
        <v>-1.08</v>
      </c>
      <c r="L79" s="491">
        <f t="shared" si="5"/>
        <v>26.945184000000001</v>
      </c>
      <c r="M79" s="197" t="s">
        <v>239</v>
      </c>
      <c r="N79" s="296" t="s">
        <v>16</v>
      </c>
      <c r="O79" s="156" t="s">
        <v>240</v>
      </c>
      <c r="P79" s="298" t="s">
        <v>35</v>
      </c>
      <c r="Q79" s="314" t="s">
        <v>58</v>
      </c>
      <c r="R79" s="307" t="s">
        <v>40</v>
      </c>
      <c r="S79" s="299" t="s">
        <v>254</v>
      </c>
      <c r="T79" s="300"/>
    </row>
    <row r="80" spans="1:20">
      <c r="A80" s="427" t="s">
        <v>53</v>
      </c>
      <c r="B80" s="199"/>
      <c r="C80" s="199"/>
      <c r="D80" s="199"/>
      <c r="E80" s="199"/>
      <c r="F80" s="156">
        <v>266.11</v>
      </c>
      <c r="G80" s="199" t="s">
        <v>59</v>
      </c>
      <c r="H80" s="474"/>
      <c r="I80" s="156">
        <v>-3.5</v>
      </c>
      <c r="J80" s="473">
        <v>-1.1599999999999999</v>
      </c>
      <c r="K80" s="60">
        <v>-1.08</v>
      </c>
      <c r="L80" s="491">
        <f t="shared" si="5"/>
        <v>27.855876000000002</v>
      </c>
      <c r="M80" s="197" t="s">
        <v>239</v>
      </c>
      <c r="N80" s="296" t="s">
        <v>16</v>
      </c>
      <c r="O80" s="156" t="s">
        <v>240</v>
      </c>
      <c r="P80" s="298" t="s">
        <v>35</v>
      </c>
      <c r="Q80" s="314" t="s">
        <v>58</v>
      </c>
      <c r="R80" s="307" t="s">
        <v>40</v>
      </c>
      <c r="S80" s="299" t="s">
        <v>254</v>
      </c>
      <c r="T80" s="300"/>
    </row>
    <row r="81" spans="1:20">
      <c r="A81" s="427" t="s">
        <v>53</v>
      </c>
      <c r="B81" s="199"/>
      <c r="C81" s="199"/>
      <c r="D81" s="199"/>
      <c r="E81" s="199"/>
      <c r="F81" s="156">
        <v>266.72000000000003</v>
      </c>
      <c r="G81" s="199" t="s">
        <v>59</v>
      </c>
      <c r="H81" s="474"/>
      <c r="I81" s="156">
        <v>-3.19</v>
      </c>
      <c r="J81" s="473">
        <v>-1.1599999999999999</v>
      </c>
      <c r="K81" s="60">
        <v>-1.08</v>
      </c>
      <c r="L81" s="491">
        <f t="shared" si="5"/>
        <v>26.291088999999999</v>
      </c>
      <c r="M81" s="197" t="s">
        <v>239</v>
      </c>
      <c r="N81" s="296" t="s">
        <v>16</v>
      </c>
      <c r="O81" s="156">
        <v>225</v>
      </c>
      <c r="P81" s="298" t="s">
        <v>35</v>
      </c>
      <c r="Q81" s="314" t="s">
        <v>58</v>
      </c>
      <c r="R81" s="307" t="s">
        <v>40</v>
      </c>
      <c r="S81" s="299" t="s">
        <v>254</v>
      </c>
      <c r="T81" s="300"/>
    </row>
    <row r="82" spans="1:20">
      <c r="A82" s="427" t="s">
        <v>53</v>
      </c>
      <c r="B82" s="199"/>
      <c r="C82" s="199"/>
      <c r="D82" s="199"/>
      <c r="E82" s="199"/>
      <c r="F82" s="156">
        <v>267.33</v>
      </c>
      <c r="G82" s="199" t="s">
        <v>20</v>
      </c>
      <c r="H82" s="474"/>
      <c r="I82" s="156">
        <v>-3.43</v>
      </c>
      <c r="J82" s="473">
        <v>-1.1599999999999999</v>
      </c>
      <c r="K82" s="60">
        <v>-1.08</v>
      </c>
      <c r="L82" s="492">
        <f>16.1-4.64*($I82-K82)+0.09*($I82-K82)^2</f>
        <v>27.501025000000002</v>
      </c>
      <c r="M82" s="197" t="s">
        <v>239</v>
      </c>
      <c r="N82" s="296" t="s">
        <v>16</v>
      </c>
      <c r="O82" s="156" t="s">
        <v>240</v>
      </c>
      <c r="P82" s="298" t="s">
        <v>35</v>
      </c>
      <c r="Q82" s="314" t="s">
        <v>58</v>
      </c>
      <c r="R82" s="307" t="s">
        <v>40</v>
      </c>
      <c r="S82" s="299" t="s">
        <v>254</v>
      </c>
      <c r="T82" s="300"/>
    </row>
    <row r="83" spans="1:20">
      <c r="A83" s="427" t="s">
        <v>53</v>
      </c>
      <c r="B83" s="199"/>
      <c r="C83" s="199"/>
      <c r="D83" s="199"/>
      <c r="E83" s="199"/>
      <c r="F83" s="156">
        <v>273.92</v>
      </c>
      <c r="G83" s="199" t="s">
        <v>266</v>
      </c>
      <c r="H83" s="474"/>
      <c r="I83" s="156">
        <v>-3.3</v>
      </c>
      <c r="J83" s="473">
        <v>-1.1599999999999999</v>
      </c>
      <c r="K83" s="60">
        <v>-1.08</v>
      </c>
      <c r="L83" s="491">
        <f>16.1-4.64*($I83-K83)+0.09*($I83-K83)^2</f>
        <v>26.844356000000001</v>
      </c>
      <c r="M83" s="197" t="s">
        <v>239</v>
      </c>
      <c r="N83" s="296" t="s">
        <v>16</v>
      </c>
      <c r="O83" s="156" t="s">
        <v>247</v>
      </c>
      <c r="P83" s="298" t="s">
        <v>35</v>
      </c>
      <c r="Q83" s="314" t="s">
        <v>58</v>
      </c>
      <c r="R83" s="307" t="s">
        <v>40</v>
      </c>
      <c r="S83" s="299" t="s">
        <v>254</v>
      </c>
      <c r="T83" s="300"/>
    </row>
    <row r="84" spans="1:20">
      <c r="A84" s="427" t="s">
        <v>53</v>
      </c>
      <c r="B84" s="199"/>
      <c r="C84" s="199"/>
      <c r="D84" s="199"/>
      <c r="E84" s="199"/>
      <c r="F84" s="156">
        <v>274.05</v>
      </c>
      <c r="G84" s="199" t="s">
        <v>266</v>
      </c>
      <c r="H84" s="474"/>
      <c r="I84" s="156">
        <v>-3</v>
      </c>
      <c r="J84" s="473">
        <v>-1.1599999999999999</v>
      </c>
      <c r="K84" s="60">
        <v>-1.08</v>
      </c>
      <c r="L84" s="491">
        <f>16.1-4.64*($I84-(J84+K84))+0.09*($I84-(J84+K84))^2</f>
        <v>19.678384000000001</v>
      </c>
      <c r="M84" s="197" t="s">
        <v>239</v>
      </c>
      <c r="N84" s="296" t="s">
        <v>16</v>
      </c>
      <c r="O84" s="156" t="s">
        <v>248</v>
      </c>
      <c r="P84" s="298" t="s">
        <v>35</v>
      </c>
      <c r="Q84" s="314" t="s">
        <v>58</v>
      </c>
      <c r="R84" s="307" t="s">
        <v>40</v>
      </c>
      <c r="S84" s="299" t="s">
        <v>254</v>
      </c>
      <c r="T84" s="300"/>
    </row>
    <row r="85" spans="1:20">
      <c r="A85" s="427" t="s">
        <v>53</v>
      </c>
      <c r="B85" s="199"/>
      <c r="C85" s="199"/>
      <c r="D85" s="199"/>
      <c r="E85" s="199"/>
      <c r="F85" s="156">
        <v>274.08999999999997</v>
      </c>
      <c r="G85" s="199" t="s">
        <v>19</v>
      </c>
      <c r="H85" s="474"/>
      <c r="I85" s="156">
        <v>-2.82</v>
      </c>
      <c r="J85" s="473">
        <v>-1.1599999999999999</v>
      </c>
      <c r="K85" s="60">
        <v>-1.08</v>
      </c>
      <c r="L85" s="494">
        <f t="shared" ref="L85:L87" si="6">16.1-4.64*($I85-K85)+0.09*($I85-K85)^2</f>
        <v>24.446083999999999</v>
      </c>
      <c r="M85" s="197" t="s">
        <v>239</v>
      </c>
      <c r="N85" s="296" t="s">
        <v>16</v>
      </c>
      <c r="O85" s="156" t="s">
        <v>245</v>
      </c>
      <c r="P85" s="298" t="s">
        <v>35</v>
      </c>
      <c r="Q85" s="314" t="s">
        <v>58</v>
      </c>
      <c r="R85" s="307" t="s">
        <v>40</v>
      </c>
      <c r="S85" s="299" t="s">
        <v>254</v>
      </c>
      <c r="T85" s="300"/>
    </row>
    <row r="86" spans="1:20">
      <c r="A86" s="427" t="s">
        <v>53</v>
      </c>
      <c r="B86" s="199"/>
      <c r="C86" s="199"/>
      <c r="D86" s="199"/>
      <c r="E86" s="199"/>
      <c r="F86" s="156">
        <v>274.25</v>
      </c>
      <c r="G86" s="199" t="s">
        <v>19</v>
      </c>
      <c r="H86" s="474"/>
      <c r="I86" s="156">
        <v>-2.82</v>
      </c>
      <c r="J86" s="473">
        <v>-1.1599999999999999</v>
      </c>
      <c r="K86" s="60">
        <v>-1.08</v>
      </c>
      <c r="L86" s="494">
        <f t="shared" si="6"/>
        <v>24.446083999999999</v>
      </c>
      <c r="M86" s="197" t="s">
        <v>239</v>
      </c>
      <c r="N86" s="296" t="s">
        <v>16</v>
      </c>
      <c r="O86" s="156" t="s">
        <v>249</v>
      </c>
      <c r="P86" s="298" t="s">
        <v>35</v>
      </c>
      <c r="Q86" s="314" t="s">
        <v>58</v>
      </c>
      <c r="R86" s="307" t="s">
        <v>40</v>
      </c>
      <c r="S86" s="299" t="s">
        <v>254</v>
      </c>
      <c r="T86" s="300"/>
    </row>
    <row r="87" spans="1:20">
      <c r="A87" s="431" t="s">
        <v>53</v>
      </c>
      <c r="B87" s="432"/>
      <c r="C87" s="432"/>
      <c r="D87" s="432"/>
      <c r="E87" s="432"/>
      <c r="F87" s="226">
        <v>274.39</v>
      </c>
      <c r="G87" s="432" t="s">
        <v>19</v>
      </c>
      <c r="H87" s="476"/>
      <c r="I87" s="226">
        <v>-2.9</v>
      </c>
      <c r="J87" s="478">
        <v>-1.1599999999999999</v>
      </c>
      <c r="K87" s="179">
        <v>-1.08</v>
      </c>
      <c r="L87" s="493">
        <f t="shared" si="6"/>
        <v>24.842916000000002</v>
      </c>
      <c r="M87" s="479" t="s">
        <v>239</v>
      </c>
      <c r="N87" s="386" t="s">
        <v>16</v>
      </c>
      <c r="O87" s="226" t="s">
        <v>250</v>
      </c>
      <c r="P87" s="390" t="s">
        <v>35</v>
      </c>
      <c r="Q87" s="388" t="s">
        <v>58</v>
      </c>
      <c r="R87" s="387" t="s">
        <v>40</v>
      </c>
      <c r="S87" s="299" t="s">
        <v>254</v>
      </c>
      <c r="T87" s="300"/>
    </row>
    <row r="88" spans="1:20">
      <c r="A88" s="427" t="s">
        <v>53</v>
      </c>
      <c r="B88" s="199"/>
      <c r="C88" s="199"/>
      <c r="D88" s="199"/>
      <c r="E88" s="199"/>
      <c r="F88" s="156">
        <v>267.95999999999998</v>
      </c>
      <c r="G88" s="199" t="s">
        <v>20</v>
      </c>
      <c r="H88" s="474"/>
      <c r="I88" s="156">
        <v>-4.21</v>
      </c>
      <c r="J88" s="473">
        <v>-1.1599999999999999</v>
      </c>
      <c r="K88" s="60">
        <v>-1.08</v>
      </c>
      <c r="L88" s="492">
        <f t="shared" ref="L88:L104" si="7">16.1-4.64*($I88-K88)+0.09*($I88-K88)^2</f>
        <v>31.504921</v>
      </c>
      <c r="M88" s="197" t="s">
        <v>258</v>
      </c>
      <c r="N88" s="296" t="s">
        <v>16</v>
      </c>
      <c r="O88" s="156" t="s">
        <v>242</v>
      </c>
      <c r="P88" s="298" t="s">
        <v>35</v>
      </c>
      <c r="Q88" s="314" t="s">
        <v>58</v>
      </c>
      <c r="R88" s="307" t="s">
        <v>40</v>
      </c>
      <c r="S88" s="299" t="s">
        <v>254</v>
      </c>
      <c r="T88" s="300"/>
    </row>
    <row r="89" spans="1:20">
      <c r="A89" s="427" t="s">
        <v>53</v>
      </c>
      <c r="B89" s="199"/>
      <c r="C89" s="199"/>
      <c r="D89" s="199"/>
      <c r="E89" s="199"/>
      <c r="F89" s="156">
        <v>268.57</v>
      </c>
      <c r="G89" s="199" t="s">
        <v>20</v>
      </c>
      <c r="H89" s="474"/>
      <c r="I89" s="156">
        <v>-3.98</v>
      </c>
      <c r="J89" s="473">
        <v>-1.1599999999999999</v>
      </c>
      <c r="K89" s="60">
        <v>-1.08</v>
      </c>
      <c r="L89" s="492">
        <f t="shared" si="7"/>
        <v>30.312900000000003</v>
      </c>
      <c r="M89" s="197" t="s">
        <v>258</v>
      </c>
      <c r="N89" s="296" t="s">
        <v>16</v>
      </c>
      <c r="O89" s="156">
        <v>250</v>
      </c>
      <c r="P89" s="298" t="s">
        <v>35</v>
      </c>
      <c r="Q89" s="314" t="s">
        <v>58</v>
      </c>
      <c r="R89" s="307" t="s">
        <v>40</v>
      </c>
      <c r="S89" s="299" t="s">
        <v>254</v>
      </c>
      <c r="T89" s="300"/>
    </row>
    <row r="90" spans="1:20">
      <c r="A90" s="427" t="s">
        <v>53</v>
      </c>
      <c r="B90" s="199"/>
      <c r="C90" s="199"/>
      <c r="D90" s="199"/>
      <c r="E90" s="199"/>
      <c r="F90" s="156">
        <v>269.17</v>
      </c>
      <c r="G90" s="199" t="s">
        <v>20</v>
      </c>
      <c r="H90" s="474"/>
      <c r="I90" s="156">
        <v>-3.56</v>
      </c>
      <c r="J90" s="473">
        <v>-1.1599999999999999</v>
      </c>
      <c r="K90" s="60">
        <v>-1.08</v>
      </c>
      <c r="L90" s="492">
        <f t="shared" si="7"/>
        <v>28.160736</v>
      </c>
      <c r="M90" s="197" t="s">
        <v>259</v>
      </c>
      <c r="N90" s="296" t="s">
        <v>16</v>
      </c>
      <c r="O90" s="156" t="s">
        <v>243</v>
      </c>
      <c r="P90" s="298" t="s">
        <v>35</v>
      </c>
      <c r="Q90" s="314" t="s">
        <v>58</v>
      </c>
      <c r="R90" s="307" t="s">
        <v>40</v>
      </c>
      <c r="S90" s="299" t="s">
        <v>254</v>
      </c>
      <c r="T90" s="300"/>
    </row>
    <row r="91" spans="1:20">
      <c r="A91" s="427" t="s">
        <v>53</v>
      </c>
      <c r="B91" s="199"/>
      <c r="C91" s="199"/>
      <c r="D91" s="199"/>
      <c r="E91" s="199"/>
      <c r="F91" s="156">
        <v>269.77999999999997</v>
      </c>
      <c r="G91" s="199" t="s">
        <v>20</v>
      </c>
      <c r="H91" s="474"/>
      <c r="I91" s="156">
        <v>-3.76</v>
      </c>
      <c r="J91" s="473">
        <v>-1.1599999999999999</v>
      </c>
      <c r="K91" s="60">
        <v>-1.08</v>
      </c>
      <c r="L91" s="492">
        <f t="shared" si="7"/>
        <v>29.181615999999998</v>
      </c>
      <c r="M91" s="197" t="s">
        <v>258</v>
      </c>
      <c r="N91" s="296" t="s">
        <v>16</v>
      </c>
      <c r="O91" s="156" t="s">
        <v>37</v>
      </c>
      <c r="P91" s="298" t="s">
        <v>35</v>
      </c>
      <c r="Q91" s="314" t="s">
        <v>58</v>
      </c>
      <c r="R91" s="307" t="s">
        <v>40</v>
      </c>
      <c r="S91" s="299" t="s">
        <v>254</v>
      </c>
      <c r="T91" s="300"/>
    </row>
    <row r="92" spans="1:20">
      <c r="A92" s="427" t="s">
        <v>53</v>
      </c>
      <c r="B92" s="199"/>
      <c r="C92" s="199"/>
      <c r="D92" s="199"/>
      <c r="E92" s="199"/>
      <c r="F92" s="156">
        <v>270.37</v>
      </c>
      <c r="G92" s="199" t="s">
        <v>20</v>
      </c>
      <c r="H92" s="474"/>
      <c r="I92" s="156">
        <v>-3.67</v>
      </c>
      <c r="J92" s="473">
        <v>-1.1599999999999999</v>
      </c>
      <c r="K92" s="60">
        <v>-1.08</v>
      </c>
      <c r="L92" s="492">
        <f t="shared" si="7"/>
        <v>28.721329000000001</v>
      </c>
      <c r="M92" s="197" t="s">
        <v>258</v>
      </c>
      <c r="N92" s="296" t="s">
        <v>16</v>
      </c>
      <c r="O92" s="156" t="s">
        <v>37</v>
      </c>
      <c r="P92" s="298" t="s">
        <v>35</v>
      </c>
      <c r="Q92" s="314" t="s">
        <v>58</v>
      </c>
      <c r="R92" s="307" t="s">
        <v>40</v>
      </c>
      <c r="S92" s="299" t="s">
        <v>254</v>
      </c>
      <c r="T92" s="300"/>
    </row>
    <row r="93" spans="1:20">
      <c r="A93" s="427" t="s">
        <v>53</v>
      </c>
      <c r="B93" s="199"/>
      <c r="C93" s="199"/>
      <c r="D93" s="199"/>
      <c r="E93" s="199"/>
      <c r="F93" s="156">
        <v>271.01</v>
      </c>
      <c r="G93" s="199" t="s">
        <v>20</v>
      </c>
      <c r="H93" s="474"/>
      <c r="I93" s="156">
        <v>-3.94</v>
      </c>
      <c r="J93" s="473">
        <v>-1.1599999999999999</v>
      </c>
      <c r="K93" s="60">
        <v>-1.08</v>
      </c>
      <c r="L93" s="492">
        <f t="shared" si="7"/>
        <v>30.106563999999999</v>
      </c>
      <c r="M93" s="197" t="s">
        <v>258</v>
      </c>
      <c r="N93" s="296" t="s">
        <v>16</v>
      </c>
      <c r="O93" s="156" t="s">
        <v>37</v>
      </c>
      <c r="P93" s="298" t="s">
        <v>35</v>
      </c>
      <c r="Q93" s="314" t="s">
        <v>58</v>
      </c>
      <c r="R93" s="307" t="s">
        <v>40</v>
      </c>
      <c r="S93" s="299" t="s">
        <v>254</v>
      </c>
      <c r="T93" s="300"/>
    </row>
    <row r="94" spans="1:20">
      <c r="A94" s="427" t="s">
        <v>53</v>
      </c>
      <c r="B94" s="199"/>
      <c r="C94" s="199"/>
      <c r="D94" s="199"/>
      <c r="E94" s="199"/>
      <c r="F94" s="156">
        <v>271.56</v>
      </c>
      <c r="G94" s="199" t="s">
        <v>20</v>
      </c>
      <c r="H94" s="474"/>
      <c r="I94" s="156">
        <v>-3.69</v>
      </c>
      <c r="J94" s="473">
        <v>-1.1599999999999999</v>
      </c>
      <c r="K94" s="60">
        <v>-1.08</v>
      </c>
      <c r="L94" s="492">
        <f t="shared" si="7"/>
        <v>28.823488999999999</v>
      </c>
      <c r="M94" s="197" t="s">
        <v>258</v>
      </c>
      <c r="N94" s="296" t="s">
        <v>16</v>
      </c>
      <c r="O94" s="156" t="s">
        <v>37</v>
      </c>
      <c r="P94" s="298" t="s">
        <v>35</v>
      </c>
      <c r="Q94" s="314" t="s">
        <v>58</v>
      </c>
      <c r="R94" s="307" t="s">
        <v>40</v>
      </c>
      <c r="S94" s="299" t="s">
        <v>254</v>
      </c>
      <c r="T94" s="300"/>
    </row>
    <row r="95" spans="1:20">
      <c r="A95" s="427" t="s">
        <v>53</v>
      </c>
      <c r="B95" s="199"/>
      <c r="C95" s="199"/>
      <c r="D95" s="199"/>
      <c r="E95" s="199"/>
      <c r="F95" s="156">
        <v>271.85000000000002</v>
      </c>
      <c r="G95" s="199" t="s">
        <v>20</v>
      </c>
      <c r="H95" s="474"/>
      <c r="I95" s="156">
        <v>-4.04</v>
      </c>
      <c r="J95" s="473">
        <v>-1.1599999999999999</v>
      </c>
      <c r="K95" s="60">
        <v>-1.08</v>
      </c>
      <c r="L95" s="492">
        <f t="shared" si="7"/>
        <v>30.622944000000004</v>
      </c>
      <c r="M95" s="197" t="s">
        <v>258</v>
      </c>
      <c r="N95" s="296" t="s">
        <v>16</v>
      </c>
      <c r="O95" s="156" t="s">
        <v>37</v>
      </c>
      <c r="P95" s="298" t="s">
        <v>35</v>
      </c>
      <c r="Q95" s="314" t="s">
        <v>58</v>
      </c>
      <c r="R95" s="307" t="s">
        <v>40</v>
      </c>
      <c r="S95" s="299" t="s">
        <v>254</v>
      </c>
      <c r="T95" s="300"/>
    </row>
    <row r="96" spans="1:20">
      <c r="A96" s="427" t="s">
        <v>53</v>
      </c>
      <c r="B96" s="199"/>
      <c r="C96" s="199"/>
      <c r="D96" s="199"/>
      <c r="E96" s="199"/>
      <c r="F96" s="156">
        <v>272.22000000000003</v>
      </c>
      <c r="G96" s="199" t="s">
        <v>20</v>
      </c>
      <c r="H96" s="474"/>
      <c r="I96" s="156">
        <v>-3.74</v>
      </c>
      <c r="J96" s="473">
        <v>-1.1599999999999999</v>
      </c>
      <c r="K96" s="60">
        <v>-1.08</v>
      </c>
      <c r="L96" s="492">
        <f t="shared" si="7"/>
        <v>29.079204000000001</v>
      </c>
      <c r="M96" s="197" t="s">
        <v>258</v>
      </c>
      <c r="N96" s="296" t="s">
        <v>16</v>
      </c>
      <c r="O96" s="156">
        <v>200</v>
      </c>
      <c r="P96" s="298" t="s">
        <v>35</v>
      </c>
      <c r="Q96" s="314" t="s">
        <v>58</v>
      </c>
      <c r="R96" s="307" t="s">
        <v>40</v>
      </c>
      <c r="S96" s="299" t="s">
        <v>254</v>
      </c>
      <c r="T96" s="300"/>
    </row>
    <row r="97" spans="1:20">
      <c r="A97" s="427" t="s">
        <v>53</v>
      </c>
      <c r="B97" s="199"/>
      <c r="C97" s="199"/>
      <c r="D97" s="199"/>
      <c r="E97" s="199"/>
      <c r="F97" s="156">
        <v>272.68</v>
      </c>
      <c r="G97" s="199" t="s">
        <v>20</v>
      </c>
      <c r="H97" s="474"/>
      <c r="I97" s="156">
        <v>-4.37</v>
      </c>
      <c r="J97" s="473">
        <v>-1.1599999999999999</v>
      </c>
      <c r="K97" s="60">
        <v>-1.08</v>
      </c>
      <c r="L97" s="492">
        <f t="shared" si="7"/>
        <v>32.339769000000004</v>
      </c>
      <c r="M97" s="197" t="s">
        <v>258</v>
      </c>
      <c r="N97" s="296" t="s">
        <v>16</v>
      </c>
      <c r="O97" s="156" t="s">
        <v>37</v>
      </c>
      <c r="P97" s="298" t="s">
        <v>35</v>
      </c>
      <c r="Q97" s="314" t="s">
        <v>58</v>
      </c>
      <c r="R97" s="307" t="s">
        <v>40</v>
      </c>
      <c r="S97" s="299" t="s">
        <v>254</v>
      </c>
      <c r="T97" s="300"/>
    </row>
    <row r="98" spans="1:20">
      <c r="A98" s="427" t="s">
        <v>53</v>
      </c>
      <c r="B98" s="199"/>
      <c r="C98" s="199"/>
      <c r="D98" s="199"/>
      <c r="E98" s="199"/>
      <c r="F98" s="156">
        <v>272.83999999999997</v>
      </c>
      <c r="G98" s="199" t="s">
        <v>20</v>
      </c>
      <c r="H98" s="474"/>
      <c r="I98" s="156">
        <v>-3.89</v>
      </c>
      <c r="J98" s="473">
        <v>-1.1599999999999999</v>
      </c>
      <c r="K98" s="60">
        <v>-1.08</v>
      </c>
      <c r="L98" s="492">
        <f t="shared" si="7"/>
        <v>29.849049000000001</v>
      </c>
      <c r="M98" s="197" t="s">
        <v>258</v>
      </c>
      <c r="N98" s="296" t="s">
        <v>16</v>
      </c>
      <c r="O98" s="156" t="s">
        <v>240</v>
      </c>
      <c r="P98" s="298" t="s">
        <v>35</v>
      </c>
      <c r="Q98" s="314" t="s">
        <v>58</v>
      </c>
      <c r="R98" s="307" t="s">
        <v>40</v>
      </c>
      <c r="S98" s="299" t="s">
        <v>254</v>
      </c>
      <c r="T98" s="300"/>
    </row>
    <row r="99" spans="1:20">
      <c r="A99" s="427" t="s">
        <v>53</v>
      </c>
      <c r="B99" s="199"/>
      <c r="C99" s="199"/>
      <c r="D99" s="199"/>
      <c r="E99" s="199"/>
      <c r="F99" s="156">
        <v>272.94</v>
      </c>
      <c r="G99" s="199" t="s">
        <v>20</v>
      </c>
      <c r="H99" s="474"/>
      <c r="I99" s="156">
        <v>-3.82</v>
      </c>
      <c r="J99" s="473">
        <v>-1.1599999999999999</v>
      </c>
      <c r="K99" s="60">
        <v>-1.08</v>
      </c>
      <c r="L99" s="492">
        <f t="shared" si="7"/>
        <v>29.489284000000001</v>
      </c>
      <c r="M99" s="197" t="s">
        <v>258</v>
      </c>
      <c r="N99" s="296" t="s">
        <v>16</v>
      </c>
      <c r="O99" s="156" t="s">
        <v>244</v>
      </c>
      <c r="P99" s="298" t="s">
        <v>35</v>
      </c>
      <c r="Q99" s="314" t="s">
        <v>58</v>
      </c>
      <c r="R99" s="307" t="s">
        <v>40</v>
      </c>
      <c r="S99" s="299" t="s">
        <v>254</v>
      </c>
      <c r="T99" s="300"/>
    </row>
    <row r="100" spans="1:20">
      <c r="A100" s="427" t="s">
        <v>53</v>
      </c>
      <c r="B100" s="199"/>
      <c r="C100" s="199"/>
      <c r="D100" s="199"/>
      <c r="E100" s="199"/>
      <c r="F100" s="156">
        <v>272.94</v>
      </c>
      <c r="G100" s="199" t="s">
        <v>20</v>
      </c>
      <c r="H100" s="474"/>
      <c r="I100" s="156">
        <v>-3.72</v>
      </c>
      <c r="J100" s="473">
        <v>-1.1599999999999999</v>
      </c>
      <c r="K100" s="60">
        <v>-1.08</v>
      </c>
      <c r="L100" s="492">
        <f t="shared" si="7"/>
        <v>28.976864000000003</v>
      </c>
      <c r="M100" s="197" t="s">
        <v>258</v>
      </c>
      <c r="N100" s="296" t="s">
        <v>16</v>
      </c>
      <c r="O100" s="156" t="s">
        <v>37</v>
      </c>
      <c r="P100" s="298" t="s">
        <v>35</v>
      </c>
      <c r="Q100" s="314" t="s">
        <v>58</v>
      </c>
      <c r="R100" s="307" t="s">
        <v>40</v>
      </c>
      <c r="S100" s="299" t="s">
        <v>254</v>
      </c>
      <c r="T100" s="300"/>
    </row>
    <row r="101" spans="1:20">
      <c r="A101" s="427" t="s">
        <v>53</v>
      </c>
      <c r="B101" s="199"/>
      <c r="C101" s="199"/>
      <c r="D101" s="199"/>
      <c r="E101" s="199"/>
      <c r="F101" s="156">
        <v>273.06</v>
      </c>
      <c r="G101" s="199" t="s">
        <v>20</v>
      </c>
      <c r="H101" s="474"/>
      <c r="I101" s="156">
        <v>-3.76</v>
      </c>
      <c r="J101" s="473">
        <v>-1.1599999999999999</v>
      </c>
      <c r="K101" s="60">
        <v>-1.08</v>
      </c>
      <c r="L101" s="492">
        <f t="shared" si="7"/>
        <v>29.181615999999998</v>
      </c>
      <c r="M101" s="197" t="s">
        <v>258</v>
      </c>
      <c r="N101" s="296" t="s">
        <v>16</v>
      </c>
      <c r="O101" s="156" t="s">
        <v>244</v>
      </c>
      <c r="P101" s="298" t="s">
        <v>35</v>
      </c>
      <c r="Q101" s="314" t="s">
        <v>58</v>
      </c>
      <c r="R101" s="307" t="s">
        <v>40</v>
      </c>
      <c r="S101" s="299" t="s">
        <v>254</v>
      </c>
      <c r="T101" s="300"/>
    </row>
    <row r="102" spans="1:20">
      <c r="A102" s="427" t="s">
        <v>53</v>
      </c>
      <c r="B102" s="199"/>
      <c r="C102" s="199"/>
      <c r="D102" s="199"/>
      <c r="E102" s="199"/>
      <c r="F102" s="156">
        <v>273.06</v>
      </c>
      <c r="G102" s="199" t="s">
        <v>20</v>
      </c>
      <c r="H102" s="474"/>
      <c r="I102" s="156">
        <v>-3.97</v>
      </c>
      <c r="J102" s="473">
        <v>-1.1599999999999999</v>
      </c>
      <c r="K102" s="60">
        <v>-1.08</v>
      </c>
      <c r="L102" s="492">
        <f t="shared" si="7"/>
        <v>30.261288999999998</v>
      </c>
      <c r="M102" s="197" t="s">
        <v>258</v>
      </c>
      <c r="N102" s="296" t="s">
        <v>16</v>
      </c>
      <c r="O102" s="156" t="s">
        <v>37</v>
      </c>
      <c r="P102" s="298" t="s">
        <v>35</v>
      </c>
      <c r="Q102" s="314" t="s">
        <v>58</v>
      </c>
      <c r="R102" s="307" t="s">
        <v>40</v>
      </c>
      <c r="S102" s="299" t="s">
        <v>254</v>
      </c>
      <c r="T102" s="300"/>
    </row>
    <row r="103" spans="1:20">
      <c r="A103" s="427" t="s">
        <v>53</v>
      </c>
      <c r="B103" s="199"/>
      <c r="C103" s="199"/>
      <c r="D103" s="199"/>
      <c r="E103" s="199"/>
      <c r="F103" s="156">
        <v>273.25</v>
      </c>
      <c r="G103" s="199" t="s">
        <v>20</v>
      </c>
      <c r="H103" s="474"/>
      <c r="I103" s="156">
        <v>-3.49</v>
      </c>
      <c r="J103" s="473">
        <v>-1.1599999999999999</v>
      </c>
      <c r="K103" s="60">
        <v>-1.08</v>
      </c>
      <c r="L103" s="492">
        <f t="shared" si="7"/>
        <v>27.805129000000001</v>
      </c>
      <c r="M103" s="197" t="s">
        <v>258</v>
      </c>
      <c r="N103" s="296" t="s">
        <v>16</v>
      </c>
      <c r="O103" s="156" t="s">
        <v>245</v>
      </c>
      <c r="P103" s="298" t="s">
        <v>35</v>
      </c>
      <c r="Q103" s="314" t="s">
        <v>58</v>
      </c>
      <c r="R103" s="307" t="s">
        <v>40</v>
      </c>
      <c r="S103" s="299" t="s">
        <v>254</v>
      </c>
      <c r="T103" s="300"/>
    </row>
    <row r="104" spans="1:20">
      <c r="A104" s="427" t="s">
        <v>53</v>
      </c>
      <c r="B104" s="199"/>
      <c r="C104" s="199"/>
      <c r="D104" s="199"/>
      <c r="E104" s="199"/>
      <c r="F104" s="156">
        <v>273.33999999999997</v>
      </c>
      <c r="G104" s="199" t="s">
        <v>20</v>
      </c>
      <c r="H104" s="474"/>
      <c r="I104" s="156">
        <v>-4.9400000000000004</v>
      </c>
      <c r="J104" s="473">
        <v>-1.1599999999999999</v>
      </c>
      <c r="K104" s="60">
        <v>-1.08</v>
      </c>
      <c r="L104" s="492">
        <f t="shared" si="7"/>
        <v>35.351364000000004</v>
      </c>
      <c r="M104" s="197" t="s">
        <v>258</v>
      </c>
      <c r="N104" s="296" t="s">
        <v>16</v>
      </c>
      <c r="O104" s="156" t="s">
        <v>246</v>
      </c>
      <c r="P104" s="298" t="s">
        <v>35</v>
      </c>
      <c r="Q104" s="314" t="s">
        <v>58</v>
      </c>
      <c r="R104" s="307" t="s">
        <v>40</v>
      </c>
      <c r="S104" s="299" t="s">
        <v>254</v>
      </c>
      <c r="T104" s="300"/>
    </row>
    <row r="105" spans="1:20">
      <c r="A105" s="427" t="s">
        <v>53</v>
      </c>
      <c r="B105" s="199"/>
      <c r="C105" s="199"/>
      <c r="D105" s="199"/>
      <c r="E105" s="199"/>
      <c r="F105" s="156">
        <v>274.02</v>
      </c>
      <c r="G105" s="199" t="s">
        <v>266</v>
      </c>
      <c r="H105" s="474"/>
      <c r="I105" s="156">
        <v>-3.2</v>
      </c>
      <c r="J105" s="473">
        <v>-1.1599999999999999</v>
      </c>
      <c r="K105" s="60">
        <v>-1.08</v>
      </c>
      <c r="L105" s="491">
        <f t="shared" ref="L105:L106" si="8">16.1-4.64*($I105-K105)+0.09*($I105-K105)^2</f>
        <v>26.341296000000003</v>
      </c>
      <c r="M105" s="197" t="s">
        <v>258</v>
      </c>
      <c r="N105" s="296" t="s">
        <v>16</v>
      </c>
      <c r="O105" s="156" t="s">
        <v>245</v>
      </c>
      <c r="P105" s="298" t="s">
        <v>35</v>
      </c>
      <c r="Q105" s="314" t="s">
        <v>58</v>
      </c>
      <c r="R105" s="307" t="s">
        <v>40</v>
      </c>
      <c r="S105" s="299" t="s">
        <v>254</v>
      </c>
      <c r="T105" s="300"/>
    </row>
    <row r="106" spans="1:20">
      <c r="A106" s="431" t="s">
        <v>53</v>
      </c>
      <c r="B106" s="432"/>
      <c r="C106" s="432"/>
      <c r="D106" s="432"/>
      <c r="E106" s="432"/>
      <c r="F106" s="226">
        <v>274.05</v>
      </c>
      <c r="G106" s="432" t="s">
        <v>266</v>
      </c>
      <c r="H106" s="476"/>
      <c r="I106" s="226">
        <v>-3.13</v>
      </c>
      <c r="J106" s="480"/>
      <c r="K106" s="179">
        <v>-1.08</v>
      </c>
      <c r="L106" s="496">
        <f t="shared" si="8"/>
        <v>25.990225000000002</v>
      </c>
      <c r="M106" s="479" t="s">
        <v>258</v>
      </c>
      <c r="N106" s="386" t="s">
        <v>16</v>
      </c>
      <c r="O106" s="226">
        <v>200</v>
      </c>
      <c r="P106" s="390" t="s">
        <v>35</v>
      </c>
      <c r="Q106" s="388" t="s">
        <v>58</v>
      </c>
      <c r="R106" s="387" t="s">
        <v>40</v>
      </c>
      <c r="S106" s="299" t="s">
        <v>254</v>
      </c>
      <c r="T106" s="300"/>
    </row>
    <row r="107" spans="1:20">
      <c r="A107" s="427" t="s">
        <v>53</v>
      </c>
      <c r="B107" s="199"/>
      <c r="C107" s="199"/>
      <c r="D107" s="199"/>
      <c r="E107" s="199"/>
      <c r="F107" s="156">
        <v>257.55</v>
      </c>
      <c r="G107" s="199"/>
      <c r="H107" s="474"/>
      <c r="I107" s="156">
        <v>-3.34</v>
      </c>
      <c r="J107" s="473">
        <v>-1.1599999999999999</v>
      </c>
      <c r="K107" s="60">
        <v>-1.08</v>
      </c>
      <c r="L107" s="491">
        <f t="shared" ref="L107:L149" si="9">16.1-4.64*($I107-K107)+0.09*($I107-K107)^2</f>
        <v>27.046083999999997</v>
      </c>
      <c r="M107" s="481" t="s">
        <v>33</v>
      </c>
      <c r="N107" s="296" t="s">
        <v>16</v>
      </c>
      <c r="O107" s="156" t="s">
        <v>37</v>
      </c>
      <c r="P107" s="298" t="s">
        <v>35</v>
      </c>
      <c r="Q107" s="314" t="s">
        <v>58</v>
      </c>
      <c r="R107" s="307" t="s">
        <v>40</v>
      </c>
      <c r="S107" s="299" t="s">
        <v>254</v>
      </c>
      <c r="T107" s="300"/>
    </row>
    <row r="108" spans="1:20">
      <c r="A108" s="427" t="s">
        <v>53</v>
      </c>
      <c r="B108" s="199"/>
      <c r="C108" s="199"/>
      <c r="D108" s="199"/>
      <c r="E108" s="199"/>
      <c r="F108" s="156">
        <v>257.91000000000003</v>
      </c>
      <c r="G108" s="199"/>
      <c r="H108" s="474"/>
      <c r="I108" s="156">
        <v>-2.56</v>
      </c>
      <c r="J108" s="473">
        <v>-1.1599999999999999</v>
      </c>
      <c r="K108" s="60">
        <v>-1.08</v>
      </c>
      <c r="L108" s="491">
        <f t="shared" si="9"/>
        <v>23.164336000000002</v>
      </c>
      <c r="M108" s="481" t="s">
        <v>33</v>
      </c>
      <c r="N108" s="296" t="s">
        <v>16</v>
      </c>
      <c r="O108" s="156" t="s">
        <v>37</v>
      </c>
      <c r="P108" s="298" t="s">
        <v>35</v>
      </c>
      <c r="Q108" s="314" t="s">
        <v>58</v>
      </c>
      <c r="R108" s="307" t="s">
        <v>40</v>
      </c>
      <c r="S108" s="299" t="s">
        <v>254</v>
      </c>
      <c r="T108" s="300"/>
    </row>
    <row r="109" spans="1:20">
      <c r="A109" s="427" t="s">
        <v>53</v>
      </c>
      <c r="B109" s="199"/>
      <c r="C109" s="199"/>
      <c r="D109" s="199"/>
      <c r="E109" s="199"/>
      <c r="F109" s="156">
        <v>258.3</v>
      </c>
      <c r="G109" s="199"/>
      <c r="H109" s="474"/>
      <c r="I109" s="156">
        <v>-2.72</v>
      </c>
      <c r="J109" s="473">
        <v>-1.1599999999999999</v>
      </c>
      <c r="K109" s="60">
        <v>-1.08</v>
      </c>
      <c r="L109" s="491">
        <f t="shared" si="9"/>
        <v>23.951664000000001</v>
      </c>
      <c r="M109" s="481" t="s">
        <v>33</v>
      </c>
      <c r="N109" s="296" t="s">
        <v>16</v>
      </c>
      <c r="O109" s="156" t="s">
        <v>37</v>
      </c>
      <c r="P109" s="298" t="s">
        <v>35</v>
      </c>
      <c r="Q109" s="314" t="s">
        <v>58</v>
      </c>
      <c r="R109" s="307" t="s">
        <v>40</v>
      </c>
      <c r="S109" s="299" t="s">
        <v>254</v>
      </c>
      <c r="T109" s="300"/>
    </row>
    <row r="110" spans="1:20">
      <c r="A110" s="427" t="s">
        <v>53</v>
      </c>
      <c r="B110" s="199"/>
      <c r="C110" s="199"/>
      <c r="D110" s="199"/>
      <c r="E110" s="199"/>
      <c r="F110" s="156">
        <v>258.43</v>
      </c>
      <c r="G110" s="199"/>
      <c r="H110" s="474"/>
      <c r="I110" s="156">
        <v>-2.86</v>
      </c>
      <c r="J110" s="473">
        <v>-1.1599999999999999</v>
      </c>
      <c r="K110" s="60">
        <v>-1.08</v>
      </c>
      <c r="L110" s="491">
        <f t="shared" si="9"/>
        <v>24.644356000000002</v>
      </c>
      <c r="M110" s="481" t="s">
        <v>33</v>
      </c>
      <c r="N110" s="296" t="s">
        <v>16</v>
      </c>
      <c r="O110" s="156" t="s">
        <v>37</v>
      </c>
      <c r="P110" s="298" t="s">
        <v>35</v>
      </c>
      <c r="Q110" s="314" t="s">
        <v>58</v>
      </c>
      <c r="R110" s="307" t="s">
        <v>40</v>
      </c>
      <c r="S110" s="299" t="s">
        <v>254</v>
      </c>
      <c r="T110" s="300"/>
    </row>
    <row r="111" spans="1:20">
      <c r="A111" s="427" t="s">
        <v>53</v>
      </c>
      <c r="B111" s="199"/>
      <c r="C111" s="199"/>
      <c r="D111" s="199"/>
      <c r="E111" s="199"/>
      <c r="F111" s="156">
        <v>259.13</v>
      </c>
      <c r="G111" s="199"/>
      <c r="H111" s="474"/>
      <c r="I111" s="156">
        <v>-2.99</v>
      </c>
      <c r="J111" s="473">
        <v>-1.1599999999999999</v>
      </c>
      <c r="K111" s="60">
        <v>-1.08</v>
      </c>
      <c r="L111" s="491">
        <f t="shared" si="9"/>
        <v>25.290729000000002</v>
      </c>
      <c r="M111" s="481" t="s">
        <v>33</v>
      </c>
      <c r="N111" s="296" t="s">
        <v>16</v>
      </c>
      <c r="O111" s="156" t="s">
        <v>37</v>
      </c>
      <c r="P111" s="298" t="s">
        <v>35</v>
      </c>
      <c r="Q111" s="314" t="s">
        <v>58</v>
      </c>
      <c r="R111" s="307" t="s">
        <v>40</v>
      </c>
      <c r="S111" s="299" t="s">
        <v>254</v>
      </c>
      <c r="T111" s="300"/>
    </row>
    <row r="112" spans="1:20">
      <c r="A112" s="427" t="s">
        <v>53</v>
      </c>
      <c r="B112" s="199"/>
      <c r="C112" s="199"/>
      <c r="D112" s="199"/>
      <c r="E112" s="199"/>
      <c r="F112" s="156">
        <v>259.43</v>
      </c>
      <c r="G112" s="199"/>
      <c r="H112" s="474"/>
      <c r="I112" s="156">
        <v>-3.16</v>
      </c>
      <c r="J112" s="473">
        <v>-1.1599999999999999</v>
      </c>
      <c r="K112" s="60">
        <v>-1.08</v>
      </c>
      <c r="L112" s="491">
        <f t="shared" si="9"/>
        <v>26.140575999999999</v>
      </c>
      <c r="M112" s="481" t="s">
        <v>33</v>
      </c>
      <c r="N112" s="296" t="s">
        <v>16</v>
      </c>
      <c r="O112" s="156" t="s">
        <v>37</v>
      </c>
      <c r="P112" s="298" t="s">
        <v>35</v>
      </c>
      <c r="Q112" s="314" t="s">
        <v>58</v>
      </c>
      <c r="R112" s="307" t="s">
        <v>40</v>
      </c>
      <c r="S112" s="299" t="s">
        <v>254</v>
      </c>
      <c r="T112" s="300"/>
    </row>
    <row r="113" spans="1:20">
      <c r="A113" s="427" t="s">
        <v>53</v>
      </c>
      <c r="B113" s="199"/>
      <c r="C113" s="199"/>
      <c r="D113" s="199"/>
      <c r="E113" s="199"/>
      <c r="F113" s="156">
        <v>259.67</v>
      </c>
      <c r="G113" s="199"/>
      <c r="H113" s="474"/>
      <c r="I113" s="156">
        <v>-2.84</v>
      </c>
      <c r="J113" s="473">
        <v>-1.1599999999999999</v>
      </c>
      <c r="K113" s="60">
        <v>-1.08</v>
      </c>
      <c r="L113" s="491">
        <f t="shared" si="9"/>
        <v>24.545183999999999</v>
      </c>
      <c r="M113" s="481" t="s">
        <v>33</v>
      </c>
      <c r="N113" s="296" t="s">
        <v>16</v>
      </c>
      <c r="O113" s="156" t="s">
        <v>37</v>
      </c>
      <c r="P113" s="298" t="s">
        <v>35</v>
      </c>
      <c r="Q113" s="314" t="s">
        <v>58</v>
      </c>
      <c r="R113" s="307" t="s">
        <v>40</v>
      </c>
      <c r="S113" s="299" t="s">
        <v>254</v>
      </c>
      <c r="T113" s="300"/>
    </row>
    <row r="114" spans="1:20">
      <c r="A114" s="427" t="s">
        <v>53</v>
      </c>
      <c r="B114" s="199"/>
      <c r="C114" s="199"/>
      <c r="D114" s="199"/>
      <c r="E114" s="199"/>
      <c r="F114" s="156">
        <v>259.8</v>
      </c>
      <c r="G114" s="199"/>
      <c r="H114" s="474"/>
      <c r="I114" s="156">
        <v>-2.87</v>
      </c>
      <c r="J114" s="473">
        <v>-1.1599999999999999</v>
      </c>
      <c r="K114" s="60">
        <v>-1.08</v>
      </c>
      <c r="L114" s="491">
        <f t="shared" si="9"/>
        <v>24.693968999999999</v>
      </c>
      <c r="M114" s="481" t="s">
        <v>33</v>
      </c>
      <c r="N114" s="296" t="s">
        <v>16</v>
      </c>
      <c r="O114" s="156" t="s">
        <v>37</v>
      </c>
      <c r="P114" s="298" t="s">
        <v>35</v>
      </c>
      <c r="Q114" s="314" t="s">
        <v>58</v>
      </c>
      <c r="R114" s="307" t="s">
        <v>40</v>
      </c>
      <c r="S114" s="299" t="s">
        <v>254</v>
      </c>
      <c r="T114" s="300"/>
    </row>
    <row r="115" spans="1:20">
      <c r="A115" s="427" t="s">
        <v>53</v>
      </c>
      <c r="B115" s="199"/>
      <c r="C115" s="199"/>
      <c r="D115" s="199"/>
      <c r="E115" s="199"/>
      <c r="F115" s="156">
        <v>259.95</v>
      </c>
      <c r="G115" s="199"/>
      <c r="H115" s="474"/>
      <c r="I115" s="156">
        <v>-3.01</v>
      </c>
      <c r="J115" s="473">
        <v>-1.1599999999999999</v>
      </c>
      <c r="K115" s="60">
        <v>-1.08</v>
      </c>
      <c r="L115" s="491">
        <f t="shared" si="9"/>
        <v>25.390440999999999</v>
      </c>
      <c r="M115" s="481" t="s">
        <v>33</v>
      </c>
      <c r="N115" s="296" t="s">
        <v>16</v>
      </c>
      <c r="O115" s="156" t="s">
        <v>37</v>
      </c>
      <c r="P115" s="298" t="s">
        <v>35</v>
      </c>
      <c r="Q115" s="314" t="s">
        <v>58</v>
      </c>
      <c r="R115" s="307" t="s">
        <v>40</v>
      </c>
      <c r="S115" s="299" t="s">
        <v>254</v>
      </c>
      <c r="T115" s="300"/>
    </row>
    <row r="116" spans="1:20">
      <c r="A116" s="427" t="s">
        <v>53</v>
      </c>
      <c r="B116" s="199"/>
      <c r="C116" s="199"/>
      <c r="D116" s="199"/>
      <c r="E116" s="199"/>
      <c r="F116" s="156">
        <v>260.06</v>
      </c>
      <c r="G116" s="199"/>
      <c r="H116" s="474"/>
      <c r="I116" s="156">
        <v>-3.18</v>
      </c>
      <c r="J116" s="473">
        <v>-1.1599999999999999</v>
      </c>
      <c r="K116" s="60">
        <v>-1.08</v>
      </c>
      <c r="L116" s="491">
        <f t="shared" si="9"/>
        <v>26.2409</v>
      </c>
      <c r="M116" s="481" t="s">
        <v>33</v>
      </c>
      <c r="N116" s="296" t="s">
        <v>16</v>
      </c>
      <c r="O116" s="156" t="s">
        <v>37</v>
      </c>
      <c r="P116" s="298" t="s">
        <v>35</v>
      </c>
      <c r="Q116" s="314" t="s">
        <v>58</v>
      </c>
      <c r="R116" s="307" t="s">
        <v>40</v>
      </c>
      <c r="S116" s="299" t="s">
        <v>254</v>
      </c>
      <c r="T116" s="300"/>
    </row>
    <row r="117" spans="1:20">
      <c r="A117" s="427" t="s">
        <v>53</v>
      </c>
      <c r="B117" s="199"/>
      <c r="C117" s="199"/>
      <c r="D117" s="199"/>
      <c r="E117" s="199"/>
      <c r="F117" s="156">
        <v>260.27999999999997</v>
      </c>
      <c r="G117" s="199"/>
      <c r="H117" s="474"/>
      <c r="I117" s="156">
        <v>-3.1</v>
      </c>
      <c r="J117" s="473">
        <v>-1.1599999999999999</v>
      </c>
      <c r="K117" s="60">
        <v>-1.08</v>
      </c>
      <c r="L117" s="491">
        <f t="shared" si="9"/>
        <v>25.840035999999998</v>
      </c>
      <c r="M117" s="481" t="s">
        <v>33</v>
      </c>
      <c r="N117" s="296" t="s">
        <v>16</v>
      </c>
      <c r="O117" s="156" t="s">
        <v>37</v>
      </c>
      <c r="P117" s="298" t="s">
        <v>35</v>
      </c>
      <c r="Q117" s="314" t="s">
        <v>58</v>
      </c>
      <c r="R117" s="307" t="s">
        <v>40</v>
      </c>
      <c r="S117" s="299" t="s">
        <v>254</v>
      </c>
      <c r="T117" s="300"/>
    </row>
    <row r="118" spans="1:20">
      <c r="A118" s="427" t="s">
        <v>53</v>
      </c>
      <c r="B118" s="199"/>
      <c r="C118" s="199"/>
      <c r="D118" s="199"/>
      <c r="E118" s="199"/>
      <c r="F118" s="156">
        <v>260.43</v>
      </c>
      <c r="G118" s="199"/>
      <c r="H118" s="474"/>
      <c r="I118" s="156">
        <v>-3.14</v>
      </c>
      <c r="J118" s="473">
        <v>-1.1599999999999999</v>
      </c>
      <c r="K118" s="60">
        <v>-1.08</v>
      </c>
      <c r="L118" s="491">
        <f t="shared" si="9"/>
        <v>26.040324000000002</v>
      </c>
      <c r="M118" s="481" t="s">
        <v>33</v>
      </c>
      <c r="N118" s="296" t="s">
        <v>16</v>
      </c>
      <c r="O118" s="156" t="s">
        <v>37</v>
      </c>
      <c r="P118" s="298" t="s">
        <v>35</v>
      </c>
      <c r="Q118" s="314" t="s">
        <v>58</v>
      </c>
      <c r="R118" s="307" t="s">
        <v>40</v>
      </c>
      <c r="S118" s="299" t="s">
        <v>254</v>
      </c>
      <c r="T118" s="300"/>
    </row>
    <row r="119" spans="1:20">
      <c r="A119" s="427" t="s">
        <v>53</v>
      </c>
      <c r="B119" s="199"/>
      <c r="C119" s="199"/>
      <c r="D119" s="199"/>
      <c r="E119" s="199"/>
      <c r="F119" s="156">
        <v>260.68</v>
      </c>
      <c r="G119" s="199"/>
      <c r="H119" s="474"/>
      <c r="I119" s="156">
        <v>-3.02</v>
      </c>
      <c r="J119" s="473">
        <v>-1.1599999999999999</v>
      </c>
      <c r="K119" s="60">
        <v>-1.08</v>
      </c>
      <c r="L119" s="491">
        <f t="shared" si="9"/>
        <v>25.440324</v>
      </c>
      <c r="M119" s="481" t="s">
        <v>33</v>
      </c>
      <c r="N119" s="296" t="s">
        <v>16</v>
      </c>
      <c r="O119" s="156" t="s">
        <v>37</v>
      </c>
      <c r="P119" s="298" t="s">
        <v>35</v>
      </c>
      <c r="Q119" s="314" t="s">
        <v>58</v>
      </c>
      <c r="R119" s="307" t="s">
        <v>40</v>
      </c>
      <c r="S119" s="299" t="s">
        <v>254</v>
      </c>
      <c r="T119" s="300"/>
    </row>
    <row r="120" spans="1:20">
      <c r="A120" s="427" t="s">
        <v>53</v>
      </c>
      <c r="B120" s="199"/>
      <c r="C120" s="199"/>
      <c r="D120" s="199"/>
      <c r="E120" s="199"/>
      <c r="F120" s="156">
        <v>260.89</v>
      </c>
      <c r="G120" s="199" t="s">
        <v>403</v>
      </c>
      <c r="H120" s="474"/>
      <c r="I120" s="156">
        <v>-3.3</v>
      </c>
      <c r="J120" s="473">
        <v>-1.1599999999999999</v>
      </c>
      <c r="K120" s="60">
        <v>-1.08</v>
      </c>
      <c r="L120" s="491">
        <f t="shared" si="9"/>
        <v>26.844356000000001</v>
      </c>
      <c r="M120" s="481" t="s">
        <v>33</v>
      </c>
      <c r="N120" s="296" t="s">
        <v>16</v>
      </c>
      <c r="O120" s="156" t="s">
        <v>37</v>
      </c>
      <c r="P120" s="298" t="s">
        <v>35</v>
      </c>
      <c r="Q120" s="314" t="s">
        <v>58</v>
      </c>
      <c r="R120" s="307" t="s">
        <v>40</v>
      </c>
      <c r="S120" s="299" t="s">
        <v>254</v>
      </c>
      <c r="T120" s="300"/>
    </row>
    <row r="121" spans="1:20">
      <c r="A121" s="427" t="s">
        <v>53</v>
      </c>
      <c r="B121" s="199"/>
      <c r="C121" s="199"/>
      <c r="D121" s="199"/>
      <c r="E121" s="199"/>
      <c r="F121" s="156">
        <v>261.52999999999997</v>
      </c>
      <c r="G121" s="199" t="s">
        <v>59</v>
      </c>
      <c r="H121" s="474"/>
      <c r="I121" s="156">
        <v>-3.57</v>
      </c>
      <c r="J121" s="473">
        <v>-1.1599999999999999</v>
      </c>
      <c r="K121" s="60">
        <v>-1.08</v>
      </c>
      <c r="L121" s="491">
        <f t="shared" si="9"/>
        <v>28.211608999999996</v>
      </c>
      <c r="M121" s="481" t="s">
        <v>33</v>
      </c>
      <c r="N121" s="296" t="s">
        <v>16</v>
      </c>
      <c r="O121" s="156" t="s">
        <v>192</v>
      </c>
      <c r="P121" s="298" t="s">
        <v>35</v>
      </c>
      <c r="Q121" s="314" t="s">
        <v>58</v>
      </c>
      <c r="R121" s="307" t="s">
        <v>40</v>
      </c>
      <c r="S121" s="299" t="s">
        <v>254</v>
      </c>
      <c r="T121" s="300"/>
    </row>
    <row r="122" spans="1:20">
      <c r="A122" s="427" t="s">
        <v>53</v>
      </c>
      <c r="B122" s="199"/>
      <c r="C122" s="199"/>
      <c r="D122" s="199"/>
      <c r="E122" s="199"/>
      <c r="F122" s="156">
        <v>261.7</v>
      </c>
      <c r="G122" s="199" t="s">
        <v>59</v>
      </c>
      <c r="H122" s="474"/>
      <c r="I122" s="156">
        <v>-3.52</v>
      </c>
      <c r="J122" s="473">
        <v>-1.1599999999999999</v>
      </c>
      <c r="K122" s="60">
        <v>-1.08</v>
      </c>
      <c r="L122" s="491">
        <f t="shared" si="9"/>
        <v>27.957424</v>
      </c>
      <c r="M122" s="481" t="s">
        <v>33</v>
      </c>
      <c r="N122" s="296" t="s">
        <v>16</v>
      </c>
      <c r="O122" s="156" t="s">
        <v>192</v>
      </c>
      <c r="P122" s="298" t="s">
        <v>35</v>
      </c>
      <c r="Q122" s="314" t="s">
        <v>58</v>
      </c>
      <c r="R122" s="307" t="s">
        <v>40</v>
      </c>
      <c r="S122" s="299" t="s">
        <v>254</v>
      </c>
      <c r="T122" s="300"/>
    </row>
    <row r="123" spans="1:20">
      <c r="A123" s="427" t="s">
        <v>53</v>
      </c>
      <c r="B123" s="199"/>
      <c r="C123" s="199"/>
      <c r="D123" s="199"/>
      <c r="E123" s="199"/>
      <c r="F123" s="156">
        <v>261.89999999999998</v>
      </c>
      <c r="G123" s="199" t="s">
        <v>59</v>
      </c>
      <c r="H123" s="474"/>
      <c r="I123" s="156">
        <v>-3.24</v>
      </c>
      <c r="J123" s="473">
        <v>-1.1599999999999999</v>
      </c>
      <c r="K123" s="60">
        <v>-1.08</v>
      </c>
      <c r="L123" s="491">
        <f t="shared" si="9"/>
        <v>26.542303999999998</v>
      </c>
      <c r="M123" s="481" t="s">
        <v>33</v>
      </c>
      <c r="N123" s="296" t="s">
        <v>16</v>
      </c>
      <c r="O123" s="156" t="s">
        <v>192</v>
      </c>
      <c r="P123" s="298" t="s">
        <v>35</v>
      </c>
      <c r="Q123" s="314" t="s">
        <v>58</v>
      </c>
      <c r="R123" s="307" t="s">
        <v>40</v>
      </c>
      <c r="S123" s="299" t="s">
        <v>254</v>
      </c>
      <c r="T123" s="300"/>
    </row>
    <row r="124" spans="1:20">
      <c r="A124" s="427" t="s">
        <v>53</v>
      </c>
      <c r="B124" s="199"/>
      <c r="C124" s="199"/>
      <c r="D124" s="199"/>
      <c r="E124" s="199"/>
      <c r="F124" s="156">
        <v>261.99</v>
      </c>
      <c r="G124" s="199" t="s">
        <v>59</v>
      </c>
      <c r="H124" s="474"/>
      <c r="I124" s="156">
        <v>-3.28</v>
      </c>
      <c r="J124" s="473">
        <v>-1.1599999999999999</v>
      </c>
      <c r="K124" s="60">
        <v>-1.08</v>
      </c>
      <c r="L124" s="491">
        <f t="shared" si="9"/>
        <v>26.743600000000001</v>
      </c>
      <c r="M124" s="481" t="s">
        <v>33</v>
      </c>
      <c r="N124" s="296" t="s">
        <v>16</v>
      </c>
      <c r="O124" s="156" t="s">
        <v>192</v>
      </c>
      <c r="P124" s="298" t="s">
        <v>35</v>
      </c>
      <c r="Q124" s="314" t="s">
        <v>58</v>
      </c>
      <c r="R124" s="307" t="s">
        <v>40</v>
      </c>
      <c r="S124" s="299" t="s">
        <v>254</v>
      </c>
      <c r="T124" s="300"/>
    </row>
    <row r="125" spans="1:20">
      <c r="A125" s="427" t="s">
        <v>53</v>
      </c>
      <c r="B125" s="199"/>
      <c r="C125" s="199"/>
      <c r="D125" s="199"/>
      <c r="E125" s="199"/>
      <c r="F125" s="156">
        <v>262.12</v>
      </c>
      <c r="G125" s="199" t="s">
        <v>59</v>
      </c>
      <c r="H125" s="474"/>
      <c r="I125" s="156">
        <v>-3</v>
      </c>
      <c r="J125" s="473">
        <v>-1.1599999999999999</v>
      </c>
      <c r="K125" s="60">
        <v>-1.08</v>
      </c>
      <c r="L125" s="491">
        <f t="shared" si="9"/>
        <v>25.340576000000002</v>
      </c>
      <c r="M125" s="481" t="s">
        <v>33</v>
      </c>
      <c r="N125" s="296" t="s">
        <v>16</v>
      </c>
      <c r="O125" s="156" t="s">
        <v>192</v>
      </c>
      <c r="P125" s="298" t="s">
        <v>35</v>
      </c>
      <c r="Q125" s="314" t="s">
        <v>58</v>
      </c>
      <c r="R125" s="307" t="s">
        <v>40</v>
      </c>
      <c r="S125" s="299" t="s">
        <v>254</v>
      </c>
      <c r="T125" s="300"/>
    </row>
    <row r="126" spans="1:20">
      <c r="A126" s="427" t="s">
        <v>53</v>
      </c>
      <c r="B126" s="199"/>
      <c r="C126" s="199"/>
      <c r="D126" s="199"/>
      <c r="E126" s="199"/>
      <c r="F126" s="156">
        <v>262.27999999999997</v>
      </c>
      <c r="G126" s="199" t="s">
        <v>59</v>
      </c>
      <c r="H126" s="474"/>
      <c r="I126" s="156">
        <v>-3.66</v>
      </c>
      <c r="J126" s="473">
        <v>-1.1599999999999999</v>
      </c>
      <c r="K126" s="60">
        <v>-1.08</v>
      </c>
      <c r="L126" s="491">
        <f t="shared" si="9"/>
        <v>28.670276000000001</v>
      </c>
      <c r="M126" s="481" t="s">
        <v>33</v>
      </c>
      <c r="N126" s="296" t="s">
        <v>16</v>
      </c>
      <c r="O126" s="156" t="s">
        <v>192</v>
      </c>
      <c r="P126" s="298" t="s">
        <v>35</v>
      </c>
      <c r="Q126" s="314" t="s">
        <v>58</v>
      </c>
      <c r="R126" s="307" t="s">
        <v>40</v>
      </c>
      <c r="S126" s="299" t="s">
        <v>254</v>
      </c>
      <c r="T126" s="300"/>
    </row>
    <row r="127" spans="1:20">
      <c r="A127" s="427" t="s">
        <v>53</v>
      </c>
      <c r="B127" s="199"/>
      <c r="C127" s="199"/>
      <c r="D127" s="199"/>
      <c r="E127" s="199"/>
      <c r="F127" s="156">
        <v>262.48</v>
      </c>
      <c r="G127" s="199" t="s">
        <v>59</v>
      </c>
      <c r="H127" s="474"/>
      <c r="I127" s="156">
        <v>-3.02</v>
      </c>
      <c r="J127" s="473">
        <v>-1.1599999999999999</v>
      </c>
      <c r="K127" s="60">
        <v>-1.08</v>
      </c>
      <c r="L127" s="491">
        <f t="shared" si="9"/>
        <v>25.440324</v>
      </c>
      <c r="M127" s="481" t="s">
        <v>235</v>
      </c>
      <c r="N127" s="296" t="s">
        <v>16</v>
      </c>
      <c r="O127" s="156" t="s">
        <v>192</v>
      </c>
      <c r="P127" s="298" t="s">
        <v>35</v>
      </c>
      <c r="Q127" s="314" t="s">
        <v>58</v>
      </c>
      <c r="R127" s="307" t="s">
        <v>40</v>
      </c>
      <c r="S127" s="299" t="s">
        <v>254</v>
      </c>
      <c r="T127" s="300"/>
    </row>
    <row r="128" spans="1:20">
      <c r="A128" s="427" t="s">
        <v>53</v>
      </c>
      <c r="B128" s="199"/>
      <c r="C128" s="199"/>
      <c r="D128" s="199"/>
      <c r="E128" s="199"/>
      <c r="F128" s="156">
        <v>262.72000000000003</v>
      </c>
      <c r="G128" s="199" t="s">
        <v>59</v>
      </c>
      <c r="H128" s="474"/>
      <c r="I128" s="156">
        <v>-3</v>
      </c>
      <c r="J128" s="473">
        <v>-1.1599999999999999</v>
      </c>
      <c r="K128" s="60">
        <v>-1.08</v>
      </c>
      <c r="L128" s="491">
        <f t="shared" si="9"/>
        <v>25.340576000000002</v>
      </c>
      <c r="M128" s="481" t="s">
        <v>33</v>
      </c>
      <c r="N128" s="296" t="s">
        <v>16</v>
      </c>
      <c r="O128" s="156" t="s">
        <v>192</v>
      </c>
      <c r="P128" s="298" t="s">
        <v>35</v>
      </c>
      <c r="Q128" s="314" t="s">
        <v>58</v>
      </c>
      <c r="R128" s="307" t="s">
        <v>40</v>
      </c>
      <c r="S128" s="299" t="s">
        <v>254</v>
      </c>
      <c r="T128" s="300"/>
    </row>
    <row r="129" spans="1:20">
      <c r="A129" s="427" t="s">
        <v>53</v>
      </c>
      <c r="B129" s="199"/>
      <c r="C129" s="199"/>
      <c r="D129" s="199"/>
      <c r="E129" s="199"/>
      <c r="F129" s="156">
        <v>263.36</v>
      </c>
      <c r="G129" s="199" t="s">
        <v>20</v>
      </c>
      <c r="H129" s="474"/>
      <c r="I129" s="156">
        <v>-3.56</v>
      </c>
      <c r="J129" s="473">
        <v>-1.1599999999999999</v>
      </c>
      <c r="K129" s="60">
        <v>-1.08</v>
      </c>
      <c r="L129" s="492">
        <f t="shared" si="9"/>
        <v>28.160736</v>
      </c>
      <c r="M129" s="481" t="s">
        <v>33</v>
      </c>
      <c r="N129" s="296" t="s">
        <v>16</v>
      </c>
      <c r="O129" s="156" t="s">
        <v>192</v>
      </c>
      <c r="P129" s="298" t="s">
        <v>35</v>
      </c>
      <c r="Q129" s="314" t="s">
        <v>58</v>
      </c>
      <c r="R129" s="307" t="s">
        <v>40</v>
      </c>
      <c r="S129" s="299" t="s">
        <v>254</v>
      </c>
      <c r="T129" s="300"/>
    </row>
    <row r="130" spans="1:20">
      <c r="A130" s="427" t="s">
        <v>53</v>
      </c>
      <c r="B130" s="199"/>
      <c r="C130" s="199"/>
      <c r="D130" s="199"/>
      <c r="E130" s="199"/>
      <c r="F130" s="156">
        <v>268.57</v>
      </c>
      <c r="G130" s="199" t="s">
        <v>20</v>
      </c>
      <c r="H130" s="474"/>
      <c r="I130" s="156">
        <v>-3.33</v>
      </c>
      <c r="J130" s="473">
        <v>-1.1599999999999999</v>
      </c>
      <c r="K130" s="60">
        <v>-1.08</v>
      </c>
      <c r="L130" s="492">
        <f t="shared" si="9"/>
        <v>26.995625</v>
      </c>
      <c r="M130" s="481" t="s">
        <v>33</v>
      </c>
      <c r="N130" s="296" t="s">
        <v>16</v>
      </c>
      <c r="O130" s="156" t="s">
        <v>192</v>
      </c>
      <c r="P130" s="298" t="s">
        <v>35</v>
      </c>
      <c r="Q130" s="314" t="s">
        <v>58</v>
      </c>
      <c r="R130" s="307" t="s">
        <v>40</v>
      </c>
      <c r="S130" s="299" t="s">
        <v>254</v>
      </c>
      <c r="T130" s="300"/>
    </row>
    <row r="131" spans="1:20">
      <c r="A131" s="427" t="s">
        <v>53</v>
      </c>
      <c r="B131" s="199"/>
      <c r="C131" s="199"/>
      <c r="D131" s="199"/>
      <c r="E131" s="199"/>
      <c r="F131" s="156">
        <v>269.17</v>
      </c>
      <c r="G131" s="199" t="s">
        <v>20</v>
      </c>
      <c r="H131" s="474"/>
      <c r="I131" s="156">
        <v>-3.19</v>
      </c>
      <c r="J131" s="473">
        <v>-1.1599999999999999</v>
      </c>
      <c r="K131" s="60">
        <v>-1.08</v>
      </c>
      <c r="L131" s="492">
        <f t="shared" si="9"/>
        <v>26.291088999999999</v>
      </c>
      <c r="M131" s="481" t="s">
        <v>33</v>
      </c>
      <c r="N131" s="296" t="s">
        <v>16</v>
      </c>
      <c r="O131" s="156" t="s">
        <v>192</v>
      </c>
      <c r="P131" s="298" t="s">
        <v>35</v>
      </c>
      <c r="Q131" s="314" t="s">
        <v>58</v>
      </c>
      <c r="R131" s="307" t="s">
        <v>40</v>
      </c>
      <c r="S131" s="299" t="s">
        <v>254</v>
      </c>
      <c r="T131" s="300"/>
    </row>
    <row r="132" spans="1:20">
      <c r="A132" s="427" t="s">
        <v>53</v>
      </c>
      <c r="B132" s="199"/>
      <c r="C132" s="199"/>
      <c r="D132" s="199"/>
      <c r="E132" s="199"/>
      <c r="F132" s="156">
        <v>269.77999999999997</v>
      </c>
      <c r="G132" s="199" t="s">
        <v>20</v>
      </c>
      <c r="H132" s="474"/>
      <c r="I132" s="156">
        <v>-3.3</v>
      </c>
      <c r="J132" s="473">
        <v>-1.1599999999999999</v>
      </c>
      <c r="K132" s="60">
        <v>-1.08</v>
      </c>
      <c r="L132" s="492">
        <f t="shared" si="9"/>
        <v>26.844356000000001</v>
      </c>
      <c r="M132" s="481" t="s">
        <v>33</v>
      </c>
      <c r="N132" s="296" t="s">
        <v>16</v>
      </c>
      <c r="O132" s="156" t="s">
        <v>192</v>
      </c>
      <c r="P132" s="298" t="s">
        <v>35</v>
      </c>
      <c r="Q132" s="314" t="s">
        <v>58</v>
      </c>
      <c r="R132" s="307" t="s">
        <v>40</v>
      </c>
      <c r="S132" s="299" t="s">
        <v>254</v>
      </c>
      <c r="T132" s="300"/>
    </row>
    <row r="133" spans="1:20">
      <c r="A133" s="427" t="s">
        <v>53</v>
      </c>
      <c r="B133" s="199"/>
      <c r="C133" s="199"/>
      <c r="D133" s="199"/>
      <c r="E133" s="199"/>
      <c r="F133" s="156">
        <v>270.37</v>
      </c>
      <c r="G133" s="199" t="s">
        <v>20</v>
      </c>
      <c r="H133" s="474"/>
      <c r="I133" s="156">
        <v>-3.16</v>
      </c>
      <c r="J133" s="473">
        <v>-1.1599999999999999</v>
      </c>
      <c r="K133" s="60">
        <v>-1.08</v>
      </c>
      <c r="L133" s="492">
        <f t="shared" si="9"/>
        <v>26.140575999999999</v>
      </c>
      <c r="M133" s="481" t="s">
        <v>33</v>
      </c>
      <c r="N133" s="296" t="s">
        <v>16</v>
      </c>
      <c r="O133" s="156" t="s">
        <v>192</v>
      </c>
      <c r="P133" s="298" t="s">
        <v>35</v>
      </c>
      <c r="Q133" s="314" t="s">
        <v>58</v>
      </c>
      <c r="R133" s="307" t="s">
        <v>40</v>
      </c>
      <c r="S133" s="299" t="s">
        <v>254</v>
      </c>
      <c r="T133" s="300"/>
    </row>
    <row r="134" spans="1:20">
      <c r="A134" s="427" t="s">
        <v>53</v>
      </c>
      <c r="B134" s="199"/>
      <c r="C134" s="199"/>
      <c r="D134" s="199"/>
      <c r="E134" s="199"/>
      <c r="F134" s="156">
        <v>271.01</v>
      </c>
      <c r="G134" s="199" t="s">
        <v>20</v>
      </c>
      <c r="H134" s="474"/>
      <c r="I134" s="156">
        <v>-3.29</v>
      </c>
      <c r="J134" s="473">
        <v>-1.1599999999999999</v>
      </c>
      <c r="K134" s="60">
        <v>-1.08</v>
      </c>
      <c r="L134" s="492">
        <f t="shared" si="9"/>
        <v>26.793968999999997</v>
      </c>
      <c r="M134" s="481" t="s">
        <v>33</v>
      </c>
      <c r="N134" s="296" t="s">
        <v>16</v>
      </c>
      <c r="O134" s="156" t="s">
        <v>192</v>
      </c>
      <c r="P134" s="298" t="s">
        <v>35</v>
      </c>
      <c r="Q134" s="314" t="s">
        <v>58</v>
      </c>
      <c r="R134" s="307" t="s">
        <v>40</v>
      </c>
      <c r="S134" s="299" t="s">
        <v>254</v>
      </c>
      <c r="T134" s="300"/>
    </row>
    <row r="135" spans="1:20">
      <c r="A135" s="427" t="s">
        <v>53</v>
      </c>
      <c r="B135" s="199"/>
      <c r="C135" s="199"/>
      <c r="D135" s="199"/>
      <c r="E135" s="199"/>
      <c r="F135" s="156">
        <v>271.39</v>
      </c>
      <c r="G135" s="199" t="s">
        <v>20</v>
      </c>
      <c r="H135" s="474"/>
      <c r="I135" s="156">
        <v>-3.05</v>
      </c>
      <c r="J135" s="473">
        <v>-1.1599999999999999</v>
      </c>
      <c r="K135" s="60">
        <v>-1.08</v>
      </c>
      <c r="L135" s="492">
        <f t="shared" si="9"/>
        <v>25.590081000000001</v>
      </c>
      <c r="M135" s="481" t="s">
        <v>33</v>
      </c>
      <c r="N135" s="296" t="s">
        <v>16</v>
      </c>
      <c r="O135" s="156" t="s">
        <v>37</v>
      </c>
      <c r="P135" s="298" t="s">
        <v>35</v>
      </c>
      <c r="Q135" s="314" t="s">
        <v>58</v>
      </c>
      <c r="R135" s="307" t="s">
        <v>40</v>
      </c>
      <c r="S135" s="299" t="s">
        <v>254</v>
      </c>
      <c r="T135" s="300"/>
    </row>
    <row r="136" spans="1:20">
      <c r="A136" s="427" t="s">
        <v>53</v>
      </c>
      <c r="B136" s="199"/>
      <c r="C136" s="199"/>
      <c r="D136" s="199"/>
      <c r="E136" s="199"/>
      <c r="F136" s="156">
        <v>271.56</v>
      </c>
      <c r="G136" s="199" t="s">
        <v>20</v>
      </c>
      <c r="H136" s="474"/>
      <c r="I136" s="156">
        <v>-3.14</v>
      </c>
      <c r="J136" s="473">
        <v>-1.1599999999999999</v>
      </c>
      <c r="K136" s="60">
        <v>-1.08</v>
      </c>
      <c r="L136" s="492">
        <f t="shared" si="9"/>
        <v>26.040324000000002</v>
      </c>
      <c r="M136" s="481" t="s">
        <v>33</v>
      </c>
      <c r="N136" s="296" t="s">
        <v>16</v>
      </c>
      <c r="O136" s="156" t="s">
        <v>192</v>
      </c>
      <c r="P136" s="298" t="s">
        <v>35</v>
      </c>
      <c r="Q136" s="314" t="s">
        <v>58</v>
      </c>
      <c r="R136" s="307" t="s">
        <v>40</v>
      </c>
      <c r="S136" s="299" t="s">
        <v>254</v>
      </c>
      <c r="T136" s="300"/>
    </row>
    <row r="137" spans="1:20">
      <c r="A137" s="427" t="s">
        <v>53</v>
      </c>
      <c r="B137" s="199"/>
      <c r="C137" s="199"/>
      <c r="D137" s="199"/>
      <c r="E137" s="199"/>
      <c r="F137" s="156">
        <v>271.85000000000002</v>
      </c>
      <c r="G137" s="199" t="s">
        <v>20</v>
      </c>
      <c r="H137" s="474"/>
      <c r="I137" s="156">
        <v>-3.09</v>
      </c>
      <c r="J137" s="473">
        <v>-1.1599999999999999</v>
      </c>
      <c r="K137" s="60">
        <v>-1.08</v>
      </c>
      <c r="L137" s="492">
        <f t="shared" si="9"/>
        <v>25.790009000000001</v>
      </c>
      <c r="M137" s="481" t="s">
        <v>33</v>
      </c>
      <c r="N137" s="296" t="s">
        <v>16</v>
      </c>
      <c r="O137" s="156" t="s">
        <v>37</v>
      </c>
      <c r="P137" s="298" t="s">
        <v>35</v>
      </c>
      <c r="Q137" s="314" t="s">
        <v>58</v>
      </c>
      <c r="R137" s="307" t="s">
        <v>40</v>
      </c>
      <c r="S137" s="299" t="s">
        <v>254</v>
      </c>
      <c r="T137" s="300"/>
    </row>
    <row r="138" spans="1:20">
      <c r="A138" s="427" t="s">
        <v>53</v>
      </c>
      <c r="B138" s="199"/>
      <c r="C138" s="199"/>
      <c r="D138" s="199"/>
      <c r="E138" s="199"/>
      <c r="F138" s="156">
        <v>272.22000000000003</v>
      </c>
      <c r="G138" s="199" t="s">
        <v>20</v>
      </c>
      <c r="H138" s="474"/>
      <c r="I138" s="156">
        <v>-3.53</v>
      </c>
      <c r="J138" s="473">
        <v>-1.1599999999999999</v>
      </c>
      <c r="K138" s="60">
        <v>-1.08</v>
      </c>
      <c r="L138" s="492">
        <f t="shared" si="9"/>
        <v>28.008224999999999</v>
      </c>
      <c r="M138" s="481" t="s">
        <v>33</v>
      </c>
      <c r="N138" s="296" t="s">
        <v>16</v>
      </c>
      <c r="O138" s="156" t="s">
        <v>192</v>
      </c>
      <c r="P138" s="298" t="s">
        <v>35</v>
      </c>
      <c r="Q138" s="314" t="s">
        <v>58</v>
      </c>
      <c r="R138" s="307" t="s">
        <v>40</v>
      </c>
      <c r="S138" s="299" t="s">
        <v>254</v>
      </c>
      <c r="T138" s="300"/>
    </row>
    <row r="139" spans="1:20">
      <c r="A139" s="427" t="s">
        <v>53</v>
      </c>
      <c r="B139" s="199"/>
      <c r="C139" s="199"/>
      <c r="D139" s="199"/>
      <c r="E139" s="199"/>
      <c r="F139" s="156">
        <v>272.5</v>
      </c>
      <c r="G139" s="199" t="s">
        <v>20</v>
      </c>
      <c r="H139" s="474"/>
      <c r="I139" s="156">
        <v>-3.22</v>
      </c>
      <c r="J139" s="473">
        <v>-1.1599999999999999</v>
      </c>
      <c r="K139" s="60">
        <v>-1.08</v>
      </c>
      <c r="L139" s="492">
        <f t="shared" si="9"/>
        <v>26.441764000000003</v>
      </c>
      <c r="M139" s="481" t="s">
        <v>33</v>
      </c>
      <c r="N139" s="296" t="s">
        <v>16</v>
      </c>
      <c r="O139" s="156" t="s">
        <v>37</v>
      </c>
      <c r="P139" s="298" t="s">
        <v>35</v>
      </c>
      <c r="Q139" s="314" t="s">
        <v>58</v>
      </c>
      <c r="R139" s="307" t="s">
        <v>40</v>
      </c>
      <c r="S139" s="299" t="s">
        <v>254</v>
      </c>
      <c r="T139" s="300"/>
    </row>
    <row r="140" spans="1:20">
      <c r="A140" s="427" t="s">
        <v>53</v>
      </c>
      <c r="B140" s="199"/>
      <c r="C140" s="199"/>
      <c r="D140" s="199"/>
      <c r="E140" s="199"/>
      <c r="F140" s="156">
        <v>272.68</v>
      </c>
      <c r="G140" s="199" t="s">
        <v>20</v>
      </c>
      <c r="H140" s="474"/>
      <c r="I140" s="156">
        <v>-3.64</v>
      </c>
      <c r="J140" s="473">
        <v>-1.1599999999999999</v>
      </c>
      <c r="K140" s="60">
        <v>-1.08</v>
      </c>
      <c r="L140" s="492">
        <f t="shared" si="9"/>
        <v>28.568224000000001</v>
      </c>
      <c r="M140" s="481" t="s">
        <v>33</v>
      </c>
      <c r="N140" s="296" t="s">
        <v>16</v>
      </c>
      <c r="O140" s="156" t="s">
        <v>37</v>
      </c>
      <c r="P140" s="298" t="s">
        <v>35</v>
      </c>
      <c r="Q140" s="314" t="s">
        <v>58</v>
      </c>
      <c r="R140" s="307" t="s">
        <v>40</v>
      </c>
      <c r="S140" s="299" t="s">
        <v>254</v>
      </c>
      <c r="T140" s="300"/>
    </row>
    <row r="141" spans="1:20">
      <c r="A141" s="427" t="s">
        <v>53</v>
      </c>
      <c r="B141" s="199"/>
      <c r="C141" s="199"/>
      <c r="D141" s="199"/>
      <c r="E141" s="199"/>
      <c r="F141" s="156">
        <v>272.83999999999997</v>
      </c>
      <c r="G141" s="199" t="s">
        <v>20</v>
      </c>
      <c r="H141" s="474"/>
      <c r="I141" s="156">
        <v>-3.5</v>
      </c>
      <c r="J141" s="473">
        <v>-1.1599999999999999</v>
      </c>
      <c r="K141" s="60">
        <v>-1.08</v>
      </c>
      <c r="L141" s="492">
        <f t="shared" si="9"/>
        <v>27.855876000000002</v>
      </c>
      <c r="M141" s="481" t="s">
        <v>33</v>
      </c>
      <c r="N141" s="296" t="s">
        <v>16</v>
      </c>
      <c r="O141" s="156" t="s">
        <v>241</v>
      </c>
      <c r="P141" s="298" t="s">
        <v>35</v>
      </c>
      <c r="Q141" s="314" t="s">
        <v>58</v>
      </c>
      <c r="R141" s="307" t="s">
        <v>40</v>
      </c>
      <c r="S141" s="299" t="s">
        <v>254</v>
      </c>
      <c r="T141" s="300"/>
    </row>
    <row r="142" spans="1:20">
      <c r="A142" s="427" t="s">
        <v>53</v>
      </c>
      <c r="B142" s="199"/>
      <c r="C142" s="199"/>
      <c r="D142" s="199"/>
      <c r="E142" s="199"/>
      <c r="F142" s="156">
        <v>272.94</v>
      </c>
      <c r="G142" s="199" t="s">
        <v>20</v>
      </c>
      <c r="H142" s="474"/>
      <c r="I142" s="156">
        <v>-3.51</v>
      </c>
      <c r="J142" s="473">
        <v>-1.1599999999999999</v>
      </c>
      <c r="K142" s="60">
        <v>-1.08</v>
      </c>
      <c r="L142" s="492">
        <f t="shared" si="9"/>
        <v>27.906641</v>
      </c>
      <c r="M142" s="481" t="s">
        <v>33</v>
      </c>
      <c r="N142" s="296" t="s">
        <v>16</v>
      </c>
      <c r="O142" s="156" t="s">
        <v>246</v>
      </c>
      <c r="P142" s="298" t="s">
        <v>35</v>
      </c>
      <c r="Q142" s="314" t="s">
        <v>58</v>
      </c>
      <c r="R142" s="307" t="s">
        <v>40</v>
      </c>
      <c r="S142" s="299" t="s">
        <v>254</v>
      </c>
      <c r="T142" s="300"/>
    </row>
    <row r="143" spans="1:20">
      <c r="A143" s="427" t="s">
        <v>53</v>
      </c>
      <c r="B143" s="199"/>
      <c r="C143" s="199"/>
      <c r="D143" s="199"/>
      <c r="E143" s="199"/>
      <c r="F143" s="156">
        <v>272.94</v>
      </c>
      <c r="G143" s="199" t="s">
        <v>20</v>
      </c>
      <c r="H143" s="474"/>
      <c r="I143" s="156">
        <v>-3.37</v>
      </c>
      <c r="J143" s="473">
        <v>-1.1599999999999999</v>
      </c>
      <c r="K143" s="60">
        <v>-1.08</v>
      </c>
      <c r="L143" s="492">
        <f t="shared" si="9"/>
        <v>27.197569000000001</v>
      </c>
      <c r="M143" s="481" t="s">
        <v>33</v>
      </c>
      <c r="N143" s="296" t="s">
        <v>16</v>
      </c>
      <c r="O143" s="156" t="s">
        <v>244</v>
      </c>
      <c r="P143" s="298" t="s">
        <v>35</v>
      </c>
      <c r="Q143" s="314" t="s">
        <v>58</v>
      </c>
      <c r="R143" s="307" t="s">
        <v>40</v>
      </c>
      <c r="S143" s="299" t="s">
        <v>254</v>
      </c>
      <c r="T143" s="300"/>
    </row>
    <row r="144" spans="1:20">
      <c r="A144" s="427" t="s">
        <v>53</v>
      </c>
      <c r="B144" s="199"/>
      <c r="C144" s="199"/>
      <c r="D144" s="199"/>
      <c r="E144" s="199"/>
      <c r="F144" s="156">
        <v>272.94</v>
      </c>
      <c r="G144" s="199" t="s">
        <v>20</v>
      </c>
      <c r="H144" s="474"/>
      <c r="I144" s="156">
        <v>-3.34</v>
      </c>
      <c r="J144" s="473">
        <v>-1.1599999999999999</v>
      </c>
      <c r="K144" s="60">
        <v>-1.08</v>
      </c>
      <c r="L144" s="492">
        <f t="shared" si="9"/>
        <v>27.046083999999997</v>
      </c>
      <c r="M144" s="481" t="s">
        <v>33</v>
      </c>
      <c r="N144" s="296" t="s">
        <v>16</v>
      </c>
      <c r="O144" s="156" t="s">
        <v>37</v>
      </c>
      <c r="P144" s="298" t="s">
        <v>35</v>
      </c>
      <c r="Q144" s="314" t="s">
        <v>58</v>
      </c>
      <c r="R144" s="307" t="s">
        <v>40</v>
      </c>
      <c r="S144" s="299" t="s">
        <v>254</v>
      </c>
      <c r="T144" s="300"/>
    </row>
    <row r="145" spans="1:20">
      <c r="A145" s="427" t="s">
        <v>53</v>
      </c>
      <c r="B145" s="199"/>
      <c r="C145" s="199"/>
      <c r="D145" s="199"/>
      <c r="E145" s="199"/>
      <c r="F145" s="156">
        <v>273.06</v>
      </c>
      <c r="G145" s="199" t="s">
        <v>20</v>
      </c>
      <c r="H145" s="474"/>
      <c r="I145" s="156">
        <v>-3.71</v>
      </c>
      <c r="J145" s="473">
        <v>-1.1599999999999999</v>
      </c>
      <c r="K145" s="60">
        <v>-1.08</v>
      </c>
      <c r="L145" s="492">
        <f t="shared" si="9"/>
        <v>28.925720999999999</v>
      </c>
      <c r="M145" s="481" t="s">
        <v>33</v>
      </c>
      <c r="N145" s="296" t="s">
        <v>16</v>
      </c>
      <c r="O145" s="156" t="s">
        <v>244</v>
      </c>
      <c r="P145" s="298" t="s">
        <v>35</v>
      </c>
      <c r="Q145" s="314" t="s">
        <v>58</v>
      </c>
      <c r="R145" s="307" t="s">
        <v>40</v>
      </c>
      <c r="S145" s="299" t="s">
        <v>254</v>
      </c>
      <c r="T145" s="300"/>
    </row>
    <row r="146" spans="1:20">
      <c r="A146" s="427" t="s">
        <v>53</v>
      </c>
      <c r="B146" s="199"/>
      <c r="C146" s="199"/>
      <c r="D146" s="199"/>
      <c r="E146" s="199"/>
      <c r="F146" s="156">
        <v>273.06</v>
      </c>
      <c r="G146" s="199" t="s">
        <v>20</v>
      </c>
      <c r="H146" s="474"/>
      <c r="I146" s="156">
        <v>-3.69</v>
      </c>
      <c r="J146" s="473">
        <v>-1.1599999999999999</v>
      </c>
      <c r="K146" s="60">
        <v>-1.08</v>
      </c>
      <c r="L146" s="492">
        <f t="shared" si="9"/>
        <v>28.823488999999999</v>
      </c>
      <c r="M146" s="481" t="s">
        <v>261</v>
      </c>
      <c r="N146" s="296" t="s">
        <v>16</v>
      </c>
      <c r="O146" s="156" t="s">
        <v>37</v>
      </c>
      <c r="P146" s="298" t="s">
        <v>35</v>
      </c>
      <c r="Q146" s="314" t="s">
        <v>58</v>
      </c>
      <c r="R146" s="307" t="s">
        <v>40</v>
      </c>
      <c r="S146" s="299" t="s">
        <v>254</v>
      </c>
      <c r="T146" s="300"/>
    </row>
    <row r="147" spans="1:20">
      <c r="A147" s="427" t="s">
        <v>53</v>
      </c>
      <c r="B147" s="199"/>
      <c r="C147" s="199"/>
      <c r="D147" s="199"/>
      <c r="E147" s="199"/>
      <c r="F147" s="156">
        <v>273.33999999999997</v>
      </c>
      <c r="G147" s="199" t="s">
        <v>20</v>
      </c>
      <c r="H147" s="474"/>
      <c r="I147" s="156">
        <v>-3.12</v>
      </c>
      <c r="J147" s="473">
        <v>-1.1599999999999999</v>
      </c>
      <c r="K147" s="60">
        <v>-1.08</v>
      </c>
      <c r="L147" s="492">
        <f t="shared" si="9"/>
        <v>25.940144000000004</v>
      </c>
      <c r="M147" s="482" t="s">
        <v>33</v>
      </c>
      <c r="N147" s="296" t="s">
        <v>16</v>
      </c>
      <c r="O147" s="156" t="s">
        <v>246</v>
      </c>
      <c r="P147" s="298" t="s">
        <v>35</v>
      </c>
      <c r="Q147" s="314" t="s">
        <v>58</v>
      </c>
      <c r="R147" s="307" t="s">
        <v>40</v>
      </c>
      <c r="S147" s="299" t="s">
        <v>254</v>
      </c>
      <c r="T147" s="300"/>
    </row>
    <row r="148" spans="1:20">
      <c r="A148" s="427" t="s">
        <v>53</v>
      </c>
      <c r="B148" s="199"/>
      <c r="C148" s="199"/>
      <c r="D148" s="199"/>
      <c r="E148" s="199"/>
      <c r="F148" s="156">
        <v>273.33999999999997</v>
      </c>
      <c r="G148" s="199" t="s">
        <v>20</v>
      </c>
      <c r="H148" s="474"/>
      <c r="I148" s="156">
        <v>-3.41</v>
      </c>
      <c r="J148" s="473">
        <v>-1.1599999999999999</v>
      </c>
      <c r="K148" s="60">
        <v>-1.08</v>
      </c>
      <c r="L148" s="492">
        <f t="shared" si="9"/>
        <v>27.399801</v>
      </c>
      <c r="M148" s="482" t="s">
        <v>33</v>
      </c>
      <c r="N148" s="296" t="s">
        <v>16</v>
      </c>
      <c r="O148" s="156" t="s">
        <v>244</v>
      </c>
      <c r="P148" s="298" t="s">
        <v>35</v>
      </c>
      <c r="Q148" s="314" t="s">
        <v>58</v>
      </c>
      <c r="R148" s="307" t="s">
        <v>40</v>
      </c>
      <c r="S148" s="299" t="s">
        <v>254</v>
      </c>
      <c r="T148" s="300"/>
    </row>
    <row r="149" spans="1:20">
      <c r="A149" s="427" t="s">
        <v>53</v>
      </c>
      <c r="B149" s="199"/>
      <c r="C149" s="199"/>
      <c r="D149" s="199"/>
      <c r="E149" s="199"/>
      <c r="F149" s="156">
        <v>273.33999999999997</v>
      </c>
      <c r="G149" s="199" t="s">
        <v>20</v>
      </c>
      <c r="H149" s="474"/>
      <c r="I149" s="156">
        <v>-3.59</v>
      </c>
      <c r="J149" s="473">
        <v>-1.1599999999999999</v>
      </c>
      <c r="K149" s="60">
        <v>-1.08</v>
      </c>
      <c r="L149" s="492">
        <f t="shared" si="9"/>
        <v>28.313409</v>
      </c>
      <c r="M149" s="482" t="s">
        <v>33</v>
      </c>
      <c r="N149" s="296" t="s">
        <v>16</v>
      </c>
      <c r="O149" s="156" t="s">
        <v>37</v>
      </c>
      <c r="P149" s="298" t="s">
        <v>35</v>
      </c>
      <c r="Q149" s="314" t="s">
        <v>58</v>
      </c>
      <c r="R149" s="307" t="s">
        <v>40</v>
      </c>
      <c r="S149" s="299" t="s">
        <v>254</v>
      </c>
      <c r="T149" s="300"/>
    </row>
    <row r="150" spans="1:20">
      <c r="A150" s="427" t="s">
        <v>53</v>
      </c>
      <c r="B150" s="199"/>
      <c r="C150" s="199"/>
      <c r="D150" s="199"/>
      <c r="E150" s="199"/>
      <c r="F150" s="156">
        <v>273.42</v>
      </c>
      <c r="G150" s="199" t="s">
        <v>266</v>
      </c>
      <c r="H150" s="474"/>
      <c r="I150" s="156">
        <v>-2.87</v>
      </c>
      <c r="J150" s="473">
        <v>-1.1599999999999999</v>
      </c>
      <c r="K150" s="60">
        <v>-1.08</v>
      </c>
      <c r="L150" s="491">
        <f t="shared" ref="L150:L158" si="10">16.1-4.64*($I150-K150)+0.09*($I150-K150)^2</f>
        <v>24.693968999999999</v>
      </c>
      <c r="M150" s="482" t="s">
        <v>33</v>
      </c>
      <c r="N150" s="296" t="s">
        <v>16</v>
      </c>
      <c r="O150" s="156" t="s">
        <v>192</v>
      </c>
      <c r="P150" s="298" t="s">
        <v>35</v>
      </c>
      <c r="Q150" s="314" t="s">
        <v>58</v>
      </c>
      <c r="R150" s="307" t="s">
        <v>40</v>
      </c>
      <c r="S150" s="299" t="s">
        <v>254</v>
      </c>
      <c r="T150" s="300"/>
    </row>
    <row r="151" spans="1:20">
      <c r="A151" s="427" t="s">
        <v>53</v>
      </c>
      <c r="B151" s="199"/>
      <c r="C151" s="199"/>
      <c r="D151" s="199"/>
      <c r="E151" s="199"/>
      <c r="F151" s="156">
        <v>273.92</v>
      </c>
      <c r="G151" s="199" t="s">
        <v>266</v>
      </c>
      <c r="H151" s="474"/>
      <c r="I151" s="156">
        <v>-3.33</v>
      </c>
      <c r="J151" s="473">
        <v>-1.1599999999999999</v>
      </c>
      <c r="K151" s="60">
        <v>-1.08</v>
      </c>
      <c r="L151" s="491">
        <f t="shared" si="10"/>
        <v>26.995625</v>
      </c>
      <c r="M151" s="481" t="s">
        <v>238</v>
      </c>
      <c r="N151" s="296" t="s">
        <v>16</v>
      </c>
      <c r="O151" s="156">
        <v>175</v>
      </c>
      <c r="P151" s="298" t="s">
        <v>35</v>
      </c>
      <c r="Q151" s="314" t="s">
        <v>58</v>
      </c>
      <c r="R151" s="307" t="s">
        <v>40</v>
      </c>
      <c r="S151" s="299" t="s">
        <v>254</v>
      </c>
      <c r="T151" s="300"/>
    </row>
    <row r="152" spans="1:20">
      <c r="A152" s="427" t="s">
        <v>53</v>
      </c>
      <c r="B152" s="199"/>
      <c r="C152" s="199"/>
      <c r="D152" s="199"/>
      <c r="E152" s="199"/>
      <c r="F152" s="156">
        <v>274.07</v>
      </c>
      <c r="G152" s="199" t="s">
        <v>19</v>
      </c>
      <c r="H152" s="474"/>
      <c r="I152" s="156">
        <v>-2.74</v>
      </c>
      <c r="J152" s="473">
        <v>-1.1599999999999999</v>
      </c>
      <c r="K152" s="60">
        <v>-1.08</v>
      </c>
      <c r="L152" s="494">
        <f t="shared" si="10"/>
        <v>24.050404000000004</v>
      </c>
      <c r="M152" s="482" t="s">
        <v>33</v>
      </c>
      <c r="N152" s="296" t="s">
        <v>16</v>
      </c>
      <c r="O152" s="156" t="s">
        <v>192</v>
      </c>
      <c r="P152" s="298" t="s">
        <v>35</v>
      </c>
      <c r="Q152" s="314" t="s">
        <v>58</v>
      </c>
      <c r="R152" s="307" t="s">
        <v>40</v>
      </c>
      <c r="S152" s="299" t="s">
        <v>254</v>
      </c>
      <c r="T152" s="300"/>
    </row>
    <row r="153" spans="1:20">
      <c r="A153" s="427" t="s">
        <v>53</v>
      </c>
      <c r="B153" s="199"/>
      <c r="C153" s="199"/>
      <c r="D153" s="199"/>
      <c r="E153" s="199"/>
      <c r="F153" s="156">
        <v>274.25</v>
      </c>
      <c r="G153" s="199" t="s">
        <v>19</v>
      </c>
      <c r="H153" s="474"/>
      <c r="I153" s="156">
        <v>-2.4900000000000002</v>
      </c>
      <c r="J153" s="473">
        <v>-1.1599999999999999</v>
      </c>
      <c r="K153" s="60">
        <v>-1.08</v>
      </c>
      <c r="L153" s="494">
        <f t="shared" si="10"/>
        <v>22.821329000000002</v>
      </c>
      <c r="M153" s="481" t="s">
        <v>262</v>
      </c>
      <c r="N153" s="296" t="s">
        <v>16</v>
      </c>
      <c r="O153" s="156" t="s">
        <v>242</v>
      </c>
      <c r="P153" s="298" t="s">
        <v>35</v>
      </c>
      <c r="Q153" s="314" t="s">
        <v>58</v>
      </c>
      <c r="R153" s="307" t="s">
        <v>40</v>
      </c>
      <c r="S153" s="299" t="s">
        <v>254</v>
      </c>
      <c r="T153" s="300"/>
    </row>
    <row r="154" spans="1:20">
      <c r="A154" s="427" t="s">
        <v>53</v>
      </c>
      <c r="B154" s="199"/>
      <c r="C154" s="199"/>
      <c r="D154" s="199"/>
      <c r="E154" s="199"/>
      <c r="F154" s="156">
        <v>274.39</v>
      </c>
      <c r="G154" s="199" t="s">
        <v>19</v>
      </c>
      <c r="H154" s="474"/>
      <c r="I154" s="156">
        <v>-2.0699999999999998</v>
      </c>
      <c r="J154" s="473">
        <v>-1.1599999999999999</v>
      </c>
      <c r="K154" s="60">
        <v>-1.08</v>
      </c>
      <c r="L154" s="494">
        <f t="shared" si="10"/>
        <v>20.781808999999999</v>
      </c>
      <c r="M154" s="481" t="s">
        <v>262</v>
      </c>
      <c r="N154" s="296" t="s">
        <v>16</v>
      </c>
      <c r="O154" s="156">
        <v>200</v>
      </c>
      <c r="P154" s="298" t="s">
        <v>35</v>
      </c>
      <c r="Q154" s="314" t="s">
        <v>58</v>
      </c>
      <c r="R154" s="307" t="s">
        <v>40</v>
      </c>
      <c r="S154" s="299" t="s">
        <v>254</v>
      </c>
      <c r="T154" s="300"/>
    </row>
    <row r="155" spans="1:20">
      <c r="A155" s="427" t="s">
        <v>53</v>
      </c>
      <c r="B155" s="199"/>
      <c r="C155" s="199"/>
      <c r="D155" s="199"/>
      <c r="E155" s="199"/>
      <c r="F155" s="156">
        <v>274.39</v>
      </c>
      <c r="G155" s="199" t="s">
        <v>19</v>
      </c>
      <c r="H155" s="474"/>
      <c r="I155" s="156">
        <v>-2.37</v>
      </c>
      <c r="J155" s="473">
        <v>-1.1599999999999999</v>
      </c>
      <c r="K155" s="60">
        <v>-1.08</v>
      </c>
      <c r="L155" s="494">
        <f t="shared" si="10"/>
        <v>22.235368999999999</v>
      </c>
      <c r="M155" s="481" t="s">
        <v>262</v>
      </c>
      <c r="N155" s="296" t="s">
        <v>16</v>
      </c>
      <c r="O155" s="156">
        <v>150</v>
      </c>
      <c r="P155" s="298" t="s">
        <v>35</v>
      </c>
      <c r="Q155" s="314" t="s">
        <v>58</v>
      </c>
      <c r="R155" s="307" t="s">
        <v>40</v>
      </c>
      <c r="S155" s="299" t="s">
        <v>254</v>
      </c>
      <c r="T155" s="300"/>
    </row>
    <row r="156" spans="1:20">
      <c r="A156" s="427" t="s">
        <v>53</v>
      </c>
      <c r="B156" s="199"/>
      <c r="C156" s="199"/>
      <c r="D156" s="199"/>
      <c r="E156" s="199"/>
      <c r="F156" s="156">
        <v>274.69</v>
      </c>
      <c r="G156" s="199" t="s">
        <v>19</v>
      </c>
      <c r="H156" s="474"/>
      <c r="I156" s="156">
        <v>-2</v>
      </c>
      <c r="J156" s="473">
        <v>-1.1599999999999999</v>
      </c>
      <c r="K156" s="60">
        <v>-1.08</v>
      </c>
      <c r="L156" s="494">
        <f t="shared" si="10"/>
        <v>20.444976</v>
      </c>
      <c r="M156" s="481" t="s">
        <v>263</v>
      </c>
      <c r="N156" s="296" t="s">
        <v>16</v>
      </c>
      <c r="O156" s="156">
        <v>150</v>
      </c>
      <c r="P156" s="298" t="s">
        <v>35</v>
      </c>
      <c r="Q156" s="314" t="s">
        <v>58</v>
      </c>
      <c r="R156" s="307" t="s">
        <v>40</v>
      </c>
      <c r="S156" s="299" t="s">
        <v>254</v>
      </c>
      <c r="T156" s="300"/>
    </row>
    <row r="157" spans="1:20">
      <c r="A157" s="427" t="s">
        <v>53</v>
      </c>
      <c r="B157" s="199"/>
      <c r="C157" s="199"/>
      <c r="D157" s="199"/>
      <c r="E157" s="199"/>
      <c r="F157" s="156">
        <v>274.91000000000003</v>
      </c>
      <c r="G157" s="199" t="s">
        <v>19</v>
      </c>
      <c r="H157" s="474"/>
      <c r="I157" s="156">
        <v>-2.5099999999999998</v>
      </c>
      <c r="J157" s="473">
        <v>-1.1599999999999999</v>
      </c>
      <c r="K157" s="60">
        <v>-1.08</v>
      </c>
      <c r="L157" s="494">
        <f t="shared" si="10"/>
        <v>22.919241</v>
      </c>
      <c r="M157" s="481" t="s">
        <v>263</v>
      </c>
      <c r="N157" s="296" t="s">
        <v>16</v>
      </c>
      <c r="O157" s="156">
        <v>150</v>
      </c>
      <c r="P157" s="298" t="s">
        <v>35</v>
      </c>
      <c r="Q157" s="314" t="s">
        <v>58</v>
      </c>
      <c r="R157" s="307" t="s">
        <v>40</v>
      </c>
      <c r="S157" s="299" t="s">
        <v>254</v>
      </c>
      <c r="T157" s="300"/>
    </row>
    <row r="158" spans="1:20">
      <c r="A158" s="431" t="s">
        <v>53</v>
      </c>
      <c r="B158" s="432"/>
      <c r="C158" s="432"/>
      <c r="D158" s="432"/>
      <c r="E158" s="432"/>
      <c r="F158" s="226">
        <v>275.45999999999998</v>
      </c>
      <c r="G158" s="432" t="s">
        <v>19</v>
      </c>
      <c r="H158" s="476"/>
      <c r="I158" s="226">
        <v>-2.46</v>
      </c>
      <c r="J158" s="478">
        <v>-1.1599999999999999</v>
      </c>
      <c r="K158" s="179">
        <v>-1.08</v>
      </c>
      <c r="L158" s="493">
        <f t="shared" si="10"/>
        <v>22.674596000000001</v>
      </c>
      <c r="M158" s="479" t="s">
        <v>263</v>
      </c>
      <c r="N158" s="386" t="s">
        <v>16</v>
      </c>
      <c r="O158" s="226" t="s">
        <v>252</v>
      </c>
      <c r="P158" s="390" t="s">
        <v>35</v>
      </c>
      <c r="Q158" s="388" t="s">
        <v>58</v>
      </c>
      <c r="R158" s="387" t="s">
        <v>40</v>
      </c>
      <c r="S158" s="299" t="s">
        <v>254</v>
      </c>
      <c r="T158" s="300"/>
    </row>
    <row r="159" spans="1:20">
      <c r="A159" s="427" t="s">
        <v>53</v>
      </c>
      <c r="B159" s="199"/>
      <c r="C159" s="199"/>
      <c r="D159" s="199"/>
      <c r="E159" s="199"/>
      <c r="F159" s="156">
        <v>261.23</v>
      </c>
      <c r="G159" s="199" t="s">
        <v>59</v>
      </c>
      <c r="H159" s="474"/>
      <c r="I159" s="156">
        <v>-2.83</v>
      </c>
      <c r="J159" s="473">
        <v>-1.1599999999999999</v>
      </c>
      <c r="K159" s="60">
        <v>-1.08</v>
      </c>
      <c r="L159" s="491">
        <f t="shared" ref="L159:L173" si="11">16.1-4.64*($I159-K159)+0.09*($I159-K159)^2</f>
        <v>24.495625</v>
      </c>
      <c r="M159" s="481" t="s">
        <v>260</v>
      </c>
      <c r="N159" s="296" t="s">
        <v>16</v>
      </c>
      <c r="O159" s="156" t="s">
        <v>192</v>
      </c>
      <c r="P159" s="298" t="s">
        <v>35</v>
      </c>
      <c r="Q159" s="314" t="s">
        <v>58</v>
      </c>
      <c r="R159" s="307" t="s">
        <v>40</v>
      </c>
      <c r="S159" s="299" t="s">
        <v>254</v>
      </c>
      <c r="T159" s="300"/>
    </row>
    <row r="160" spans="1:20">
      <c r="A160" s="427" t="s">
        <v>53</v>
      </c>
      <c r="B160" s="199"/>
      <c r="C160" s="199"/>
      <c r="D160" s="199"/>
      <c r="E160" s="199"/>
      <c r="F160" s="156">
        <v>261.82</v>
      </c>
      <c r="G160" s="199" t="s">
        <v>59</v>
      </c>
      <c r="H160" s="474"/>
      <c r="I160" s="156">
        <v>-2.68</v>
      </c>
      <c r="J160" s="473">
        <v>-1.1599999999999999</v>
      </c>
      <c r="K160" s="60">
        <v>-1.08</v>
      </c>
      <c r="L160" s="491">
        <f t="shared" si="11"/>
        <v>23.7544</v>
      </c>
      <c r="M160" s="481" t="s">
        <v>260</v>
      </c>
      <c r="N160" s="296" t="s">
        <v>16</v>
      </c>
      <c r="O160" s="156" t="s">
        <v>192</v>
      </c>
      <c r="P160" s="298" t="s">
        <v>35</v>
      </c>
      <c r="Q160" s="314" t="s">
        <v>58</v>
      </c>
      <c r="R160" s="307" t="s">
        <v>40</v>
      </c>
      <c r="S160" s="299" t="s">
        <v>254</v>
      </c>
      <c r="T160" s="300"/>
    </row>
    <row r="161" spans="1:20">
      <c r="A161" s="427" t="s">
        <v>53</v>
      </c>
      <c r="B161" s="199"/>
      <c r="C161" s="199"/>
      <c r="D161" s="199"/>
      <c r="E161" s="199"/>
      <c r="F161" s="156">
        <v>262.48</v>
      </c>
      <c r="G161" s="199" t="s">
        <v>59</v>
      </c>
      <c r="H161" s="474"/>
      <c r="I161" s="156">
        <v>-3.73</v>
      </c>
      <c r="J161" s="473">
        <v>-1.1599999999999999</v>
      </c>
      <c r="K161" s="60">
        <v>-1.08</v>
      </c>
      <c r="L161" s="491">
        <f t="shared" si="11"/>
        <v>29.028025</v>
      </c>
      <c r="M161" s="481" t="s">
        <v>260</v>
      </c>
      <c r="N161" s="296" t="s">
        <v>16</v>
      </c>
      <c r="O161" s="156" t="s">
        <v>192</v>
      </c>
      <c r="P161" s="298" t="s">
        <v>35</v>
      </c>
      <c r="Q161" s="314" t="s">
        <v>58</v>
      </c>
      <c r="R161" s="307" t="s">
        <v>40</v>
      </c>
      <c r="S161" s="299" t="s">
        <v>254</v>
      </c>
      <c r="T161" s="300"/>
    </row>
    <row r="162" spans="1:20">
      <c r="A162" s="427" t="s">
        <v>53</v>
      </c>
      <c r="B162" s="199"/>
      <c r="C162" s="199"/>
      <c r="D162" s="199"/>
      <c r="E162" s="199"/>
      <c r="F162" s="156">
        <v>263.06</v>
      </c>
      <c r="G162" s="199" t="s">
        <v>59</v>
      </c>
      <c r="H162" s="474"/>
      <c r="I162" s="156">
        <v>-3.74</v>
      </c>
      <c r="J162" s="473">
        <v>-1.1599999999999999</v>
      </c>
      <c r="K162" s="60">
        <v>-1.08</v>
      </c>
      <c r="L162" s="491">
        <f t="shared" si="11"/>
        <v>29.079204000000001</v>
      </c>
      <c r="M162" s="481" t="s">
        <v>260</v>
      </c>
      <c r="N162" s="296" t="s">
        <v>16</v>
      </c>
      <c r="O162" s="156" t="s">
        <v>251</v>
      </c>
      <c r="P162" s="298" t="s">
        <v>35</v>
      </c>
      <c r="Q162" s="314" t="s">
        <v>58</v>
      </c>
      <c r="R162" s="307" t="s">
        <v>40</v>
      </c>
      <c r="S162" s="299" t="s">
        <v>254</v>
      </c>
      <c r="T162" s="300"/>
    </row>
    <row r="163" spans="1:20">
      <c r="A163" s="427" t="s">
        <v>53</v>
      </c>
      <c r="B163" s="199"/>
      <c r="C163" s="199"/>
      <c r="D163" s="199"/>
      <c r="E163" s="199"/>
      <c r="F163" s="156">
        <v>263.69</v>
      </c>
      <c r="G163" s="199" t="s">
        <v>59</v>
      </c>
      <c r="H163" s="474"/>
      <c r="I163" s="156">
        <v>-3.26</v>
      </c>
      <c r="J163" s="473">
        <v>-1.1599999999999999</v>
      </c>
      <c r="K163" s="60">
        <v>-1.08</v>
      </c>
      <c r="L163" s="491">
        <f t="shared" si="11"/>
        <v>26.642916</v>
      </c>
      <c r="M163" s="481" t="s">
        <v>260</v>
      </c>
      <c r="N163" s="296" t="s">
        <v>16</v>
      </c>
      <c r="O163" s="156" t="s">
        <v>192</v>
      </c>
      <c r="P163" s="298" t="s">
        <v>35</v>
      </c>
      <c r="Q163" s="314" t="s">
        <v>58</v>
      </c>
      <c r="R163" s="307" t="s">
        <v>40</v>
      </c>
      <c r="S163" s="299" t="s">
        <v>254</v>
      </c>
      <c r="T163" s="300"/>
    </row>
    <row r="164" spans="1:20">
      <c r="A164" s="427" t="s">
        <v>53</v>
      </c>
      <c r="B164" s="199"/>
      <c r="C164" s="199"/>
      <c r="D164" s="199"/>
      <c r="E164" s="199"/>
      <c r="F164" s="156">
        <v>263.69</v>
      </c>
      <c r="G164" s="199" t="s">
        <v>59</v>
      </c>
      <c r="H164" s="474"/>
      <c r="I164" s="156">
        <v>-3.98</v>
      </c>
      <c r="J164" s="473">
        <v>-1.1599999999999999</v>
      </c>
      <c r="K164" s="60">
        <v>-1.08</v>
      </c>
      <c r="L164" s="491">
        <f t="shared" si="11"/>
        <v>30.312900000000003</v>
      </c>
      <c r="M164" s="481" t="s">
        <v>236</v>
      </c>
      <c r="N164" s="296" t="s">
        <v>16</v>
      </c>
      <c r="O164" s="156" t="s">
        <v>192</v>
      </c>
      <c r="P164" s="298" t="s">
        <v>35</v>
      </c>
      <c r="Q164" s="314" t="s">
        <v>58</v>
      </c>
      <c r="R164" s="307" t="s">
        <v>40</v>
      </c>
      <c r="S164" s="299" t="s">
        <v>254</v>
      </c>
      <c r="T164" s="300"/>
    </row>
    <row r="165" spans="1:20">
      <c r="A165" s="427" t="s">
        <v>53</v>
      </c>
      <c r="B165" s="199"/>
      <c r="C165" s="199"/>
      <c r="D165" s="199"/>
      <c r="E165" s="199"/>
      <c r="F165" s="156">
        <v>264.27999999999997</v>
      </c>
      <c r="G165" s="199" t="s">
        <v>59</v>
      </c>
      <c r="H165" s="474"/>
      <c r="I165" s="156">
        <v>-2.83</v>
      </c>
      <c r="J165" s="473">
        <v>-1.1599999999999999</v>
      </c>
      <c r="K165" s="60">
        <v>-1.08</v>
      </c>
      <c r="L165" s="491">
        <f t="shared" si="11"/>
        <v>24.495625</v>
      </c>
      <c r="M165" s="481" t="s">
        <v>260</v>
      </c>
      <c r="N165" s="296" t="s">
        <v>16</v>
      </c>
      <c r="O165" s="156" t="s">
        <v>192</v>
      </c>
      <c r="P165" s="298" t="s">
        <v>35</v>
      </c>
      <c r="Q165" s="314" t="s">
        <v>58</v>
      </c>
      <c r="R165" s="307" t="s">
        <v>40</v>
      </c>
      <c r="S165" s="299" t="s">
        <v>254</v>
      </c>
      <c r="T165" s="300"/>
    </row>
    <row r="166" spans="1:20">
      <c r="A166" s="427" t="s">
        <v>53</v>
      </c>
      <c r="B166" s="199"/>
      <c r="C166" s="199"/>
      <c r="D166" s="199"/>
      <c r="E166" s="199"/>
      <c r="F166" s="156">
        <v>264.89</v>
      </c>
      <c r="G166" s="199" t="s">
        <v>59</v>
      </c>
      <c r="H166" s="474"/>
      <c r="I166" s="156">
        <v>-2.85</v>
      </c>
      <c r="J166" s="473">
        <v>-1.1599999999999999</v>
      </c>
      <c r="K166" s="60">
        <v>-1.08</v>
      </c>
      <c r="L166" s="491">
        <f t="shared" si="11"/>
        <v>24.594761000000002</v>
      </c>
      <c r="M166" s="481" t="s">
        <v>260</v>
      </c>
      <c r="N166" s="296" t="s">
        <v>16</v>
      </c>
      <c r="O166" s="156" t="s">
        <v>192</v>
      </c>
      <c r="P166" s="298" t="s">
        <v>35</v>
      </c>
      <c r="Q166" s="314" t="s">
        <v>58</v>
      </c>
      <c r="R166" s="307" t="s">
        <v>40</v>
      </c>
      <c r="S166" s="299" t="s">
        <v>254</v>
      </c>
      <c r="T166" s="300"/>
    </row>
    <row r="167" spans="1:20">
      <c r="A167" s="427" t="s">
        <v>53</v>
      </c>
      <c r="B167" s="199"/>
      <c r="C167" s="199"/>
      <c r="D167" s="199"/>
      <c r="E167" s="199"/>
      <c r="F167" s="156">
        <v>265.45999999999998</v>
      </c>
      <c r="G167" s="199" t="s">
        <v>59</v>
      </c>
      <c r="H167" s="474"/>
      <c r="I167" s="156">
        <v>-3.5</v>
      </c>
      <c r="J167" s="473">
        <v>-1.1599999999999999</v>
      </c>
      <c r="K167" s="60">
        <v>-1.08</v>
      </c>
      <c r="L167" s="491">
        <f t="shared" si="11"/>
        <v>27.855876000000002</v>
      </c>
      <c r="M167" s="481" t="s">
        <v>260</v>
      </c>
      <c r="N167" s="296" t="s">
        <v>16</v>
      </c>
      <c r="O167" s="156" t="s">
        <v>192</v>
      </c>
      <c r="P167" s="298" t="s">
        <v>35</v>
      </c>
      <c r="Q167" s="314" t="s">
        <v>58</v>
      </c>
      <c r="R167" s="307" t="s">
        <v>40</v>
      </c>
      <c r="S167" s="299" t="s">
        <v>254</v>
      </c>
      <c r="T167" s="300"/>
    </row>
    <row r="168" spans="1:20">
      <c r="A168" s="427" t="s">
        <v>53</v>
      </c>
      <c r="B168" s="199"/>
      <c r="C168" s="199"/>
      <c r="D168" s="199"/>
      <c r="E168" s="199"/>
      <c r="F168" s="156">
        <v>265.45999999999998</v>
      </c>
      <c r="G168" s="199" t="s">
        <v>59</v>
      </c>
      <c r="H168" s="474"/>
      <c r="I168" s="156">
        <v>-3.76</v>
      </c>
      <c r="J168" s="473">
        <v>-1.1599999999999999</v>
      </c>
      <c r="K168" s="60">
        <v>-1.08</v>
      </c>
      <c r="L168" s="491">
        <f t="shared" si="11"/>
        <v>29.181615999999998</v>
      </c>
      <c r="M168" s="481" t="s">
        <v>237</v>
      </c>
      <c r="N168" s="296" t="s">
        <v>16</v>
      </c>
      <c r="O168" s="156" t="s">
        <v>192</v>
      </c>
      <c r="P168" s="298" t="s">
        <v>35</v>
      </c>
      <c r="Q168" s="314" t="s">
        <v>58</v>
      </c>
      <c r="R168" s="307" t="s">
        <v>40</v>
      </c>
      <c r="S168" s="299" t="s">
        <v>254</v>
      </c>
      <c r="T168" s="300"/>
    </row>
    <row r="169" spans="1:20">
      <c r="A169" s="427" t="s">
        <v>53</v>
      </c>
      <c r="B169" s="199"/>
      <c r="C169" s="199"/>
      <c r="D169" s="199"/>
      <c r="E169" s="199"/>
      <c r="F169" s="156">
        <v>266.11</v>
      </c>
      <c r="G169" s="199" t="s">
        <v>59</v>
      </c>
      <c r="H169" s="474"/>
      <c r="I169" s="156">
        <v>-2.86</v>
      </c>
      <c r="J169" s="473">
        <v>-1.1599999999999999</v>
      </c>
      <c r="K169" s="60">
        <v>-1.08</v>
      </c>
      <c r="L169" s="491">
        <f t="shared" si="11"/>
        <v>24.644356000000002</v>
      </c>
      <c r="M169" s="481" t="s">
        <v>260</v>
      </c>
      <c r="N169" s="296" t="s">
        <v>16</v>
      </c>
      <c r="O169" s="156" t="s">
        <v>192</v>
      </c>
      <c r="P169" s="298" t="s">
        <v>35</v>
      </c>
      <c r="Q169" s="314" t="s">
        <v>58</v>
      </c>
      <c r="R169" s="307" t="s">
        <v>40</v>
      </c>
      <c r="S169" s="299" t="s">
        <v>254</v>
      </c>
      <c r="T169" s="300"/>
    </row>
    <row r="170" spans="1:20">
      <c r="A170" s="427" t="s">
        <v>53</v>
      </c>
      <c r="B170" s="199"/>
      <c r="C170" s="199"/>
      <c r="D170" s="199"/>
      <c r="E170" s="199"/>
      <c r="F170" s="156">
        <v>266.72000000000003</v>
      </c>
      <c r="G170" s="199" t="s">
        <v>59</v>
      </c>
      <c r="H170" s="474"/>
      <c r="I170" s="156">
        <v>-3.02</v>
      </c>
      <c r="J170" s="473">
        <v>-1.1599999999999999</v>
      </c>
      <c r="K170" s="60">
        <v>-1.08</v>
      </c>
      <c r="L170" s="491">
        <f t="shared" si="11"/>
        <v>25.440324</v>
      </c>
      <c r="M170" s="481" t="s">
        <v>260</v>
      </c>
      <c r="N170" s="296" t="s">
        <v>16</v>
      </c>
      <c r="O170" s="156" t="s">
        <v>192</v>
      </c>
      <c r="P170" s="298" t="s">
        <v>35</v>
      </c>
      <c r="Q170" s="314" t="s">
        <v>58</v>
      </c>
      <c r="R170" s="307" t="s">
        <v>40</v>
      </c>
      <c r="S170" s="299" t="s">
        <v>254</v>
      </c>
      <c r="T170" s="300"/>
    </row>
    <row r="171" spans="1:20">
      <c r="A171" s="427" t="s">
        <v>53</v>
      </c>
      <c r="B171" s="199"/>
      <c r="C171" s="199"/>
      <c r="D171" s="199"/>
      <c r="E171" s="199"/>
      <c r="F171" s="156">
        <v>267.33</v>
      </c>
      <c r="G171" s="199" t="s">
        <v>20</v>
      </c>
      <c r="H171" s="474"/>
      <c r="I171" s="156">
        <v>-3.21</v>
      </c>
      <c r="J171" s="473">
        <v>-1.1599999999999999</v>
      </c>
      <c r="K171" s="60">
        <v>-1.08</v>
      </c>
      <c r="L171" s="492">
        <f t="shared" si="11"/>
        <v>26.391521000000001</v>
      </c>
      <c r="M171" s="481" t="s">
        <v>260</v>
      </c>
      <c r="N171" s="296" t="s">
        <v>16</v>
      </c>
      <c r="O171" s="156" t="s">
        <v>192</v>
      </c>
      <c r="P171" s="298" t="s">
        <v>35</v>
      </c>
      <c r="Q171" s="314" t="s">
        <v>58</v>
      </c>
      <c r="R171" s="307" t="s">
        <v>40</v>
      </c>
      <c r="S171" s="299" t="s">
        <v>254</v>
      </c>
      <c r="T171" s="300"/>
    </row>
    <row r="172" spans="1:20">
      <c r="A172" s="427" t="s">
        <v>53</v>
      </c>
      <c r="B172" s="199"/>
      <c r="C172" s="199"/>
      <c r="D172" s="199"/>
      <c r="E172" s="199"/>
      <c r="F172" s="156">
        <v>267.95999999999998</v>
      </c>
      <c r="G172" s="199" t="s">
        <v>20</v>
      </c>
      <c r="H172" s="474"/>
      <c r="I172" s="156">
        <v>-3.03</v>
      </c>
      <c r="J172" s="473">
        <v>-1.1599999999999999</v>
      </c>
      <c r="K172" s="60">
        <v>-1.08</v>
      </c>
      <c r="L172" s="492">
        <f t="shared" si="11"/>
        <v>25.490224999999999</v>
      </c>
      <c r="M172" s="481" t="s">
        <v>260</v>
      </c>
      <c r="N172" s="296" t="s">
        <v>16</v>
      </c>
      <c r="O172" s="156" t="s">
        <v>192</v>
      </c>
      <c r="P172" s="298" t="s">
        <v>35</v>
      </c>
      <c r="Q172" s="314" t="s">
        <v>58</v>
      </c>
      <c r="R172" s="307" t="s">
        <v>40</v>
      </c>
      <c r="S172" s="299" t="s">
        <v>254</v>
      </c>
      <c r="T172" s="300"/>
    </row>
    <row r="173" spans="1:20">
      <c r="A173" s="431" t="s">
        <v>53</v>
      </c>
      <c r="B173" s="432"/>
      <c r="C173" s="432"/>
      <c r="D173" s="432"/>
      <c r="E173" s="432"/>
      <c r="F173" s="226">
        <v>273.25</v>
      </c>
      <c r="G173" s="432" t="s">
        <v>20</v>
      </c>
      <c r="H173" s="476"/>
      <c r="I173" s="226">
        <v>-3.39</v>
      </c>
      <c r="J173" s="478">
        <v>-1.1599999999999999</v>
      </c>
      <c r="K173" s="179">
        <v>-1.08</v>
      </c>
      <c r="L173" s="495">
        <f t="shared" si="11"/>
        <v>27.298649000000001</v>
      </c>
      <c r="M173" s="479" t="s">
        <v>260</v>
      </c>
      <c r="N173" s="386" t="s">
        <v>16</v>
      </c>
      <c r="O173" s="226" t="s">
        <v>192</v>
      </c>
      <c r="P173" s="390" t="s">
        <v>35</v>
      </c>
      <c r="Q173" s="388" t="s">
        <v>58</v>
      </c>
      <c r="R173" s="387" t="s">
        <v>40</v>
      </c>
      <c r="S173" s="299" t="s">
        <v>254</v>
      </c>
      <c r="T173" s="300"/>
    </row>
    <row r="174" spans="1:20">
      <c r="A174" s="427" t="s">
        <v>53</v>
      </c>
      <c r="B174" s="199"/>
      <c r="C174" s="199"/>
      <c r="D174" s="199"/>
      <c r="E174" s="199"/>
      <c r="F174" s="156">
        <v>257.55</v>
      </c>
      <c r="G174" s="199"/>
      <c r="H174" s="474"/>
      <c r="I174" s="156">
        <v>-1.91</v>
      </c>
      <c r="J174" s="473">
        <v>-1.1599999999999999</v>
      </c>
      <c r="K174" s="60">
        <v>-1.08</v>
      </c>
      <c r="L174" s="491">
        <f t="shared" ref="L174:L222" si="12">16.1-4.64*($I174-K174)+0.09*($I174-K174)^2</f>
        <v>20.013200999999999</v>
      </c>
      <c r="M174" s="481" t="s">
        <v>256</v>
      </c>
      <c r="N174" s="296" t="s">
        <v>16</v>
      </c>
      <c r="O174" s="156" t="s">
        <v>37</v>
      </c>
      <c r="P174" s="298" t="s">
        <v>44</v>
      </c>
      <c r="Q174" s="314" t="s">
        <v>58</v>
      </c>
      <c r="R174" s="307" t="s">
        <v>40</v>
      </c>
      <c r="S174" s="299" t="s">
        <v>254</v>
      </c>
      <c r="T174" s="300"/>
    </row>
    <row r="175" spans="1:20">
      <c r="A175" s="427" t="s">
        <v>53</v>
      </c>
      <c r="B175" s="199"/>
      <c r="C175" s="199"/>
      <c r="D175" s="199"/>
      <c r="E175" s="199"/>
      <c r="F175" s="156">
        <v>257.91000000000003</v>
      </c>
      <c r="G175" s="199"/>
      <c r="H175" s="474"/>
      <c r="I175" s="156">
        <v>-1.58</v>
      </c>
      <c r="J175" s="473">
        <v>-1.1599999999999999</v>
      </c>
      <c r="K175" s="60">
        <v>-1.08</v>
      </c>
      <c r="L175" s="491">
        <f t="shared" si="12"/>
        <v>18.442500000000003</v>
      </c>
      <c r="M175" s="481" t="s">
        <v>256</v>
      </c>
      <c r="N175" s="296" t="s">
        <v>16</v>
      </c>
      <c r="O175" s="156" t="s">
        <v>37</v>
      </c>
      <c r="P175" s="298" t="s">
        <v>44</v>
      </c>
      <c r="Q175" s="314" t="s">
        <v>58</v>
      </c>
      <c r="R175" s="307" t="s">
        <v>40</v>
      </c>
      <c r="S175" s="299" t="s">
        <v>254</v>
      </c>
      <c r="T175" s="300"/>
    </row>
    <row r="176" spans="1:20">
      <c r="A176" s="427" t="s">
        <v>53</v>
      </c>
      <c r="B176" s="199"/>
      <c r="C176" s="199"/>
      <c r="D176" s="199"/>
      <c r="E176" s="199"/>
      <c r="F176" s="156">
        <v>258.3</v>
      </c>
      <c r="G176" s="199"/>
      <c r="H176" s="474"/>
      <c r="I176" s="156">
        <v>-1.91</v>
      </c>
      <c r="J176" s="473">
        <v>-1.1599999999999999</v>
      </c>
      <c r="K176" s="60">
        <v>-1.08</v>
      </c>
      <c r="L176" s="491">
        <f t="shared" si="12"/>
        <v>20.013200999999999</v>
      </c>
      <c r="M176" s="481" t="s">
        <v>256</v>
      </c>
      <c r="N176" s="296" t="s">
        <v>16</v>
      </c>
      <c r="O176" s="156" t="s">
        <v>37</v>
      </c>
      <c r="P176" s="298" t="s">
        <v>44</v>
      </c>
      <c r="Q176" s="314" t="s">
        <v>58</v>
      </c>
      <c r="R176" s="307" t="s">
        <v>40</v>
      </c>
      <c r="S176" s="299" t="s">
        <v>254</v>
      </c>
      <c r="T176" s="300"/>
    </row>
    <row r="177" spans="1:20">
      <c r="A177" s="427" t="s">
        <v>53</v>
      </c>
      <c r="B177" s="199"/>
      <c r="C177" s="199"/>
      <c r="D177" s="199"/>
      <c r="E177" s="199"/>
      <c r="F177" s="156">
        <v>258.43</v>
      </c>
      <c r="G177" s="199"/>
      <c r="H177" s="474"/>
      <c r="I177" s="156">
        <v>-2</v>
      </c>
      <c r="J177" s="473">
        <v>-1.1599999999999999</v>
      </c>
      <c r="K177" s="60">
        <v>-1.08</v>
      </c>
      <c r="L177" s="491">
        <f t="shared" si="12"/>
        <v>20.444976</v>
      </c>
      <c r="M177" s="481" t="s">
        <v>256</v>
      </c>
      <c r="N177" s="296" t="s">
        <v>16</v>
      </c>
      <c r="O177" s="156" t="s">
        <v>37</v>
      </c>
      <c r="P177" s="298" t="s">
        <v>44</v>
      </c>
      <c r="Q177" s="314" t="s">
        <v>58</v>
      </c>
      <c r="R177" s="307" t="s">
        <v>40</v>
      </c>
      <c r="S177" s="299" t="s">
        <v>254</v>
      </c>
      <c r="T177" s="300"/>
    </row>
    <row r="178" spans="1:20">
      <c r="A178" s="427" t="s">
        <v>53</v>
      </c>
      <c r="B178" s="199"/>
      <c r="C178" s="199"/>
      <c r="D178" s="199"/>
      <c r="E178" s="199"/>
      <c r="F178" s="156">
        <v>259.13</v>
      </c>
      <c r="G178" s="199"/>
      <c r="H178" s="474"/>
      <c r="I178" s="156">
        <v>-1.64</v>
      </c>
      <c r="J178" s="473">
        <v>-1.1599999999999999</v>
      </c>
      <c r="K178" s="60">
        <v>-1.08</v>
      </c>
      <c r="L178" s="491">
        <f t="shared" si="12"/>
        <v>18.726624000000001</v>
      </c>
      <c r="M178" s="481" t="s">
        <v>256</v>
      </c>
      <c r="N178" s="296" t="s">
        <v>16</v>
      </c>
      <c r="O178" s="156" t="s">
        <v>37</v>
      </c>
      <c r="P178" s="298" t="s">
        <v>44</v>
      </c>
      <c r="Q178" s="314" t="s">
        <v>58</v>
      </c>
      <c r="R178" s="307" t="s">
        <v>40</v>
      </c>
      <c r="S178" s="299" t="s">
        <v>254</v>
      </c>
      <c r="T178" s="300"/>
    </row>
    <row r="179" spans="1:20">
      <c r="A179" s="427" t="s">
        <v>53</v>
      </c>
      <c r="B179" s="199"/>
      <c r="C179" s="199"/>
      <c r="D179" s="199"/>
      <c r="E179" s="199"/>
      <c r="F179" s="156">
        <v>259.43</v>
      </c>
      <c r="G179" s="199"/>
      <c r="H179" s="474"/>
      <c r="I179" s="156">
        <v>-1.6</v>
      </c>
      <c r="J179" s="473">
        <v>-1.1599999999999999</v>
      </c>
      <c r="K179" s="60">
        <v>-1.08</v>
      </c>
      <c r="L179" s="491">
        <f t="shared" si="12"/>
        <v>18.537136000000004</v>
      </c>
      <c r="M179" s="481" t="s">
        <v>256</v>
      </c>
      <c r="N179" s="296" t="s">
        <v>16</v>
      </c>
      <c r="O179" s="156" t="s">
        <v>37</v>
      </c>
      <c r="P179" s="298" t="s">
        <v>44</v>
      </c>
      <c r="Q179" s="314" t="s">
        <v>58</v>
      </c>
      <c r="R179" s="307" t="s">
        <v>40</v>
      </c>
      <c r="S179" s="299" t="s">
        <v>254</v>
      </c>
      <c r="T179" s="300"/>
    </row>
    <row r="180" spans="1:20">
      <c r="A180" s="427" t="s">
        <v>53</v>
      </c>
      <c r="B180" s="199"/>
      <c r="C180" s="199"/>
      <c r="D180" s="199"/>
      <c r="E180" s="199"/>
      <c r="F180" s="156">
        <v>259.67</v>
      </c>
      <c r="G180" s="199"/>
      <c r="H180" s="474"/>
      <c r="I180" s="156">
        <v>-1.75</v>
      </c>
      <c r="J180" s="473">
        <v>-1.1599999999999999</v>
      </c>
      <c r="K180" s="60">
        <v>-1.08</v>
      </c>
      <c r="L180" s="491">
        <f t="shared" si="12"/>
        <v>19.249200999999999</v>
      </c>
      <c r="M180" s="481" t="s">
        <v>256</v>
      </c>
      <c r="N180" s="296" t="s">
        <v>16</v>
      </c>
      <c r="O180" s="156" t="s">
        <v>37</v>
      </c>
      <c r="P180" s="298" t="s">
        <v>44</v>
      </c>
      <c r="Q180" s="314" t="s">
        <v>58</v>
      </c>
      <c r="R180" s="307" t="s">
        <v>40</v>
      </c>
      <c r="S180" s="299" t="s">
        <v>254</v>
      </c>
      <c r="T180" s="300"/>
    </row>
    <row r="181" spans="1:20">
      <c r="A181" s="427" t="s">
        <v>53</v>
      </c>
      <c r="B181" s="199"/>
      <c r="C181" s="199"/>
      <c r="D181" s="199"/>
      <c r="E181" s="199"/>
      <c r="F181" s="156">
        <v>259.8</v>
      </c>
      <c r="G181" s="199"/>
      <c r="H181" s="474"/>
      <c r="I181" s="156">
        <v>-1.86</v>
      </c>
      <c r="J181" s="473">
        <v>-1.1599999999999999</v>
      </c>
      <c r="K181" s="60">
        <v>-1.08</v>
      </c>
      <c r="L181" s="491">
        <f t="shared" si="12"/>
        <v>19.773956000000002</v>
      </c>
      <c r="M181" s="481" t="s">
        <v>256</v>
      </c>
      <c r="N181" s="296" t="s">
        <v>16</v>
      </c>
      <c r="O181" s="156" t="s">
        <v>37</v>
      </c>
      <c r="P181" s="298" t="s">
        <v>44</v>
      </c>
      <c r="Q181" s="314" t="s">
        <v>58</v>
      </c>
      <c r="R181" s="307" t="s">
        <v>40</v>
      </c>
      <c r="S181" s="299" t="s">
        <v>254</v>
      </c>
      <c r="T181" s="300"/>
    </row>
    <row r="182" spans="1:20">
      <c r="A182" s="427" t="s">
        <v>53</v>
      </c>
      <c r="B182" s="199"/>
      <c r="C182" s="199"/>
      <c r="D182" s="199"/>
      <c r="E182" s="199"/>
      <c r="F182" s="156">
        <v>259.95</v>
      </c>
      <c r="G182" s="199"/>
      <c r="H182" s="474"/>
      <c r="I182" s="156">
        <v>-1.84</v>
      </c>
      <c r="J182" s="473">
        <v>-1.1599999999999999</v>
      </c>
      <c r="K182" s="60">
        <v>-1.08</v>
      </c>
      <c r="L182" s="491">
        <f t="shared" si="12"/>
        <v>19.678384000000001</v>
      </c>
      <c r="M182" s="481" t="s">
        <v>256</v>
      </c>
      <c r="N182" s="296" t="s">
        <v>16</v>
      </c>
      <c r="O182" s="156" t="s">
        <v>37</v>
      </c>
      <c r="P182" s="298" t="s">
        <v>44</v>
      </c>
      <c r="Q182" s="314" t="s">
        <v>58</v>
      </c>
      <c r="R182" s="307" t="s">
        <v>40</v>
      </c>
      <c r="S182" s="299" t="s">
        <v>254</v>
      </c>
      <c r="T182" s="300"/>
    </row>
    <row r="183" spans="1:20">
      <c r="A183" s="427" t="s">
        <v>53</v>
      </c>
      <c r="B183" s="199"/>
      <c r="C183" s="199"/>
      <c r="D183" s="199"/>
      <c r="E183" s="199"/>
      <c r="F183" s="156">
        <v>260.06</v>
      </c>
      <c r="G183" s="199"/>
      <c r="H183" s="474"/>
      <c r="I183" s="156">
        <v>-1.51</v>
      </c>
      <c r="J183" s="473">
        <v>-1.1599999999999999</v>
      </c>
      <c r="K183" s="60">
        <v>-1.08</v>
      </c>
      <c r="L183" s="491">
        <f t="shared" si="12"/>
        <v>18.111841000000002</v>
      </c>
      <c r="M183" s="481" t="s">
        <v>256</v>
      </c>
      <c r="N183" s="296" t="s">
        <v>16</v>
      </c>
      <c r="O183" s="156" t="s">
        <v>37</v>
      </c>
      <c r="P183" s="298" t="s">
        <v>44</v>
      </c>
      <c r="Q183" s="314" t="s">
        <v>58</v>
      </c>
      <c r="R183" s="307" t="s">
        <v>40</v>
      </c>
      <c r="S183" s="299" t="s">
        <v>254</v>
      </c>
      <c r="T183" s="300"/>
    </row>
    <row r="184" spans="1:20">
      <c r="A184" s="427" t="s">
        <v>53</v>
      </c>
      <c r="B184" s="199"/>
      <c r="C184" s="199"/>
      <c r="D184" s="199"/>
      <c r="E184" s="199"/>
      <c r="F184" s="156">
        <v>260.27999999999997</v>
      </c>
      <c r="G184" s="199"/>
      <c r="H184" s="474"/>
      <c r="I184" s="156">
        <v>-1.32</v>
      </c>
      <c r="J184" s="473">
        <v>-1.1599999999999999</v>
      </c>
      <c r="K184" s="60">
        <v>-1.08</v>
      </c>
      <c r="L184" s="491">
        <f t="shared" si="12"/>
        <v>17.218783999999999</v>
      </c>
      <c r="M184" s="481" t="s">
        <v>256</v>
      </c>
      <c r="N184" s="296" t="s">
        <v>16</v>
      </c>
      <c r="O184" s="156" t="s">
        <v>37</v>
      </c>
      <c r="P184" s="298" t="s">
        <v>44</v>
      </c>
      <c r="Q184" s="314" t="s">
        <v>58</v>
      </c>
      <c r="R184" s="307" t="s">
        <v>40</v>
      </c>
      <c r="S184" s="299" t="s">
        <v>254</v>
      </c>
      <c r="T184" s="300"/>
    </row>
    <row r="185" spans="1:20">
      <c r="A185" s="427" t="s">
        <v>53</v>
      </c>
      <c r="B185" s="199"/>
      <c r="C185" s="199"/>
      <c r="D185" s="199"/>
      <c r="E185" s="199"/>
      <c r="F185" s="156">
        <v>260.43</v>
      </c>
      <c r="G185" s="199"/>
      <c r="H185" s="474"/>
      <c r="I185" s="156">
        <v>-1.54</v>
      </c>
      <c r="J185" s="473">
        <v>-1.1599999999999999</v>
      </c>
      <c r="K185" s="60">
        <v>-1.08</v>
      </c>
      <c r="L185" s="491">
        <f t="shared" si="12"/>
        <v>18.253444000000002</v>
      </c>
      <c r="M185" s="481" t="s">
        <v>256</v>
      </c>
      <c r="N185" s="296" t="s">
        <v>16</v>
      </c>
      <c r="O185" s="156" t="s">
        <v>37</v>
      </c>
      <c r="P185" s="298" t="s">
        <v>44</v>
      </c>
      <c r="Q185" s="314" t="s">
        <v>58</v>
      </c>
      <c r="R185" s="307" t="s">
        <v>40</v>
      </c>
      <c r="S185" s="299" t="s">
        <v>254</v>
      </c>
      <c r="T185" s="300"/>
    </row>
    <row r="186" spans="1:20">
      <c r="A186" s="427" t="s">
        <v>53</v>
      </c>
      <c r="B186" s="199"/>
      <c r="C186" s="199"/>
      <c r="D186" s="199"/>
      <c r="E186" s="199"/>
      <c r="F186" s="156">
        <v>260.68</v>
      </c>
      <c r="G186" s="199"/>
      <c r="H186" s="474"/>
      <c r="I186" s="156">
        <v>-1.49</v>
      </c>
      <c r="J186" s="473">
        <v>-1.1599999999999999</v>
      </c>
      <c r="K186" s="60">
        <v>-1.08</v>
      </c>
      <c r="L186" s="491">
        <f t="shared" si="12"/>
        <v>18.017529000000003</v>
      </c>
      <c r="M186" s="481" t="s">
        <v>256</v>
      </c>
      <c r="N186" s="296" t="s">
        <v>16</v>
      </c>
      <c r="O186" s="156" t="s">
        <v>37</v>
      </c>
      <c r="P186" s="298" t="s">
        <v>44</v>
      </c>
      <c r="Q186" s="314" t="s">
        <v>58</v>
      </c>
      <c r="R186" s="307" t="s">
        <v>40</v>
      </c>
      <c r="S186" s="299" t="s">
        <v>254</v>
      </c>
      <c r="T186" s="300"/>
    </row>
    <row r="187" spans="1:20">
      <c r="A187" s="427" t="s">
        <v>53</v>
      </c>
      <c r="B187" s="199"/>
      <c r="C187" s="199"/>
      <c r="D187" s="199"/>
      <c r="E187" s="199"/>
      <c r="F187" s="156">
        <v>260.89</v>
      </c>
      <c r="G187" s="199" t="s">
        <v>380</v>
      </c>
      <c r="H187" s="474"/>
      <c r="I187" s="156">
        <v>-1.76</v>
      </c>
      <c r="J187" s="473">
        <v>-1.1599999999999999</v>
      </c>
      <c r="K187" s="60">
        <v>-1.08</v>
      </c>
      <c r="L187" s="491">
        <f t="shared" si="12"/>
        <v>19.296816000000003</v>
      </c>
      <c r="M187" s="481" t="s">
        <v>256</v>
      </c>
      <c r="N187" s="296" t="s">
        <v>16</v>
      </c>
      <c r="O187" s="156" t="s">
        <v>37</v>
      </c>
      <c r="P187" s="298" t="s">
        <v>44</v>
      </c>
      <c r="Q187" s="314" t="s">
        <v>58</v>
      </c>
      <c r="R187" s="307" t="s">
        <v>40</v>
      </c>
      <c r="S187" s="299" t="s">
        <v>254</v>
      </c>
      <c r="T187" s="300"/>
    </row>
    <row r="188" spans="1:20">
      <c r="A188" s="427" t="s">
        <v>53</v>
      </c>
      <c r="B188" s="199"/>
      <c r="C188" s="199"/>
      <c r="D188" s="199"/>
      <c r="E188" s="199"/>
      <c r="F188" s="156">
        <v>261.23</v>
      </c>
      <c r="G188" s="199" t="s">
        <v>59</v>
      </c>
      <c r="H188" s="474"/>
      <c r="I188" s="156">
        <v>-1.78</v>
      </c>
      <c r="J188" s="473">
        <v>-1.1599999999999999</v>
      </c>
      <c r="K188" s="60">
        <v>-1.08</v>
      </c>
      <c r="L188" s="491">
        <f t="shared" si="12"/>
        <v>19.392100000000003</v>
      </c>
      <c r="M188" s="481" t="s">
        <v>256</v>
      </c>
      <c r="N188" s="296" t="s">
        <v>16</v>
      </c>
      <c r="O188" s="156" t="s">
        <v>192</v>
      </c>
      <c r="P188" s="298" t="s">
        <v>44</v>
      </c>
      <c r="Q188" s="314" t="s">
        <v>58</v>
      </c>
      <c r="R188" s="307" t="s">
        <v>40</v>
      </c>
      <c r="S188" s="299" t="s">
        <v>254</v>
      </c>
      <c r="T188" s="300"/>
    </row>
    <row r="189" spans="1:20">
      <c r="A189" s="427" t="s">
        <v>53</v>
      </c>
      <c r="B189" s="199"/>
      <c r="C189" s="199"/>
      <c r="D189" s="199"/>
      <c r="E189" s="199"/>
      <c r="F189" s="156">
        <v>261.52999999999997</v>
      </c>
      <c r="G189" s="199" t="s">
        <v>59</v>
      </c>
      <c r="H189" s="474"/>
      <c r="I189" s="156">
        <v>-2.2599999999999998</v>
      </c>
      <c r="J189" s="473">
        <v>-1.1599999999999999</v>
      </c>
      <c r="K189" s="60">
        <v>-1.08</v>
      </c>
      <c r="L189" s="491">
        <f t="shared" si="12"/>
        <v>21.700516</v>
      </c>
      <c r="M189" s="481" t="s">
        <v>256</v>
      </c>
      <c r="N189" s="296" t="s">
        <v>16</v>
      </c>
      <c r="O189" s="156" t="s">
        <v>192</v>
      </c>
      <c r="P189" s="298" t="s">
        <v>44</v>
      </c>
      <c r="Q189" s="314" t="s">
        <v>58</v>
      </c>
      <c r="R189" s="307" t="s">
        <v>40</v>
      </c>
      <c r="S189" s="299" t="s">
        <v>254</v>
      </c>
      <c r="T189" s="300"/>
    </row>
    <row r="190" spans="1:20">
      <c r="A190" s="427" t="s">
        <v>53</v>
      </c>
      <c r="B190" s="199"/>
      <c r="C190" s="199"/>
      <c r="D190" s="199"/>
      <c r="E190" s="199"/>
      <c r="F190" s="156">
        <v>261.7</v>
      </c>
      <c r="G190" s="199" t="s">
        <v>59</v>
      </c>
      <c r="H190" s="474"/>
      <c r="I190" s="156">
        <v>-2.0099999999999998</v>
      </c>
      <c r="J190" s="473">
        <v>-1.1599999999999999</v>
      </c>
      <c r="K190" s="60">
        <v>-1.08</v>
      </c>
      <c r="L190" s="491">
        <f t="shared" si="12"/>
        <v>20.493040999999998</v>
      </c>
      <c r="M190" s="481" t="s">
        <v>256</v>
      </c>
      <c r="N190" s="296" t="s">
        <v>16</v>
      </c>
      <c r="O190" s="156" t="s">
        <v>192</v>
      </c>
      <c r="P190" s="298" t="s">
        <v>44</v>
      </c>
      <c r="Q190" s="314" t="s">
        <v>58</v>
      </c>
      <c r="R190" s="307" t="s">
        <v>40</v>
      </c>
      <c r="S190" s="299" t="s">
        <v>254</v>
      </c>
      <c r="T190" s="300"/>
    </row>
    <row r="191" spans="1:20">
      <c r="A191" s="427" t="s">
        <v>53</v>
      </c>
      <c r="B191" s="199"/>
      <c r="C191" s="199"/>
      <c r="D191" s="199"/>
      <c r="E191" s="199"/>
      <c r="F191" s="156">
        <v>261.82</v>
      </c>
      <c r="G191" s="199" t="s">
        <v>59</v>
      </c>
      <c r="H191" s="474"/>
      <c r="I191" s="156">
        <v>-2.34</v>
      </c>
      <c r="J191" s="473">
        <v>-1.1599999999999999</v>
      </c>
      <c r="K191" s="60">
        <v>-1.08</v>
      </c>
      <c r="L191" s="491">
        <f t="shared" si="12"/>
        <v>22.089283999999999</v>
      </c>
      <c r="M191" s="481" t="s">
        <v>256</v>
      </c>
      <c r="N191" s="296" t="s">
        <v>16</v>
      </c>
      <c r="O191" s="156" t="s">
        <v>192</v>
      </c>
      <c r="P191" s="298" t="s">
        <v>44</v>
      </c>
      <c r="Q191" s="314" t="s">
        <v>58</v>
      </c>
      <c r="R191" s="307" t="s">
        <v>40</v>
      </c>
      <c r="S191" s="299" t="s">
        <v>254</v>
      </c>
      <c r="T191" s="300"/>
    </row>
    <row r="192" spans="1:20">
      <c r="A192" s="427" t="s">
        <v>53</v>
      </c>
      <c r="B192" s="199"/>
      <c r="C192" s="199"/>
      <c r="D192" s="199"/>
      <c r="E192" s="199"/>
      <c r="F192" s="156">
        <v>261.89999999999998</v>
      </c>
      <c r="G192" s="199" t="s">
        <v>59</v>
      </c>
      <c r="H192" s="474"/>
      <c r="I192" s="156">
        <v>-2.25</v>
      </c>
      <c r="J192" s="473">
        <v>-1.1599999999999999</v>
      </c>
      <c r="K192" s="60">
        <v>-1.08</v>
      </c>
      <c r="L192" s="491">
        <f t="shared" si="12"/>
        <v>21.652001000000002</v>
      </c>
      <c r="M192" s="481" t="s">
        <v>256</v>
      </c>
      <c r="N192" s="296" t="s">
        <v>16</v>
      </c>
      <c r="O192" s="156" t="s">
        <v>192</v>
      </c>
      <c r="P192" s="298" t="s">
        <v>44</v>
      </c>
      <c r="Q192" s="314" t="s">
        <v>58</v>
      </c>
      <c r="R192" s="307" t="s">
        <v>40</v>
      </c>
      <c r="S192" s="299" t="s">
        <v>254</v>
      </c>
      <c r="T192" s="300"/>
    </row>
    <row r="193" spans="1:20">
      <c r="A193" s="427" t="s">
        <v>53</v>
      </c>
      <c r="B193" s="199"/>
      <c r="C193" s="199"/>
      <c r="D193" s="199"/>
      <c r="E193" s="199"/>
      <c r="F193" s="156">
        <v>261.99</v>
      </c>
      <c r="G193" s="199" t="s">
        <v>59</v>
      </c>
      <c r="H193" s="474"/>
      <c r="I193" s="156">
        <v>-2.36</v>
      </c>
      <c r="J193" s="473">
        <v>-1.1599999999999999</v>
      </c>
      <c r="K193" s="60">
        <v>-1.08</v>
      </c>
      <c r="L193" s="491">
        <f t="shared" si="12"/>
        <v>22.186655999999999</v>
      </c>
      <c r="M193" s="481" t="s">
        <v>256</v>
      </c>
      <c r="N193" s="296" t="s">
        <v>16</v>
      </c>
      <c r="O193" s="156" t="s">
        <v>192</v>
      </c>
      <c r="P193" s="298" t="s">
        <v>44</v>
      </c>
      <c r="Q193" s="314" t="s">
        <v>58</v>
      </c>
      <c r="R193" s="307" t="s">
        <v>40</v>
      </c>
      <c r="S193" s="299" t="s">
        <v>254</v>
      </c>
      <c r="T193" s="300"/>
    </row>
    <row r="194" spans="1:20">
      <c r="A194" s="427" t="s">
        <v>53</v>
      </c>
      <c r="B194" s="199"/>
      <c r="C194" s="199"/>
      <c r="D194" s="199"/>
      <c r="E194" s="199"/>
      <c r="F194" s="156">
        <v>262.12</v>
      </c>
      <c r="G194" s="199" t="s">
        <v>59</v>
      </c>
      <c r="H194" s="474"/>
      <c r="I194" s="156">
        <v>-2.35</v>
      </c>
      <c r="J194" s="473">
        <v>-1.1599999999999999</v>
      </c>
      <c r="K194" s="60">
        <v>-1.08</v>
      </c>
      <c r="L194" s="491">
        <f t="shared" si="12"/>
        <v>22.137961000000004</v>
      </c>
      <c r="M194" s="481" t="s">
        <v>256</v>
      </c>
      <c r="N194" s="296" t="s">
        <v>16</v>
      </c>
      <c r="O194" s="156" t="s">
        <v>192</v>
      </c>
      <c r="P194" s="298" t="s">
        <v>44</v>
      </c>
      <c r="Q194" s="314" t="s">
        <v>58</v>
      </c>
      <c r="R194" s="307" t="s">
        <v>40</v>
      </c>
      <c r="S194" s="299" t="s">
        <v>254</v>
      </c>
      <c r="T194" s="300"/>
    </row>
    <row r="195" spans="1:20">
      <c r="A195" s="427" t="s">
        <v>53</v>
      </c>
      <c r="B195" s="199"/>
      <c r="C195" s="199"/>
      <c r="D195" s="199"/>
      <c r="E195" s="199"/>
      <c r="F195" s="156">
        <v>262.27999999999997</v>
      </c>
      <c r="G195" s="199" t="s">
        <v>59</v>
      </c>
      <c r="H195" s="474"/>
      <c r="I195" s="156">
        <v>-2.46</v>
      </c>
      <c r="J195" s="473">
        <v>-1.1599999999999999</v>
      </c>
      <c r="K195" s="60">
        <v>-1.08</v>
      </c>
      <c r="L195" s="491">
        <f t="shared" si="12"/>
        <v>22.674596000000001</v>
      </c>
      <c r="M195" s="481" t="s">
        <v>256</v>
      </c>
      <c r="N195" s="296" t="s">
        <v>16</v>
      </c>
      <c r="O195" s="156" t="s">
        <v>192</v>
      </c>
      <c r="P195" s="298" t="s">
        <v>44</v>
      </c>
      <c r="Q195" s="314" t="s">
        <v>58</v>
      </c>
      <c r="R195" s="307" t="s">
        <v>40</v>
      </c>
      <c r="S195" s="299" t="s">
        <v>254</v>
      </c>
      <c r="T195" s="300"/>
    </row>
    <row r="196" spans="1:20">
      <c r="A196" s="427" t="s">
        <v>53</v>
      </c>
      <c r="B196" s="199"/>
      <c r="C196" s="199"/>
      <c r="D196" s="199"/>
      <c r="E196" s="199"/>
      <c r="F196" s="156">
        <v>262.48</v>
      </c>
      <c r="G196" s="199" t="s">
        <v>59</v>
      </c>
      <c r="H196" s="474"/>
      <c r="I196" s="156">
        <v>-2.5</v>
      </c>
      <c r="J196" s="473">
        <v>-1.1599999999999999</v>
      </c>
      <c r="K196" s="60">
        <v>-1.08</v>
      </c>
      <c r="L196" s="491">
        <f t="shared" si="12"/>
        <v>22.870276</v>
      </c>
      <c r="M196" s="481" t="s">
        <v>256</v>
      </c>
      <c r="N196" s="296" t="s">
        <v>16</v>
      </c>
      <c r="O196" s="156" t="s">
        <v>192</v>
      </c>
      <c r="P196" s="298" t="s">
        <v>44</v>
      </c>
      <c r="Q196" s="314" t="s">
        <v>58</v>
      </c>
      <c r="R196" s="307" t="s">
        <v>40</v>
      </c>
      <c r="S196" s="299" t="s">
        <v>254</v>
      </c>
      <c r="T196" s="300"/>
    </row>
    <row r="197" spans="1:20">
      <c r="A197" s="427" t="s">
        <v>53</v>
      </c>
      <c r="B197" s="199"/>
      <c r="C197" s="199"/>
      <c r="D197" s="199"/>
      <c r="E197" s="199"/>
      <c r="F197" s="156">
        <v>262.72000000000003</v>
      </c>
      <c r="G197" s="199" t="s">
        <v>59</v>
      </c>
      <c r="H197" s="474"/>
      <c r="I197" s="156">
        <v>-2.65</v>
      </c>
      <c r="J197" s="473">
        <v>-1.1599999999999999</v>
      </c>
      <c r="K197" s="60">
        <v>-1.08</v>
      </c>
      <c r="L197" s="491">
        <f t="shared" si="12"/>
        <v>23.606641</v>
      </c>
      <c r="M197" s="481" t="s">
        <v>256</v>
      </c>
      <c r="N197" s="296" t="s">
        <v>16</v>
      </c>
      <c r="O197" s="156" t="s">
        <v>192</v>
      </c>
      <c r="P197" s="298" t="s">
        <v>44</v>
      </c>
      <c r="Q197" s="314" t="s">
        <v>58</v>
      </c>
      <c r="R197" s="307" t="s">
        <v>40</v>
      </c>
      <c r="S197" s="299" t="s">
        <v>254</v>
      </c>
      <c r="T197" s="300"/>
    </row>
    <row r="198" spans="1:20">
      <c r="A198" s="427" t="s">
        <v>53</v>
      </c>
      <c r="B198" s="199"/>
      <c r="C198" s="199"/>
      <c r="D198" s="199"/>
      <c r="E198" s="199"/>
      <c r="F198" s="156">
        <v>263.07</v>
      </c>
      <c r="G198" s="199" t="s">
        <v>59</v>
      </c>
      <c r="H198" s="474"/>
      <c r="I198" s="156">
        <v>-2.8</v>
      </c>
      <c r="J198" s="473">
        <v>-1.1599999999999999</v>
      </c>
      <c r="K198" s="60">
        <v>-1.08</v>
      </c>
      <c r="L198" s="491">
        <f t="shared" si="12"/>
        <v>24.347055999999998</v>
      </c>
      <c r="M198" s="481" t="s">
        <v>256</v>
      </c>
      <c r="N198" s="296" t="s">
        <v>16</v>
      </c>
      <c r="O198" s="156" t="s">
        <v>192</v>
      </c>
      <c r="P198" s="298" t="s">
        <v>44</v>
      </c>
      <c r="Q198" s="314" t="s">
        <v>58</v>
      </c>
      <c r="R198" s="307" t="s">
        <v>40</v>
      </c>
      <c r="S198" s="299" t="s">
        <v>254</v>
      </c>
      <c r="T198" s="300"/>
    </row>
    <row r="199" spans="1:20">
      <c r="A199" s="427" t="s">
        <v>53</v>
      </c>
      <c r="B199" s="199"/>
      <c r="C199" s="199"/>
      <c r="D199" s="199"/>
      <c r="E199" s="199"/>
      <c r="F199" s="156">
        <v>263.36</v>
      </c>
      <c r="G199" s="199" t="s">
        <v>59</v>
      </c>
      <c r="H199" s="474"/>
      <c r="I199" s="156">
        <v>-2.65</v>
      </c>
      <c r="J199" s="473">
        <v>-1.1599999999999999</v>
      </c>
      <c r="K199" s="60">
        <v>-1.08</v>
      </c>
      <c r="L199" s="491">
        <f t="shared" si="12"/>
        <v>23.606641</v>
      </c>
      <c r="M199" s="481" t="s">
        <v>256</v>
      </c>
      <c r="N199" s="296" t="s">
        <v>16</v>
      </c>
      <c r="O199" s="156" t="s">
        <v>192</v>
      </c>
      <c r="P199" s="298" t="s">
        <v>44</v>
      </c>
      <c r="Q199" s="314" t="s">
        <v>58</v>
      </c>
      <c r="R199" s="307" t="s">
        <v>40</v>
      </c>
      <c r="S199" s="299" t="s">
        <v>254</v>
      </c>
      <c r="T199" s="300"/>
    </row>
    <row r="200" spans="1:20">
      <c r="A200" s="427" t="s">
        <v>53</v>
      </c>
      <c r="B200" s="199"/>
      <c r="C200" s="199"/>
      <c r="D200" s="199"/>
      <c r="E200" s="199"/>
      <c r="F200" s="156">
        <v>263.69</v>
      </c>
      <c r="G200" s="199" t="s">
        <v>59</v>
      </c>
      <c r="H200" s="474"/>
      <c r="I200" s="156">
        <v>-2.78</v>
      </c>
      <c r="J200" s="473">
        <v>-1.1599999999999999</v>
      </c>
      <c r="K200" s="60">
        <v>-1.08</v>
      </c>
      <c r="L200" s="491">
        <f t="shared" si="12"/>
        <v>24.248100000000001</v>
      </c>
      <c r="M200" s="481" t="s">
        <v>256</v>
      </c>
      <c r="N200" s="296" t="s">
        <v>16</v>
      </c>
      <c r="O200" s="156" t="s">
        <v>192</v>
      </c>
      <c r="P200" s="298" t="s">
        <v>44</v>
      </c>
      <c r="Q200" s="314" t="s">
        <v>58</v>
      </c>
      <c r="R200" s="307" t="s">
        <v>40</v>
      </c>
      <c r="S200" s="299" t="s">
        <v>254</v>
      </c>
      <c r="T200" s="300"/>
    </row>
    <row r="201" spans="1:20">
      <c r="A201" s="427" t="s">
        <v>53</v>
      </c>
      <c r="B201" s="199"/>
      <c r="C201" s="199"/>
      <c r="D201" s="199"/>
      <c r="E201" s="199"/>
      <c r="F201" s="156">
        <v>264.27999999999997</v>
      </c>
      <c r="G201" s="199" t="s">
        <v>59</v>
      </c>
      <c r="H201" s="474"/>
      <c r="I201" s="156">
        <v>-2.79</v>
      </c>
      <c r="J201" s="473">
        <v>-1.1599999999999999</v>
      </c>
      <c r="K201" s="60">
        <v>-1.08</v>
      </c>
      <c r="L201" s="491">
        <f t="shared" si="12"/>
        <v>24.297569000000003</v>
      </c>
      <c r="M201" s="481" t="s">
        <v>256</v>
      </c>
      <c r="N201" s="296" t="s">
        <v>16</v>
      </c>
      <c r="O201" s="156" t="s">
        <v>192</v>
      </c>
      <c r="P201" s="298" t="s">
        <v>44</v>
      </c>
      <c r="Q201" s="314" t="s">
        <v>58</v>
      </c>
      <c r="R201" s="307" t="s">
        <v>40</v>
      </c>
      <c r="S201" s="299" t="s">
        <v>254</v>
      </c>
      <c r="T201" s="300"/>
    </row>
    <row r="202" spans="1:20">
      <c r="A202" s="427" t="s">
        <v>53</v>
      </c>
      <c r="B202" s="199"/>
      <c r="C202" s="199"/>
      <c r="D202" s="199"/>
      <c r="E202" s="199"/>
      <c r="F202" s="156">
        <v>264.89</v>
      </c>
      <c r="G202" s="199" t="s">
        <v>59</v>
      </c>
      <c r="H202" s="474"/>
      <c r="I202" s="156">
        <v>-2.4900000000000002</v>
      </c>
      <c r="J202" s="473">
        <v>-1.1599999999999999</v>
      </c>
      <c r="K202" s="60">
        <v>-1.08</v>
      </c>
      <c r="L202" s="491">
        <f t="shared" si="12"/>
        <v>22.821329000000002</v>
      </c>
      <c r="M202" s="481" t="s">
        <v>256</v>
      </c>
      <c r="N202" s="296" t="s">
        <v>16</v>
      </c>
      <c r="O202" s="156" t="s">
        <v>192</v>
      </c>
      <c r="P202" s="298" t="s">
        <v>44</v>
      </c>
      <c r="Q202" s="314" t="s">
        <v>58</v>
      </c>
      <c r="R202" s="307" t="s">
        <v>40</v>
      </c>
      <c r="S202" s="299" t="s">
        <v>254</v>
      </c>
      <c r="T202" s="300"/>
    </row>
    <row r="203" spans="1:20">
      <c r="A203" s="427" t="s">
        <v>53</v>
      </c>
      <c r="B203" s="199"/>
      <c r="C203" s="199"/>
      <c r="D203" s="199"/>
      <c r="E203" s="199"/>
      <c r="F203" s="156">
        <v>265.45999999999998</v>
      </c>
      <c r="G203" s="199" t="s">
        <v>59</v>
      </c>
      <c r="H203" s="474"/>
      <c r="I203" s="156">
        <v>-2.77</v>
      </c>
      <c r="J203" s="473">
        <v>-1.1599999999999999</v>
      </c>
      <c r="K203" s="60">
        <v>-1.08</v>
      </c>
      <c r="L203" s="491">
        <f t="shared" si="12"/>
        <v>24.198649</v>
      </c>
      <c r="M203" s="481" t="s">
        <v>256</v>
      </c>
      <c r="N203" s="296" t="s">
        <v>16</v>
      </c>
      <c r="O203" s="156" t="s">
        <v>192</v>
      </c>
      <c r="P203" s="298" t="s">
        <v>44</v>
      </c>
      <c r="Q203" s="314" t="s">
        <v>58</v>
      </c>
      <c r="R203" s="307" t="s">
        <v>40</v>
      </c>
      <c r="S203" s="299" t="s">
        <v>254</v>
      </c>
      <c r="T203" s="300"/>
    </row>
    <row r="204" spans="1:20">
      <c r="A204" s="427" t="s">
        <v>53</v>
      </c>
      <c r="B204" s="199"/>
      <c r="C204" s="199"/>
      <c r="D204" s="199"/>
      <c r="E204" s="199"/>
      <c r="F204" s="156">
        <v>266.11</v>
      </c>
      <c r="G204" s="199" t="s">
        <v>59</v>
      </c>
      <c r="H204" s="474"/>
      <c r="I204" s="156">
        <v>-2.97</v>
      </c>
      <c r="J204" s="473">
        <v>-1.1599999999999999</v>
      </c>
      <c r="K204" s="60">
        <v>-1.08</v>
      </c>
      <c r="L204" s="491">
        <f t="shared" si="12"/>
        <v>25.191089000000002</v>
      </c>
      <c r="M204" s="481" t="s">
        <v>256</v>
      </c>
      <c r="N204" s="296" t="s">
        <v>16</v>
      </c>
      <c r="O204" s="156" t="s">
        <v>192</v>
      </c>
      <c r="P204" s="298" t="s">
        <v>44</v>
      </c>
      <c r="Q204" s="314" t="s">
        <v>58</v>
      </c>
      <c r="R204" s="307" t="s">
        <v>40</v>
      </c>
      <c r="S204" s="299" t="s">
        <v>254</v>
      </c>
      <c r="T204" s="300"/>
    </row>
    <row r="205" spans="1:20">
      <c r="A205" s="427" t="s">
        <v>53</v>
      </c>
      <c r="B205" s="199"/>
      <c r="C205" s="199"/>
      <c r="D205" s="199"/>
      <c r="E205" s="199"/>
      <c r="F205" s="156">
        <v>266.72000000000003</v>
      </c>
      <c r="G205" s="199" t="s">
        <v>59</v>
      </c>
      <c r="H205" s="474"/>
      <c r="I205" s="156">
        <v>-3.06</v>
      </c>
      <c r="J205" s="473">
        <v>-1.1599999999999999</v>
      </c>
      <c r="K205" s="60">
        <v>-1.08</v>
      </c>
      <c r="L205" s="491">
        <f t="shared" si="12"/>
        <v>25.640035999999998</v>
      </c>
      <c r="M205" s="481" t="s">
        <v>256</v>
      </c>
      <c r="N205" s="296" t="s">
        <v>16</v>
      </c>
      <c r="O205" s="156" t="s">
        <v>192</v>
      </c>
      <c r="P205" s="298" t="s">
        <v>44</v>
      </c>
      <c r="Q205" s="314" t="s">
        <v>58</v>
      </c>
      <c r="R205" s="307" t="s">
        <v>40</v>
      </c>
      <c r="S205" s="299" t="s">
        <v>254</v>
      </c>
      <c r="T205" s="300"/>
    </row>
    <row r="206" spans="1:20">
      <c r="A206" s="427" t="s">
        <v>53</v>
      </c>
      <c r="B206" s="199"/>
      <c r="C206" s="199"/>
      <c r="D206" s="199"/>
      <c r="E206" s="199"/>
      <c r="F206" s="156">
        <v>267.33</v>
      </c>
      <c r="G206" s="145" t="s">
        <v>20</v>
      </c>
      <c r="H206" s="474"/>
      <c r="I206" s="156">
        <v>-2.94</v>
      </c>
      <c r="J206" s="473">
        <v>-1.1599999999999999</v>
      </c>
      <c r="K206" s="60">
        <v>-1.08</v>
      </c>
      <c r="L206" s="491">
        <f t="shared" si="12"/>
        <v>25.041764000000001</v>
      </c>
      <c r="M206" s="481" t="s">
        <v>256</v>
      </c>
      <c r="N206" s="296" t="s">
        <v>16</v>
      </c>
      <c r="O206" s="156" t="s">
        <v>192</v>
      </c>
      <c r="P206" s="298" t="s">
        <v>44</v>
      </c>
      <c r="Q206" s="314" t="s">
        <v>58</v>
      </c>
      <c r="R206" s="307" t="s">
        <v>40</v>
      </c>
      <c r="S206" s="299" t="s">
        <v>254</v>
      </c>
      <c r="T206" s="300"/>
    </row>
    <row r="207" spans="1:20">
      <c r="A207" s="427" t="s">
        <v>53</v>
      </c>
      <c r="B207" s="199"/>
      <c r="C207" s="199"/>
      <c r="D207" s="199"/>
      <c r="E207" s="199"/>
      <c r="F207" s="156">
        <v>267.95999999999998</v>
      </c>
      <c r="G207" s="145" t="s">
        <v>20</v>
      </c>
      <c r="H207" s="474"/>
      <c r="I207" s="156">
        <v>-2.97</v>
      </c>
      <c r="J207" s="473">
        <v>-1.1599999999999999</v>
      </c>
      <c r="K207" s="60">
        <v>-1.08</v>
      </c>
      <c r="L207" s="491">
        <f t="shared" si="12"/>
        <v>25.191089000000002</v>
      </c>
      <c r="M207" s="481" t="s">
        <v>256</v>
      </c>
      <c r="N207" s="296" t="s">
        <v>16</v>
      </c>
      <c r="O207" s="156" t="s">
        <v>192</v>
      </c>
      <c r="P207" s="298" t="s">
        <v>44</v>
      </c>
      <c r="Q207" s="314" t="s">
        <v>58</v>
      </c>
      <c r="R207" s="307" t="s">
        <v>40</v>
      </c>
      <c r="S207" s="299" t="s">
        <v>254</v>
      </c>
      <c r="T207" s="300"/>
    </row>
    <row r="208" spans="1:20">
      <c r="A208" s="427" t="s">
        <v>53</v>
      </c>
      <c r="B208" s="199"/>
      <c r="C208" s="199"/>
      <c r="D208" s="199"/>
      <c r="E208" s="199"/>
      <c r="F208" s="156">
        <v>268.57</v>
      </c>
      <c r="G208" s="145" t="s">
        <v>20</v>
      </c>
      <c r="H208" s="474"/>
      <c r="I208" s="156">
        <v>-3.2</v>
      </c>
      <c r="J208" s="473">
        <v>-1.1599999999999999</v>
      </c>
      <c r="K208" s="60">
        <v>-1.08</v>
      </c>
      <c r="L208" s="491">
        <f t="shared" si="12"/>
        <v>26.341296000000003</v>
      </c>
      <c r="M208" s="481" t="s">
        <v>256</v>
      </c>
      <c r="N208" s="296" t="s">
        <v>16</v>
      </c>
      <c r="O208" s="156" t="s">
        <v>192</v>
      </c>
      <c r="P208" s="298" t="s">
        <v>44</v>
      </c>
      <c r="Q208" s="314" t="s">
        <v>58</v>
      </c>
      <c r="R208" s="307" t="s">
        <v>40</v>
      </c>
      <c r="S208" s="299" t="s">
        <v>254</v>
      </c>
      <c r="T208" s="300"/>
    </row>
    <row r="209" spans="1:20">
      <c r="A209" s="427" t="s">
        <v>53</v>
      </c>
      <c r="B209" s="199"/>
      <c r="C209" s="199"/>
      <c r="D209" s="199"/>
      <c r="E209" s="199"/>
      <c r="F209" s="156">
        <v>269.17</v>
      </c>
      <c r="G209" s="145" t="s">
        <v>20</v>
      </c>
      <c r="H209" s="474"/>
      <c r="I209" s="156">
        <v>-3.39</v>
      </c>
      <c r="J209" s="473">
        <v>-1.1599999999999999</v>
      </c>
      <c r="K209" s="60">
        <v>-1.08</v>
      </c>
      <c r="L209" s="491">
        <f t="shared" si="12"/>
        <v>27.298649000000001</v>
      </c>
      <c r="M209" s="481" t="s">
        <v>256</v>
      </c>
      <c r="N209" s="296" t="s">
        <v>16</v>
      </c>
      <c r="O209" s="156" t="s">
        <v>192</v>
      </c>
      <c r="P209" s="298" t="s">
        <v>44</v>
      </c>
      <c r="Q209" s="314" t="s">
        <v>58</v>
      </c>
      <c r="R209" s="307" t="s">
        <v>40</v>
      </c>
      <c r="S209" s="299" t="s">
        <v>254</v>
      </c>
      <c r="T209" s="300"/>
    </row>
    <row r="210" spans="1:20">
      <c r="A210" s="427" t="s">
        <v>53</v>
      </c>
      <c r="B210" s="199"/>
      <c r="C210" s="199"/>
      <c r="D210" s="199"/>
      <c r="E210" s="199"/>
      <c r="F210" s="156">
        <v>269.77999999999997</v>
      </c>
      <c r="G210" s="145" t="s">
        <v>20</v>
      </c>
      <c r="H210" s="474"/>
      <c r="I210" s="156">
        <v>-2.98</v>
      </c>
      <c r="J210" s="473">
        <v>-1.1599999999999999</v>
      </c>
      <c r="K210" s="60">
        <v>-1.08</v>
      </c>
      <c r="L210" s="491">
        <f t="shared" si="12"/>
        <v>25.2409</v>
      </c>
      <c r="M210" s="481" t="s">
        <v>256</v>
      </c>
      <c r="N210" s="296" t="s">
        <v>16</v>
      </c>
      <c r="O210" s="156" t="s">
        <v>192</v>
      </c>
      <c r="P210" s="298" t="s">
        <v>44</v>
      </c>
      <c r="Q210" s="314" t="s">
        <v>58</v>
      </c>
      <c r="R210" s="307" t="s">
        <v>40</v>
      </c>
      <c r="S210" s="299" t="s">
        <v>254</v>
      </c>
      <c r="T210" s="300"/>
    </row>
    <row r="211" spans="1:20">
      <c r="A211" s="427" t="s">
        <v>53</v>
      </c>
      <c r="B211" s="199"/>
      <c r="C211" s="199"/>
      <c r="D211" s="199"/>
      <c r="E211" s="199"/>
      <c r="F211" s="156">
        <v>270.37</v>
      </c>
      <c r="G211" s="145" t="s">
        <v>20</v>
      </c>
      <c r="H211" s="474"/>
      <c r="I211" s="156">
        <v>-3.33</v>
      </c>
      <c r="J211" s="473">
        <v>-1.1599999999999999</v>
      </c>
      <c r="K211" s="60">
        <v>-1.08</v>
      </c>
      <c r="L211" s="491">
        <f t="shared" si="12"/>
        <v>26.995625</v>
      </c>
      <c r="M211" s="481" t="s">
        <v>256</v>
      </c>
      <c r="N211" s="296" t="s">
        <v>16</v>
      </c>
      <c r="O211" s="156" t="s">
        <v>192</v>
      </c>
      <c r="P211" s="298" t="s">
        <v>44</v>
      </c>
      <c r="Q211" s="314" t="s">
        <v>58</v>
      </c>
      <c r="R211" s="307" t="s">
        <v>40</v>
      </c>
      <c r="S211" s="299" t="s">
        <v>254</v>
      </c>
      <c r="T211" s="300"/>
    </row>
    <row r="212" spans="1:20">
      <c r="A212" s="427" t="s">
        <v>53</v>
      </c>
      <c r="B212" s="199"/>
      <c r="C212" s="199"/>
      <c r="D212" s="199"/>
      <c r="E212" s="199"/>
      <c r="F212" s="156">
        <v>271.01</v>
      </c>
      <c r="G212" s="145" t="s">
        <v>20</v>
      </c>
      <c r="H212" s="474"/>
      <c r="I212" s="156">
        <v>-3.07</v>
      </c>
      <c r="J212" s="473">
        <v>-1.1599999999999999</v>
      </c>
      <c r="K212" s="60">
        <v>-1.08</v>
      </c>
      <c r="L212" s="491">
        <f t="shared" si="12"/>
        <v>25.690009</v>
      </c>
      <c r="M212" s="481" t="s">
        <v>256</v>
      </c>
      <c r="N212" s="296" t="s">
        <v>16</v>
      </c>
      <c r="O212" s="156" t="s">
        <v>192</v>
      </c>
      <c r="P212" s="298" t="s">
        <v>44</v>
      </c>
      <c r="Q212" s="314" t="s">
        <v>58</v>
      </c>
      <c r="R212" s="307" t="s">
        <v>40</v>
      </c>
      <c r="S212" s="299" t="s">
        <v>254</v>
      </c>
      <c r="T212" s="300"/>
    </row>
    <row r="213" spans="1:20">
      <c r="A213" s="427" t="s">
        <v>53</v>
      </c>
      <c r="B213" s="199"/>
      <c r="C213" s="199"/>
      <c r="D213" s="199"/>
      <c r="E213" s="199"/>
      <c r="F213" s="156">
        <v>271.39</v>
      </c>
      <c r="G213" s="145" t="s">
        <v>20</v>
      </c>
      <c r="H213" s="474"/>
      <c r="I213" s="156">
        <v>-3.35</v>
      </c>
      <c r="J213" s="473">
        <v>-1.1599999999999999</v>
      </c>
      <c r="K213" s="60">
        <v>-1.08</v>
      </c>
      <c r="L213" s="491">
        <f t="shared" si="12"/>
        <v>27.096561000000005</v>
      </c>
      <c r="M213" s="481" t="s">
        <v>256</v>
      </c>
      <c r="N213" s="296" t="s">
        <v>16</v>
      </c>
      <c r="O213" s="156" t="s">
        <v>37</v>
      </c>
      <c r="P213" s="298" t="s">
        <v>44</v>
      </c>
      <c r="Q213" s="314" t="s">
        <v>58</v>
      </c>
      <c r="R213" s="307" t="s">
        <v>40</v>
      </c>
      <c r="S213" s="299" t="s">
        <v>254</v>
      </c>
      <c r="T213" s="300"/>
    </row>
    <row r="214" spans="1:20">
      <c r="A214" s="427" t="s">
        <v>53</v>
      </c>
      <c r="B214" s="199"/>
      <c r="C214" s="199"/>
      <c r="D214" s="199"/>
      <c r="E214" s="199"/>
      <c r="F214" s="156">
        <v>271.56</v>
      </c>
      <c r="G214" s="145" t="s">
        <v>20</v>
      </c>
      <c r="H214" s="474"/>
      <c r="I214" s="156">
        <v>-3.11</v>
      </c>
      <c r="J214" s="473">
        <v>-1.1599999999999999</v>
      </c>
      <c r="K214" s="60">
        <v>-1.08</v>
      </c>
      <c r="L214" s="491">
        <f t="shared" si="12"/>
        <v>25.890080999999999</v>
      </c>
      <c r="M214" s="481" t="s">
        <v>256</v>
      </c>
      <c r="N214" s="296" t="s">
        <v>16</v>
      </c>
      <c r="O214" s="156" t="s">
        <v>192</v>
      </c>
      <c r="P214" s="298" t="s">
        <v>44</v>
      </c>
      <c r="Q214" s="314" t="s">
        <v>58</v>
      </c>
      <c r="R214" s="307" t="s">
        <v>40</v>
      </c>
      <c r="S214" s="299" t="s">
        <v>254</v>
      </c>
      <c r="T214" s="300"/>
    </row>
    <row r="215" spans="1:20">
      <c r="A215" s="427" t="s">
        <v>53</v>
      </c>
      <c r="B215" s="199"/>
      <c r="C215" s="199"/>
      <c r="D215" s="199"/>
      <c r="E215" s="199"/>
      <c r="F215" s="156">
        <v>272.68</v>
      </c>
      <c r="G215" s="145" t="s">
        <v>20</v>
      </c>
      <c r="H215" s="474"/>
      <c r="I215" s="156">
        <v>-3.81</v>
      </c>
      <c r="J215" s="473">
        <v>-1.1599999999999999</v>
      </c>
      <c r="K215" s="60">
        <v>-1.08</v>
      </c>
      <c r="L215" s="491">
        <f t="shared" si="12"/>
        <v>29.437961000000001</v>
      </c>
      <c r="M215" s="481" t="s">
        <v>256</v>
      </c>
      <c r="N215" s="296" t="s">
        <v>16</v>
      </c>
      <c r="O215" s="156" t="s">
        <v>37</v>
      </c>
      <c r="P215" s="298" t="s">
        <v>44</v>
      </c>
      <c r="Q215" s="314" t="s">
        <v>58</v>
      </c>
      <c r="R215" s="307" t="s">
        <v>40</v>
      </c>
      <c r="S215" s="299" t="s">
        <v>254</v>
      </c>
      <c r="T215" s="300"/>
    </row>
    <row r="216" spans="1:20">
      <c r="A216" s="427" t="s">
        <v>53</v>
      </c>
      <c r="B216" s="199"/>
      <c r="C216" s="199"/>
      <c r="D216" s="199"/>
      <c r="E216" s="199"/>
      <c r="F216" s="156">
        <v>272.83999999999997</v>
      </c>
      <c r="G216" s="145" t="s">
        <v>20</v>
      </c>
      <c r="H216" s="474"/>
      <c r="I216" s="156">
        <v>-3.36</v>
      </c>
      <c r="J216" s="473">
        <v>-1.1599999999999999</v>
      </c>
      <c r="K216" s="60">
        <v>-1.08</v>
      </c>
      <c r="L216" s="491">
        <f t="shared" si="12"/>
        <v>27.147056000000003</v>
      </c>
      <c r="M216" s="481" t="s">
        <v>256</v>
      </c>
      <c r="N216" s="296" t="s">
        <v>16</v>
      </c>
      <c r="O216" s="156" t="s">
        <v>242</v>
      </c>
      <c r="P216" s="298" t="s">
        <v>44</v>
      </c>
      <c r="Q216" s="314" t="s">
        <v>58</v>
      </c>
      <c r="R216" s="307" t="s">
        <v>40</v>
      </c>
      <c r="S216" s="299" t="s">
        <v>254</v>
      </c>
      <c r="T216" s="300"/>
    </row>
    <row r="217" spans="1:20">
      <c r="A217" s="427" t="s">
        <v>53</v>
      </c>
      <c r="B217" s="199"/>
      <c r="C217" s="199"/>
      <c r="D217" s="199"/>
      <c r="E217" s="199"/>
      <c r="F217" s="156">
        <v>272.94</v>
      </c>
      <c r="G217" s="145" t="s">
        <v>20</v>
      </c>
      <c r="H217" s="474"/>
      <c r="I217" s="156">
        <v>-3.58</v>
      </c>
      <c r="J217" s="473">
        <v>-1.1599999999999999</v>
      </c>
      <c r="K217" s="60">
        <v>-1.08</v>
      </c>
      <c r="L217" s="491">
        <f t="shared" si="12"/>
        <v>28.262500000000003</v>
      </c>
      <c r="M217" s="481" t="s">
        <v>256</v>
      </c>
      <c r="N217" s="296" t="s">
        <v>16</v>
      </c>
      <c r="O217" s="156" t="s">
        <v>246</v>
      </c>
      <c r="P217" s="298" t="s">
        <v>44</v>
      </c>
      <c r="Q217" s="314" t="s">
        <v>58</v>
      </c>
      <c r="R217" s="307" t="s">
        <v>40</v>
      </c>
      <c r="S217" s="299" t="s">
        <v>254</v>
      </c>
      <c r="T217" s="300"/>
    </row>
    <row r="218" spans="1:20">
      <c r="A218" s="427" t="s">
        <v>53</v>
      </c>
      <c r="B218" s="199"/>
      <c r="C218" s="199"/>
      <c r="D218" s="199"/>
      <c r="E218" s="199"/>
      <c r="F218" s="156">
        <v>272.94</v>
      </c>
      <c r="G218" s="145" t="s">
        <v>20</v>
      </c>
      <c r="H218" s="474"/>
      <c r="I218" s="156">
        <v>-3.33</v>
      </c>
      <c r="J218" s="473">
        <v>-1.1599999999999999</v>
      </c>
      <c r="K218" s="60">
        <v>-1.08</v>
      </c>
      <c r="L218" s="491">
        <f t="shared" si="12"/>
        <v>26.995625</v>
      </c>
      <c r="M218" s="481" t="s">
        <v>256</v>
      </c>
      <c r="N218" s="296" t="s">
        <v>16</v>
      </c>
      <c r="O218" s="156" t="s">
        <v>244</v>
      </c>
      <c r="P218" s="298" t="s">
        <v>44</v>
      </c>
      <c r="Q218" s="314" t="s">
        <v>58</v>
      </c>
      <c r="R218" s="307" t="s">
        <v>40</v>
      </c>
      <c r="S218" s="299" t="s">
        <v>254</v>
      </c>
      <c r="T218" s="300"/>
    </row>
    <row r="219" spans="1:20">
      <c r="A219" s="427" t="s">
        <v>53</v>
      </c>
      <c r="B219" s="199"/>
      <c r="C219" s="199"/>
      <c r="D219" s="199"/>
      <c r="E219" s="199"/>
      <c r="F219" s="156">
        <v>273.06</v>
      </c>
      <c r="G219" s="199" t="s">
        <v>19</v>
      </c>
      <c r="H219" s="474"/>
      <c r="I219" s="156">
        <v>-3.73</v>
      </c>
      <c r="J219" s="473">
        <v>-1.1599999999999999</v>
      </c>
      <c r="K219" s="60">
        <v>-1.08</v>
      </c>
      <c r="L219" s="491">
        <f t="shared" si="12"/>
        <v>29.028025</v>
      </c>
      <c r="M219" s="481" t="s">
        <v>256</v>
      </c>
      <c r="N219" s="296" t="s">
        <v>16</v>
      </c>
      <c r="O219" s="156" t="s">
        <v>244</v>
      </c>
      <c r="P219" s="298" t="s">
        <v>44</v>
      </c>
      <c r="Q219" s="314" t="s">
        <v>58</v>
      </c>
      <c r="R219" s="307" t="s">
        <v>40</v>
      </c>
      <c r="S219" s="299" t="s">
        <v>254</v>
      </c>
      <c r="T219" s="300"/>
    </row>
    <row r="220" spans="1:20">
      <c r="A220" s="427" t="s">
        <v>53</v>
      </c>
      <c r="B220" s="199"/>
      <c r="C220" s="199"/>
      <c r="D220" s="199"/>
      <c r="E220" s="199"/>
      <c r="F220" s="156">
        <v>273.52</v>
      </c>
      <c r="G220" s="199" t="s">
        <v>19</v>
      </c>
      <c r="H220" s="474"/>
      <c r="I220" s="156">
        <v>-3.17</v>
      </c>
      <c r="J220" s="473">
        <v>-1.1599999999999999</v>
      </c>
      <c r="K220" s="60">
        <v>-1.08</v>
      </c>
      <c r="L220" s="491">
        <f t="shared" si="12"/>
        <v>26.190729000000001</v>
      </c>
      <c r="M220" s="481" t="s">
        <v>256</v>
      </c>
      <c r="N220" s="296" t="s">
        <v>16</v>
      </c>
      <c r="O220" s="156">
        <v>200</v>
      </c>
      <c r="P220" s="298" t="s">
        <v>44</v>
      </c>
      <c r="Q220" s="314" t="s">
        <v>58</v>
      </c>
      <c r="R220" s="307" t="s">
        <v>40</v>
      </c>
      <c r="S220" s="299" t="s">
        <v>254</v>
      </c>
      <c r="T220" s="300"/>
    </row>
    <row r="221" spans="1:20">
      <c r="A221" s="427" t="s">
        <v>53</v>
      </c>
      <c r="B221" s="199"/>
      <c r="C221" s="199"/>
      <c r="D221" s="199"/>
      <c r="E221" s="199"/>
      <c r="F221" s="156">
        <v>274.08999999999997</v>
      </c>
      <c r="G221" s="199" t="s">
        <v>19</v>
      </c>
      <c r="H221" s="474"/>
      <c r="I221" s="156">
        <v>-1.95</v>
      </c>
      <c r="J221" s="473">
        <v>-1.1599999999999999</v>
      </c>
      <c r="K221" s="60">
        <v>-1.08</v>
      </c>
      <c r="L221" s="491">
        <f t="shared" si="12"/>
        <v>20.204921000000002</v>
      </c>
      <c r="M221" s="481" t="s">
        <v>256</v>
      </c>
      <c r="N221" s="296" t="s">
        <v>16</v>
      </c>
      <c r="O221" s="156" t="s">
        <v>192</v>
      </c>
      <c r="P221" s="298" t="s">
        <v>44</v>
      </c>
      <c r="Q221" s="314" t="s">
        <v>58</v>
      </c>
      <c r="R221" s="307" t="s">
        <v>40</v>
      </c>
      <c r="S221" s="299" t="s">
        <v>254</v>
      </c>
      <c r="T221" s="300"/>
    </row>
    <row r="222" spans="1:20">
      <c r="A222" s="427" t="s">
        <v>53</v>
      </c>
      <c r="B222" s="199"/>
      <c r="C222" s="199"/>
      <c r="D222" s="199"/>
      <c r="E222" s="199"/>
      <c r="F222" s="156">
        <v>274.8</v>
      </c>
      <c r="G222" s="199" t="s">
        <v>19</v>
      </c>
      <c r="H222" s="474"/>
      <c r="I222" s="156">
        <v>-1.19</v>
      </c>
      <c r="J222" s="473">
        <v>-1.1599999999999999</v>
      </c>
      <c r="K222" s="60">
        <v>-1.08</v>
      </c>
      <c r="L222" s="491">
        <f t="shared" si="12"/>
        <v>16.611489000000002</v>
      </c>
      <c r="M222" s="481" t="s">
        <v>256</v>
      </c>
      <c r="N222" s="296" t="s">
        <v>16</v>
      </c>
      <c r="O222" s="156">
        <v>250</v>
      </c>
      <c r="P222" s="298" t="s">
        <v>44</v>
      </c>
      <c r="Q222" s="314" t="s">
        <v>58</v>
      </c>
      <c r="R222" s="307" t="s">
        <v>40</v>
      </c>
      <c r="S222" s="299" t="s">
        <v>254</v>
      </c>
      <c r="T222" s="300"/>
    </row>
    <row r="223" spans="1:20">
      <c r="A223" s="427" t="s">
        <v>53</v>
      </c>
      <c r="B223" s="199"/>
      <c r="C223" s="199"/>
      <c r="D223" s="199"/>
      <c r="E223" s="199"/>
      <c r="F223" s="156">
        <v>273.06</v>
      </c>
      <c r="G223" s="199" t="s">
        <v>20</v>
      </c>
      <c r="H223" s="474"/>
      <c r="I223" s="156">
        <v>-3.49</v>
      </c>
      <c r="J223" s="473">
        <v>-1.1599999999999999</v>
      </c>
      <c r="K223" s="60">
        <v>-1.08</v>
      </c>
      <c r="L223" s="491">
        <f t="shared" ref="L223:L231" si="13">16.1-4.64*($I223-K223)+0.09*($I223-K223)^2</f>
        <v>27.805129000000001</v>
      </c>
      <c r="M223" s="481" t="s">
        <v>678</v>
      </c>
      <c r="N223" s="296" t="s">
        <v>16</v>
      </c>
      <c r="O223" s="156" t="s">
        <v>246</v>
      </c>
      <c r="P223" s="298" t="s">
        <v>44</v>
      </c>
      <c r="Q223" s="314" t="s">
        <v>58</v>
      </c>
      <c r="R223" s="307" t="s">
        <v>40</v>
      </c>
      <c r="S223" s="299" t="s">
        <v>254</v>
      </c>
      <c r="T223" s="300"/>
    </row>
    <row r="224" spans="1:20">
      <c r="A224" s="427" t="s">
        <v>53</v>
      </c>
      <c r="B224" s="199"/>
      <c r="C224" s="199"/>
      <c r="D224" s="199"/>
      <c r="E224" s="199"/>
      <c r="F224" s="156">
        <v>273.06</v>
      </c>
      <c r="G224" s="199" t="s">
        <v>20</v>
      </c>
      <c r="H224" s="474"/>
      <c r="I224" s="156">
        <v>-3.97</v>
      </c>
      <c r="J224" s="473">
        <v>-1.1599999999999999</v>
      </c>
      <c r="K224" s="60">
        <v>-1.08</v>
      </c>
      <c r="L224" s="491">
        <f t="shared" si="13"/>
        <v>30.261288999999998</v>
      </c>
      <c r="M224" s="481" t="s">
        <v>678</v>
      </c>
      <c r="N224" s="296" t="s">
        <v>16</v>
      </c>
      <c r="O224" s="156" t="s">
        <v>246</v>
      </c>
      <c r="P224" s="298" t="s">
        <v>44</v>
      </c>
      <c r="Q224" s="314" t="s">
        <v>58</v>
      </c>
      <c r="R224" s="307" t="s">
        <v>40</v>
      </c>
      <c r="S224" s="299" t="s">
        <v>254</v>
      </c>
      <c r="T224" s="300"/>
    </row>
    <row r="225" spans="1:20">
      <c r="A225" s="427" t="s">
        <v>53</v>
      </c>
      <c r="B225" s="199"/>
      <c r="C225" s="199"/>
      <c r="D225" s="199"/>
      <c r="E225" s="199"/>
      <c r="F225" s="156">
        <v>273.25</v>
      </c>
      <c r="G225" s="199" t="s">
        <v>20</v>
      </c>
      <c r="H225" s="474"/>
      <c r="I225" s="156">
        <v>-3.11</v>
      </c>
      <c r="J225" s="473">
        <v>-1.1599999999999999</v>
      </c>
      <c r="K225" s="60">
        <v>-1.08</v>
      </c>
      <c r="L225" s="491">
        <f t="shared" si="13"/>
        <v>25.890080999999999</v>
      </c>
      <c r="M225" s="481" t="s">
        <v>678</v>
      </c>
      <c r="N225" s="296" t="s">
        <v>16</v>
      </c>
      <c r="O225" s="156" t="s">
        <v>245</v>
      </c>
      <c r="P225" s="298" t="s">
        <v>44</v>
      </c>
      <c r="Q225" s="314" t="s">
        <v>58</v>
      </c>
      <c r="R225" s="307" t="s">
        <v>40</v>
      </c>
      <c r="S225" s="299" t="s">
        <v>254</v>
      </c>
      <c r="T225" s="300"/>
    </row>
    <row r="226" spans="1:20">
      <c r="A226" s="427" t="s">
        <v>53</v>
      </c>
      <c r="B226" s="199"/>
      <c r="C226" s="199"/>
      <c r="D226" s="199"/>
      <c r="E226" s="199"/>
      <c r="F226" s="156">
        <v>273.33999999999997</v>
      </c>
      <c r="G226" s="199" t="s">
        <v>20</v>
      </c>
      <c r="H226" s="474"/>
      <c r="I226" s="156">
        <v>-2.98</v>
      </c>
      <c r="J226" s="473">
        <v>-1.1599999999999999</v>
      </c>
      <c r="K226" s="60">
        <v>-1.08</v>
      </c>
      <c r="L226" s="491">
        <f t="shared" si="13"/>
        <v>25.2409</v>
      </c>
      <c r="M226" s="481" t="s">
        <v>678</v>
      </c>
      <c r="N226" s="296" t="s">
        <v>16</v>
      </c>
      <c r="O226" s="156" t="s">
        <v>246</v>
      </c>
      <c r="P226" s="298" t="s">
        <v>44</v>
      </c>
      <c r="Q226" s="314" t="s">
        <v>58</v>
      </c>
      <c r="R226" s="307" t="s">
        <v>40</v>
      </c>
      <c r="S226" s="299" t="s">
        <v>254</v>
      </c>
      <c r="T226" s="300"/>
    </row>
    <row r="227" spans="1:20">
      <c r="A227" s="427" t="s">
        <v>53</v>
      </c>
      <c r="B227" s="199"/>
      <c r="C227" s="199"/>
      <c r="D227" s="199"/>
      <c r="E227" s="199"/>
      <c r="F227" s="156">
        <v>273.33999999999997</v>
      </c>
      <c r="G227" s="199" t="s">
        <v>20</v>
      </c>
      <c r="H227" s="474"/>
      <c r="I227" s="156">
        <v>-3.4</v>
      </c>
      <c r="J227" s="473">
        <v>-1.1599999999999999</v>
      </c>
      <c r="K227" s="60">
        <v>-1.08</v>
      </c>
      <c r="L227" s="491">
        <f t="shared" si="13"/>
        <v>27.349216000000002</v>
      </c>
      <c r="M227" s="481" t="s">
        <v>678</v>
      </c>
      <c r="N227" s="296" t="s">
        <v>16</v>
      </c>
      <c r="O227" s="156" t="s">
        <v>253</v>
      </c>
      <c r="P227" s="298" t="s">
        <v>44</v>
      </c>
      <c r="Q227" s="314" t="s">
        <v>58</v>
      </c>
      <c r="R227" s="307" t="s">
        <v>40</v>
      </c>
      <c r="S227" s="299" t="s">
        <v>254</v>
      </c>
      <c r="T227" s="300"/>
    </row>
    <row r="228" spans="1:20">
      <c r="A228" s="427" t="s">
        <v>53</v>
      </c>
      <c r="B228" s="199"/>
      <c r="C228" s="199"/>
      <c r="D228" s="199"/>
      <c r="E228" s="199"/>
      <c r="F228" s="156">
        <v>273.33999999999997</v>
      </c>
      <c r="G228" s="199" t="s">
        <v>20</v>
      </c>
      <c r="H228" s="474"/>
      <c r="I228" s="156">
        <v>-3.24</v>
      </c>
      <c r="J228" s="473">
        <v>-1.1599999999999999</v>
      </c>
      <c r="K228" s="60">
        <v>-1.08</v>
      </c>
      <c r="L228" s="491">
        <f t="shared" si="13"/>
        <v>26.542303999999998</v>
      </c>
      <c r="M228" s="481" t="s">
        <v>678</v>
      </c>
      <c r="N228" s="296" t="s">
        <v>16</v>
      </c>
      <c r="O228" s="156" t="s">
        <v>37</v>
      </c>
      <c r="P228" s="298" t="s">
        <v>44</v>
      </c>
      <c r="Q228" s="314" t="s">
        <v>58</v>
      </c>
      <c r="R228" s="307" t="s">
        <v>40</v>
      </c>
      <c r="S228" s="299" t="s">
        <v>254</v>
      </c>
      <c r="T228" s="300"/>
    </row>
    <row r="229" spans="1:20">
      <c r="A229" s="427" t="s">
        <v>53</v>
      </c>
      <c r="B229" s="199"/>
      <c r="C229" s="199"/>
      <c r="D229" s="199"/>
      <c r="E229" s="199"/>
      <c r="F229" s="156">
        <v>274.02</v>
      </c>
      <c r="G229" s="199" t="s">
        <v>266</v>
      </c>
      <c r="H229" s="474"/>
      <c r="I229" s="156">
        <v>-2.64</v>
      </c>
      <c r="J229" s="473">
        <v>-1.1599999999999999</v>
      </c>
      <c r="K229" s="60">
        <v>-1.08</v>
      </c>
      <c r="L229" s="491">
        <f t="shared" si="13"/>
        <v>23.557424000000001</v>
      </c>
      <c r="M229" s="481" t="s">
        <v>678</v>
      </c>
      <c r="N229" s="296" t="s">
        <v>16</v>
      </c>
      <c r="O229" s="156">
        <v>200</v>
      </c>
      <c r="P229" s="298" t="s">
        <v>44</v>
      </c>
      <c r="Q229" s="314" t="s">
        <v>58</v>
      </c>
      <c r="R229" s="307" t="s">
        <v>40</v>
      </c>
      <c r="S229" s="299" t="s">
        <v>254</v>
      </c>
      <c r="T229" s="300"/>
    </row>
    <row r="230" spans="1:20">
      <c r="A230" s="427" t="s">
        <v>53</v>
      </c>
      <c r="B230" s="199"/>
      <c r="C230" s="199"/>
      <c r="D230" s="199"/>
      <c r="E230" s="199"/>
      <c r="F230" s="156">
        <v>275.22000000000003</v>
      </c>
      <c r="G230" s="145" t="s">
        <v>19</v>
      </c>
      <c r="H230" s="474"/>
      <c r="I230" s="156">
        <v>-1.51</v>
      </c>
      <c r="J230" s="473">
        <v>-1.1599999999999999</v>
      </c>
      <c r="K230" s="60">
        <v>-1.08</v>
      </c>
      <c r="L230" s="491">
        <f t="shared" si="13"/>
        <v>18.111841000000002</v>
      </c>
      <c r="M230" s="481" t="s">
        <v>678</v>
      </c>
      <c r="N230" s="296" t="s">
        <v>16</v>
      </c>
      <c r="O230" s="156" t="s">
        <v>246</v>
      </c>
      <c r="P230" s="298" t="s">
        <v>44</v>
      </c>
      <c r="Q230" s="314" t="s">
        <v>58</v>
      </c>
      <c r="R230" s="307" t="s">
        <v>40</v>
      </c>
      <c r="S230" s="299" t="s">
        <v>254</v>
      </c>
      <c r="T230" s="300"/>
    </row>
    <row r="231" spans="1:20">
      <c r="A231" s="427" t="s">
        <v>53</v>
      </c>
      <c r="B231" s="199"/>
      <c r="C231" s="199"/>
      <c r="D231" s="199"/>
      <c r="E231" s="199"/>
      <c r="F231" s="156">
        <v>275.22000000000003</v>
      </c>
      <c r="G231" s="145" t="s">
        <v>19</v>
      </c>
      <c r="H231" s="474"/>
      <c r="I231" s="156">
        <v>-1.8</v>
      </c>
      <c r="J231" s="473">
        <v>-1.1599999999999999</v>
      </c>
      <c r="K231" s="60">
        <v>-1.08</v>
      </c>
      <c r="L231" s="491">
        <f t="shared" si="13"/>
        <v>19.487456000000002</v>
      </c>
      <c r="M231" s="481" t="s">
        <v>678</v>
      </c>
      <c r="N231" s="296" t="s">
        <v>16</v>
      </c>
      <c r="O231" s="156" t="s">
        <v>244</v>
      </c>
      <c r="P231" s="298" t="s">
        <v>44</v>
      </c>
      <c r="Q231" s="314" t="s">
        <v>58</v>
      </c>
      <c r="R231" s="307" t="s">
        <v>40</v>
      </c>
      <c r="S231" s="299" t="s">
        <v>254</v>
      </c>
      <c r="T231" s="300"/>
    </row>
    <row r="232" spans="1:20">
      <c r="A232" s="427" t="s">
        <v>53</v>
      </c>
      <c r="B232" s="199"/>
      <c r="C232" s="199"/>
      <c r="D232" s="199"/>
      <c r="E232" s="199"/>
      <c r="F232" s="156">
        <v>272.22000000000003</v>
      </c>
      <c r="G232" s="199" t="s">
        <v>20</v>
      </c>
      <c r="H232" s="474"/>
      <c r="I232" s="156">
        <v>-3.45</v>
      </c>
      <c r="J232" s="473">
        <v>-1.1599999999999999</v>
      </c>
      <c r="K232" s="60">
        <v>-1.08</v>
      </c>
      <c r="L232" s="491">
        <f t="shared" ref="L232:L233" si="14">16.1-4.64*($I232-K232)+0.09*($I232-K232)^2</f>
        <v>27.602321000000003</v>
      </c>
      <c r="M232" s="481" t="s">
        <v>255</v>
      </c>
      <c r="N232" s="296" t="s">
        <v>16</v>
      </c>
      <c r="O232" s="156">
        <v>250</v>
      </c>
      <c r="P232" s="298" t="s">
        <v>44</v>
      </c>
      <c r="Q232" s="314" t="s">
        <v>58</v>
      </c>
      <c r="R232" s="307" t="s">
        <v>40</v>
      </c>
      <c r="S232" s="299" t="s">
        <v>254</v>
      </c>
      <c r="T232" s="300"/>
    </row>
    <row r="233" spans="1:20">
      <c r="A233" s="427" t="s">
        <v>53</v>
      </c>
      <c r="B233" s="199"/>
      <c r="C233" s="199"/>
      <c r="D233" s="199"/>
      <c r="E233" s="199"/>
      <c r="F233" s="156">
        <v>275.45999999999998</v>
      </c>
      <c r="G233" s="199" t="s">
        <v>19</v>
      </c>
      <c r="H233" s="474"/>
      <c r="I233" s="156">
        <v>-1.28</v>
      </c>
      <c r="J233" s="473">
        <v>-1.1599999999999999</v>
      </c>
      <c r="K233" s="60">
        <v>-1.08</v>
      </c>
      <c r="L233" s="491">
        <f t="shared" si="14"/>
        <v>17.031600000000001</v>
      </c>
      <c r="M233" s="481" t="s">
        <v>255</v>
      </c>
      <c r="N233" s="296" t="s">
        <v>16</v>
      </c>
      <c r="O233" s="156" t="s">
        <v>192</v>
      </c>
      <c r="P233" s="298" t="s">
        <v>44</v>
      </c>
      <c r="Q233" s="314" t="s">
        <v>58</v>
      </c>
      <c r="R233" s="307" t="s">
        <v>40</v>
      </c>
      <c r="S233" s="299" t="s">
        <v>254</v>
      </c>
      <c r="T233" s="300"/>
    </row>
    <row r="234" spans="1:20">
      <c r="A234" s="427" t="s">
        <v>53</v>
      </c>
      <c r="B234" s="199"/>
      <c r="C234" s="199"/>
      <c r="D234" s="199"/>
      <c r="E234" s="199"/>
      <c r="F234" s="156">
        <v>274.05</v>
      </c>
      <c r="G234" s="199" t="s">
        <v>266</v>
      </c>
      <c r="H234" s="474"/>
      <c r="I234" s="156">
        <v>-1.99</v>
      </c>
      <c r="J234" s="473">
        <v>-1.1599999999999999</v>
      </c>
      <c r="K234" s="60">
        <v>-1.08</v>
      </c>
      <c r="L234" s="491">
        <f t="shared" ref="L234:L240" si="15">16.1-4.64*($I234-K234)+0.09*($I234-K234)^2</f>
        <v>20.396929</v>
      </c>
      <c r="M234" s="481" t="s">
        <v>198</v>
      </c>
      <c r="N234" s="296" t="s">
        <v>16</v>
      </c>
      <c r="O234" s="156">
        <v>225</v>
      </c>
      <c r="P234" s="298" t="s">
        <v>44</v>
      </c>
      <c r="Q234" s="314" t="s">
        <v>58</v>
      </c>
      <c r="R234" s="307" t="s">
        <v>40</v>
      </c>
      <c r="S234" s="299" t="s">
        <v>254</v>
      </c>
      <c r="T234" s="300"/>
    </row>
    <row r="235" spans="1:20">
      <c r="A235" s="427" t="s">
        <v>53</v>
      </c>
      <c r="B235" s="199"/>
      <c r="C235" s="199"/>
      <c r="D235" s="199"/>
      <c r="E235" s="199"/>
      <c r="F235" s="156">
        <v>274.25</v>
      </c>
      <c r="G235" s="199" t="s">
        <v>19</v>
      </c>
      <c r="H235" s="474"/>
      <c r="I235" s="156">
        <v>-2.21</v>
      </c>
      <c r="J235" s="473">
        <v>-1.1599999999999999</v>
      </c>
      <c r="K235" s="60">
        <v>-1.08</v>
      </c>
      <c r="L235" s="491">
        <f t="shared" si="15"/>
        <v>21.458120999999998</v>
      </c>
      <c r="M235" s="481" t="s">
        <v>198</v>
      </c>
      <c r="N235" s="296" t="s">
        <v>16</v>
      </c>
      <c r="O235" s="156">
        <v>150</v>
      </c>
      <c r="P235" s="298" t="s">
        <v>44</v>
      </c>
      <c r="Q235" s="314" t="s">
        <v>58</v>
      </c>
      <c r="R235" s="307" t="s">
        <v>40</v>
      </c>
      <c r="S235" s="299" t="s">
        <v>254</v>
      </c>
      <c r="T235" s="300"/>
    </row>
    <row r="236" spans="1:20">
      <c r="A236" s="427" t="s">
        <v>53</v>
      </c>
      <c r="B236" s="199"/>
      <c r="C236" s="199"/>
      <c r="D236" s="199"/>
      <c r="E236" s="199"/>
      <c r="F236" s="156">
        <v>274.39</v>
      </c>
      <c r="G236" s="199" t="s">
        <v>19</v>
      </c>
      <c r="H236" s="474"/>
      <c r="I236" s="156">
        <v>-1.65</v>
      </c>
      <c r="J236" s="473">
        <v>-1.1599999999999999</v>
      </c>
      <c r="K236" s="60">
        <v>-1.08</v>
      </c>
      <c r="L236" s="491">
        <f t="shared" si="15"/>
        <v>18.774041</v>
      </c>
      <c r="M236" s="481" t="s">
        <v>198</v>
      </c>
      <c r="N236" s="296" t="s">
        <v>16</v>
      </c>
      <c r="O236" s="156" t="s">
        <v>249</v>
      </c>
      <c r="P236" s="298" t="s">
        <v>44</v>
      </c>
      <c r="Q236" s="314" t="s">
        <v>58</v>
      </c>
      <c r="R236" s="307" t="s">
        <v>40</v>
      </c>
      <c r="S236" s="299" t="s">
        <v>254</v>
      </c>
      <c r="T236" s="300"/>
    </row>
    <row r="237" spans="1:20">
      <c r="A237" s="427" t="s">
        <v>53</v>
      </c>
      <c r="B237" s="199"/>
      <c r="C237" s="199"/>
      <c r="D237" s="199"/>
      <c r="E237" s="199"/>
      <c r="F237" s="156">
        <v>274.39</v>
      </c>
      <c r="G237" s="199" t="s">
        <v>19</v>
      </c>
      <c r="H237" s="474"/>
      <c r="I237" s="156">
        <v>-2.2000000000000002</v>
      </c>
      <c r="J237" s="473">
        <v>-1.1599999999999999</v>
      </c>
      <c r="K237" s="60">
        <v>-1.08</v>
      </c>
      <c r="L237" s="491">
        <f t="shared" si="15"/>
        <v>21.409696</v>
      </c>
      <c r="M237" s="481" t="s">
        <v>198</v>
      </c>
      <c r="N237" s="296" t="s">
        <v>16</v>
      </c>
      <c r="O237" s="156" t="s">
        <v>242</v>
      </c>
      <c r="P237" s="298" t="s">
        <v>44</v>
      </c>
      <c r="Q237" s="314" t="s">
        <v>58</v>
      </c>
      <c r="R237" s="307" t="s">
        <v>40</v>
      </c>
      <c r="S237" s="299" t="s">
        <v>254</v>
      </c>
      <c r="T237" s="300"/>
    </row>
    <row r="238" spans="1:20">
      <c r="A238" s="427" t="s">
        <v>53</v>
      </c>
      <c r="B238" s="199"/>
      <c r="C238" s="199"/>
      <c r="D238" s="199"/>
      <c r="E238" s="199"/>
      <c r="F238" s="156">
        <v>274.69</v>
      </c>
      <c r="G238" s="199" t="s">
        <v>19</v>
      </c>
      <c r="H238" s="474"/>
      <c r="I238" s="156">
        <v>-1.75</v>
      </c>
      <c r="J238" s="473">
        <v>-1.1599999999999999</v>
      </c>
      <c r="K238" s="60">
        <v>-1.08</v>
      </c>
      <c r="L238" s="491">
        <f t="shared" si="15"/>
        <v>19.249200999999999</v>
      </c>
      <c r="M238" s="481" t="s">
        <v>198</v>
      </c>
      <c r="N238" s="296" t="s">
        <v>16</v>
      </c>
      <c r="O238" s="156">
        <v>200</v>
      </c>
      <c r="P238" s="298" t="s">
        <v>44</v>
      </c>
      <c r="Q238" s="314" t="s">
        <v>58</v>
      </c>
      <c r="R238" s="307" t="s">
        <v>40</v>
      </c>
      <c r="S238" s="299" t="s">
        <v>254</v>
      </c>
      <c r="T238" s="300"/>
    </row>
    <row r="239" spans="1:20">
      <c r="A239" s="427" t="s">
        <v>53</v>
      </c>
      <c r="B239" s="199"/>
      <c r="C239" s="199"/>
      <c r="D239" s="199"/>
      <c r="E239" s="199"/>
      <c r="F239" s="156">
        <v>274.91000000000003</v>
      </c>
      <c r="G239" s="199" t="s">
        <v>19</v>
      </c>
      <c r="H239" s="474"/>
      <c r="I239" s="156">
        <v>-1.24</v>
      </c>
      <c r="J239" s="473">
        <v>-1.1599999999999999</v>
      </c>
      <c r="K239" s="60">
        <v>-1.08</v>
      </c>
      <c r="L239" s="491">
        <f t="shared" si="15"/>
        <v>16.844704</v>
      </c>
      <c r="M239" s="481" t="s">
        <v>198</v>
      </c>
      <c r="N239" s="296" t="s">
        <v>16</v>
      </c>
      <c r="O239" s="156">
        <v>200</v>
      </c>
      <c r="P239" s="298" t="s">
        <v>44</v>
      </c>
      <c r="Q239" s="314" t="s">
        <v>58</v>
      </c>
      <c r="R239" s="307" t="s">
        <v>40</v>
      </c>
      <c r="S239" s="299" t="s">
        <v>254</v>
      </c>
      <c r="T239" s="300"/>
    </row>
    <row r="240" spans="1:20">
      <c r="A240" s="427" t="s">
        <v>53</v>
      </c>
      <c r="B240" s="199"/>
      <c r="C240" s="199"/>
      <c r="D240" s="199"/>
      <c r="E240" s="199"/>
      <c r="F240" s="156">
        <v>275.45999999999998</v>
      </c>
      <c r="G240" s="199" t="s">
        <v>19</v>
      </c>
      <c r="H240" s="474"/>
      <c r="I240" s="156">
        <v>-1.81</v>
      </c>
      <c r="J240" s="473">
        <v>-1.1599999999999999</v>
      </c>
      <c r="K240" s="60">
        <v>-1.08</v>
      </c>
      <c r="L240" s="491">
        <f t="shared" si="15"/>
        <v>19.535161000000002</v>
      </c>
      <c r="M240" s="481" t="s">
        <v>198</v>
      </c>
      <c r="N240" s="296" t="s">
        <v>16</v>
      </c>
      <c r="O240" s="156">
        <v>200</v>
      </c>
      <c r="P240" s="298" t="s">
        <v>44</v>
      </c>
      <c r="Q240" s="314" t="s">
        <v>58</v>
      </c>
      <c r="R240" s="307" t="s">
        <v>40</v>
      </c>
      <c r="S240" s="299" t="s">
        <v>254</v>
      </c>
      <c r="T240" s="300"/>
    </row>
    <row r="241" spans="1:20" ht="13.5" thickBot="1">
      <c r="A241" s="200"/>
      <c r="B241" s="201"/>
      <c r="C241" s="201"/>
      <c r="D241" s="201"/>
      <c r="E241" s="201"/>
      <c r="F241" s="202"/>
      <c r="G241" s="201"/>
      <c r="H241" s="204"/>
      <c r="I241" s="325"/>
      <c r="J241" s="200"/>
      <c r="K241" s="201"/>
      <c r="L241" s="632"/>
      <c r="M241" s="202"/>
      <c r="N241" s="201"/>
      <c r="O241" s="327"/>
      <c r="P241" s="442"/>
      <c r="Q241" s="200"/>
      <c r="R241" s="204"/>
      <c r="S241" s="329"/>
      <c r="T241" s="329"/>
    </row>
    <row r="242" spans="1:20" ht="13.5" thickBot="1">
      <c r="N242" s="330"/>
    </row>
    <row r="243" spans="1:20" ht="13.5" thickBot="1"/>
    <row r="244" spans="1:20" ht="13.5" thickBot="1">
      <c r="G244" s="729"/>
      <c r="H244" s="730" t="s">
        <v>607</v>
      </c>
      <c r="I244" s="730" t="s">
        <v>605</v>
      </c>
      <c r="J244" s="731">
        <v>0.05</v>
      </c>
      <c r="K244" s="730" t="s">
        <v>602</v>
      </c>
      <c r="L244" s="731">
        <v>0.95</v>
      </c>
      <c r="M244" s="732" t="s">
        <v>606</v>
      </c>
    </row>
    <row r="245" spans="1:20">
      <c r="G245" s="673" t="s">
        <v>21</v>
      </c>
      <c r="H245" s="674"/>
      <c r="I245" s="675"/>
      <c r="J245" s="675"/>
      <c r="K245" s="675"/>
      <c r="L245" s="675"/>
      <c r="M245" s="676"/>
    </row>
    <row r="246" spans="1:20">
      <c r="G246" s="673" t="s">
        <v>20</v>
      </c>
      <c r="H246" s="674">
        <f>COUNT(L21:L26,L29:L33,L37:L39,L82,L88:L104,L129:L149,L171:L173)</f>
        <v>56</v>
      </c>
      <c r="I246" s="675">
        <f>MIN(L21:L26,L29:L33,L37:L39,L82,L88:L104,L129:L149,L171:L173)</f>
        <v>24.747869106564</v>
      </c>
      <c r="J246" s="675">
        <f>_xlfn.PERCENTILE.INC((L21:L26,L29:L33,L37:L39,L82,L88:L104,L129:L149,L171:L173),0.05)</f>
        <v>25.29138783537725</v>
      </c>
      <c r="K246" s="675">
        <f>AVERAGE(L21:L26,L29:L33,L37:L39,L82,L88:L104,L129:L149,L171:L173)</f>
        <v>28.05557083662621</v>
      </c>
      <c r="L246" s="675">
        <f>_xlfn.PERCENTILE.INC((L21:L26,L29:L33,L37:L39,L82,L88:L104,L129:L149,L171:L173),0.95)</f>
        <v>31.675143509055999</v>
      </c>
      <c r="M246" s="676">
        <f>MAX(L21:L26,L29:L33,L37:L39,L82,L88:L104,L129:L149,L171:L173)</f>
        <v>35.351364000000004</v>
      </c>
    </row>
    <row r="247" spans="1:20" ht="13.5" thickBot="1">
      <c r="G247" s="677" t="s">
        <v>601</v>
      </c>
      <c r="H247" s="678">
        <f>COUNT($L27,$L34,$L85:$L87,$L152:$L158)</f>
        <v>12</v>
      </c>
      <c r="I247" s="679">
        <f>MIN($L27,$L34,$L85:$L87,$L152:$L158)</f>
        <v>20.444976</v>
      </c>
      <c r="J247" s="679">
        <f>_xlfn.PERCENTILE.INC(($L27,$L34,$L85:$L87,$L152:$L158),0.05)</f>
        <v>20.63023415</v>
      </c>
      <c r="K247" s="679">
        <f>AVERAGE($L27,$L34,$L85:$L87,$L152:$L158)</f>
        <v>23.404737349719497</v>
      </c>
      <c r="L247" s="679">
        <f>_xlfn.PERCENTILE.INC(($L27,$L34,$L85:$L87,$L152:$L158),0.95)</f>
        <v>25.821874701274048</v>
      </c>
      <c r="M247" s="680">
        <f>MAX($L27,$L34,$L85:$L87,$L152:$L158)</f>
        <v>27.018379780608999</v>
      </c>
    </row>
  </sheetData>
  <sortState xmlns:xlrd2="http://schemas.microsoft.com/office/spreadsheetml/2017/richdata2" ref="F35:I39">
    <sortCondition ref="F35"/>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Cover sheet</vt:lpstr>
      <vt:lpstr>d18Osw</vt:lpstr>
      <vt:lpstr>Tumey Gulch</vt:lpstr>
      <vt:lpstr>Lodo Gulch</vt:lpstr>
      <vt:lpstr>DSDP Site 549</vt:lpstr>
      <vt:lpstr>DSDP Site 401</vt:lpstr>
      <vt:lpstr>Wilson Lake</vt:lpstr>
      <vt:lpstr>Bass River</vt:lpstr>
      <vt:lpstr>Millville</vt:lpstr>
      <vt:lpstr>ODP 1209</vt:lpstr>
      <vt:lpstr>DSDP 577</vt:lpstr>
      <vt:lpstr>Alamedilla</vt:lpstr>
      <vt:lpstr>ODP 865</vt:lpstr>
      <vt:lpstr>ODP 865_SIMS</vt:lpstr>
      <vt:lpstr>Sagamu Quarry</vt:lpstr>
      <vt:lpstr>TDP 3</vt:lpstr>
      <vt:lpstr>TDP 14</vt:lpstr>
      <vt:lpstr>DSDP 527</vt:lpstr>
      <vt:lpstr>Mid-Waipara River</vt:lpstr>
      <vt:lpstr>Hampden Beach</vt:lpstr>
      <vt:lpstr>DSDP 277</vt:lpstr>
      <vt:lpstr>ODP 738</vt:lpstr>
      <vt:lpstr>ODP 689</vt:lpstr>
      <vt:lpstr>ODP 690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Kirsty Edgar</dc:creator>
  <cp:lastModifiedBy>ppqv79</cp:lastModifiedBy>
  <cp:lastPrinted>2018-10-15T02:57:23Z</cp:lastPrinted>
  <dcterms:created xsi:type="dcterms:W3CDTF">2018-08-01T08:20:43Z</dcterms:created>
  <dcterms:modified xsi:type="dcterms:W3CDTF">2022-07-15T17:06:16Z</dcterms:modified>
</cp:coreProperties>
</file>