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560" yWindow="560" windowWidth="25040" windowHeight="1550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471" i="1" l="1"/>
  <c r="M471" i="1"/>
  <c r="J471" i="1"/>
  <c r="L471" i="1"/>
  <c r="G471" i="1"/>
  <c r="I471" i="1"/>
  <c r="M470" i="1"/>
  <c r="J470" i="1"/>
  <c r="L470" i="1"/>
  <c r="K470" i="1"/>
  <c r="G470" i="1"/>
  <c r="I470" i="1"/>
  <c r="M469" i="1"/>
  <c r="J469" i="1"/>
  <c r="L469" i="1"/>
  <c r="K469" i="1"/>
  <c r="G469" i="1"/>
  <c r="I469" i="1"/>
  <c r="G513" i="1"/>
  <c r="I513" i="1"/>
  <c r="J512" i="1"/>
  <c r="L512" i="1"/>
  <c r="I512" i="1"/>
  <c r="J511" i="1"/>
  <c r="L511" i="1"/>
  <c r="I511" i="1"/>
  <c r="G510" i="1"/>
  <c r="I510" i="1"/>
  <c r="J509" i="1"/>
  <c r="L509" i="1"/>
  <c r="G509" i="1"/>
  <c r="I509" i="1"/>
  <c r="M508" i="1"/>
  <c r="L508" i="1"/>
  <c r="G508" i="1"/>
  <c r="I508" i="1"/>
  <c r="G507" i="1"/>
  <c r="I507" i="1"/>
  <c r="J506" i="1"/>
  <c r="L506" i="1"/>
  <c r="G506" i="1"/>
  <c r="H506" i="1"/>
  <c r="I506" i="1"/>
  <c r="J505" i="1"/>
  <c r="I505" i="1"/>
  <c r="G504" i="1"/>
  <c r="H504" i="1"/>
  <c r="I504" i="1"/>
  <c r="I503" i="1"/>
  <c r="J502" i="1"/>
  <c r="L502" i="1"/>
  <c r="G502" i="1"/>
  <c r="I502" i="1"/>
  <c r="M501" i="1"/>
  <c r="I501" i="1"/>
  <c r="J500" i="1"/>
  <c r="L500" i="1"/>
  <c r="I500" i="1"/>
  <c r="L499" i="1"/>
  <c r="G499" i="1"/>
  <c r="I499" i="1"/>
  <c r="J498" i="1"/>
  <c r="L498" i="1"/>
  <c r="G498" i="1"/>
  <c r="H498" i="1"/>
  <c r="I498" i="1"/>
  <c r="J497" i="1"/>
  <c r="L497" i="1"/>
  <c r="G497" i="1"/>
  <c r="H497" i="1"/>
  <c r="I497" i="1"/>
  <c r="K496" i="1"/>
  <c r="G496" i="1"/>
  <c r="H496" i="1"/>
  <c r="I496" i="1"/>
  <c r="M495" i="1"/>
  <c r="J495" i="1"/>
  <c r="L495" i="1"/>
  <c r="H495" i="1"/>
  <c r="I495" i="1"/>
  <c r="L494" i="1"/>
  <c r="J494" i="1"/>
  <c r="G494" i="1"/>
  <c r="I494" i="1"/>
  <c r="L493" i="1"/>
  <c r="J493" i="1"/>
  <c r="I493" i="1"/>
  <c r="M492" i="1"/>
  <c r="J492" i="1"/>
  <c r="I492" i="1"/>
  <c r="M491" i="1"/>
  <c r="L491" i="1"/>
  <c r="J491" i="1"/>
  <c r="I491" i="1"/>
  <c r="L490" i="1"/>
  <c r="J490" i="1"/>
  <c r="G490" i="1"/>
  <c r="I490" i="1"/>
  <c r="L489" i="1"/>
  <c r="J489" i="1"/>
  <c r="I489" i="1"/>
  <c r="L488" i="1"/>
  <c r="J488" i="1"/>
  <c r="H488" i="1"/>
  <c r="I488" i="1"/>
  <c r="L487" i="1"/>
  <c r="J487" i="1"/>
  <c r="G487" i="1"/>
  <c r="H487" i="1"/>
  <c r="I487" i="1"/>
  <c r="M486" i="1"/>
  <c r="L486" i="1"/>
  <c r="J486" i="1"/>
  <c r="G486" i="1"/>
  <c r="H486" i="1"/>
  <c r="I486" i="1"/>
  <c r="M485" i="1"/>
  <c r="K485" i="1"/>
  <c r="G485" i="1"/>
  <c r="I485" i="1"/>
  <c r="M484" i="1"/>
  <c r="J484" i="1"/>
  <c r="L484" i="1"/>
  <c r="K484" i="1"/>
  <c r="G484" i="1"/>
  <c r="I484" i="1"/>
  <c r="M483" i="1"/>
  <c r="L483" i="1"/>
  <c r="J483" i="1"/>
  <c r="G483" i="1"/>
  <c r="I483" i="1"/>
  <c r="M482" i="1"/>
  <c r="L482" i="1"/>
  <c r="J482" i="1"/>
  <c r="G482" i="1"/>
  <c r="H482" i="1"/>
  <c r="I482" i="1"/>
  <c r="M481" i="1"/>
  <c r="J481" i="1"/>
  <c r="L481" i="1"/>
  <c r="K481" i="1"/>
  <c r="G481" i="1"/>
  <c r="I481" i="1"/>
  <c r="H480" i="1"/>
  <c r="I480" i="1"/>
  <c r="I479" i="1"/>
  <c r="G478" i="1"/>
  <c r="I478" i="1"/>
  <c r="J477" i="1"/>
  <c r="L477" i="1"/>
  <c r="G477" i="1"/>
  <c r="I477" i="1"/>
  <c r="M476" i="1"/>
  <c r="K476" i="1"/>
  <c r="L476" i="1"/>
  <c r="G476" i="1"/>
  <c r="I476" i="1"/>
  <c r="M475" i="1"/>
  <c r="L475" i="1"/>
  <c r="G475" i="1"/>
  <c r="I475" i="1"/>
  <c r="M474" i="1"/>
  <c r="G474" i="1"/>
  <c r="I474" i="1"/>
  <c r="G473" i="1"/>
  <c r="I473" i="1"/>
  <c r="G472" i="1"/>
  <c r="I472" i="1"/>
  <c r="M467" i="1"/>
  <c r="J467" i="1"/>
  <c r="L467" i="1"/>
  <c r="K467" i="1"/>
  <c r="G467" i="1"/>
  <c r="H467" i="1"/>
  <c r="I467" i="1"/>
  <c r="M466" i="1"/>
  <c r="J466" i="1"/>
  <c r="L466" i="1"/>
  <c r="K466" i="1"/>
  <c r="G466" i="1"/>
  <c r="H466" i="1"/>
  <c r="I466" i="1"/>
  <c r="M465" i="1"/>
  <c r="J465" i="1"/>
  <c r="L465" i="1"/>
  <c r="K465" i="1"/>
  <c r="G465" i="1"/>
  <c r="H465" i="1"/>
  <c r="I465" i="1"/>
  <c r="M464" i="1"/>
  <c r="J464" i="1"/>
  <c r="L464" i="1"/>
  <c r="K464" i="1"/>
  <c r="G464" i="1"/>
  <c r="H464" i="1"/>
  <c r="I464" i="1"/>
  <c r="M463" i="1"/>
  <c r="J463" i="1"/>
  <c r="L463" i="1"/>
  <c r="K463" i="1"/>
  <c r="G463" i="1"/>
  <c r="H463" i="1"/>
  <c r="I463" i="1"/>
  <c r="M462" i="1"/>
  <c r="J462" i="1"/>
  <c r="L462" i="1"/>
  <c r="K462" i="1"/>
  <c r="G462" i="1"/>
  <c r="I462" i="1"/>
  <c r="M461" i="1"/>
  <c r="L461" i="1"/>
  <c r="K461" i="1"/>
  <c r="G461" i="1"/>
  <c r="H461" i="1"/>
  <c r="I461" i="1"/>
  <c r="M460" i="1"/>
  <c r="J460" i="1"/>
  <c r="L460" i="1"/>
  <c r="G460" i="1"/>
  <c r="H460" i="1"/>
  <c r="I460" i="1"/>
  <c r="M459" i="1"/>
  <c r="J459" i="1"/>
  <c r="L459" i="1"/>
  <c r="G459" i="1"/>
  <c r="I459" i="1"/>
  <c r="J458" i="1"/>
  <c r="L458" i="1"/>
  <c r="G458" i="1"/>
  <c r="I458" i="1"/>
  <c r="M457" i="1"/>
  <c r="L457" i="1"/>
  <c r="G457" i="1"/>
  <c r="I457" i="1"/>
  <c r="J455" i="1"/>
  <c r="L455" i="1"/>
  <c r="H455" i="1"/>
  <c r="G455" i="1"/>
  <c r="I455" i="1"/>
  <c r="M454" i="1"/>
  <c r="J454" i="1"/>
  <c r="L454" i="1"/>
  <c r="G454" i="1"/>
  <c r="I454" i="1"/>
  <c r="M452" i="1"/>
  <c r="J452" i="1"/>
  <c r="H452" i="1"/>
  <c r="L452" i="1"/>
  <c r="G452" i="1"/>
  <c r="I452" i="1"/>
  <c r="M451" i="1"/>
  <c r="J451" i="1"/>
  <c r="H451" i="1"/>
  <c r="L451" i="1"/>
  <c r="K451" i="1"/>
  <c r="G451" i="1"/>
  <c r="I451" i="1"/>
  <c r="M450" i="1"/>
  <c r="J450" i="1"/>
  <c r="G450" i="1"/>
  <c r="I450" i="1"/>
  <c r="M449" i="1"/>
  <c r="J449" i="1"/>
  <c r="L449" i="1"/>
  <c r="G449" i="1"/>
  <c r="I449" i="1"/>
  <c r="M448" i="1"/>
  <c r="J448" i="1"/>
  <c r="L448" i="1"/>
  <c r="I448" i="1"/>
  <c r="M447" i="1"/>
  <c r="J447" i="1"/>
  <c r="K447" i="1"/>
  <c r="L447" i="1"/>
  <c r="G447" i="1"/>
  <c r="I447" i="1"/>
  <c r="M446" i="1"/>
  <c r="J446" i="1"/>
  <c r="L446" i="1"/>
  <c r="K446" i="1"/>
  <c r="G446" i="1"/>
  <c r="H446" i="1"/>
  <c r="I446" i="1"/>
  <c r="M445" i="1"/>
  <c r="J445" i="1"/>
  <c r="L445" i="1"/>
  <c r="K445" i="1"/>
  <c r="G445" i="1"/>
  <c r="H445" i="1"/>
  <c r="I445" i="1"/>
  <c r="M444" i="1"/>
  <c r="L444" i="1"/>
  <c r="I444" i="1"/>
  <c r="J443" i="1"/>
  <c r="L443" i="1"/>
  <c r="G443" i="1"/>
  <c r="I443" i="1"/>
  <c r="J442" i="1"/>
  <c r="L442" i="1"/>
  <c r="G442" i="1"/>
  <c r="I442" i="1"/>
  <c r="M441" i="1"/>
  <c r="L441" i="1"/>
  <c r="K441" i="1"/>
  <c r="J441" i="1"/>
  <c r="G441" i="1"/>
  <c r="I441" i="1"/>
  <c r="M440" i="1"/>
  <c r="J440" i="1"/>
  <c r="L440" i="1"/>
  <c r="K440" i="1"/>
  <c r="G440" i="1"/>
  <c r="I440" i="1"/>
  <c r="M439" i="1"/>
  <c r="J439" i="1"/>
  <c r="L439" i="1"/>
  <c r="G439" i="1"/>
  <c r="H439" i="1"/>
  <c r="I439" i="1"/>
  <c r="M438" i="1"/>
  <c r="J438" i="1"/>
  <c r="L438" i="1"/>
  <c r="K438" i="1"/>
  <c r="G438" i="1"/>
  <c r="I438" i="1"/>
  <c r="M437" i="1"/>
  <c r="J437" i="1"/>
  <c r="L437" i="1"/>
  <c r="G437" i="1"/>
  <c r="I437" i="1"/>
  <c r="M435" i="1"/>
  <c r="J435" i="1"/>
  <c r="L435" i="1"/>
  <c r="K435" i="1"/>
  <c r="G435" i="1"/>
  <c r="I435" i="1"/>
  <c r="M434" i="1"/>
  <c r="J434" i="1"/>
  <c r="L434" i="1"/>
  <c r="H434" i="1"/>
  <c r="I434" i="1"/>
  <c r="M433" i="1"/>
  <c r="J433" i="1"/>
  <c r="H433" i="1"/>
  <c r="L433" i="1"/>
  <c r="K433" i="1"/>
  <c r="G433" i="1"/>
  <c r="I433" i="1"/>
  <c r="M432" i="1"/>
  <c r="J432" i="1"/>
  <c r="L432" i="1"/>
  <c r="G432" i="1"/>
  <c r="I432" i="1"/>
  <c r="M431" i="1"/>
  <c r="J431" i="1"/>
  <c r="L431" i="1"/>
  <c r="K431" i="1"/>
  <c r="G431" i="1"/>
  <c r="I431" i="1"/>
  <c r="M430" i="1"/>
  <c r="L430" i="1"/>
  <c r="J430" i="1"/>
  <c r="G430" i="1"/>
  <c r="H430" i="1"/>
  <c r="I430" i="1"/>
  <c r="M428" i="1"/>
  <c r="M429" i="1"/>
  <c r="J429" i="1"/>
  <c r="L429" i="1"/>
  <c r="G429" i="1"/>
  <c r="H429" i="1"/>
  <c r="I429" i="1"/>
  <c r="J428" i="1"/>
  <c r="L428" i="1"/>
  <c r="G428" i="1"/>
  <c r="H428" i="1"/>
  <c r="I428" i="1"/>
  <c r="M427" i="1"/>
  <c r="J427" i="1"/>
  <c r="L427" i="1"/>
  <c r="G427" i="1"/>
  <c r="H427" i="1"/>
  <c r="I427" i="1"/>
  <c r="M426" i="1"/>
  <c r="J426" i="1"/>
  <c r="L426" i="1"/>
  <c r="G426" i="1"/>
  <c r="H426" i="1"/>
  <c r="I426" i="1"/>
  <c r="M421" i="1"/>
  <c r="J421" i="1"/>
  <c r="L421" i="1"/>
  <c r="G421" i="1"/>
  <c r="I421" i="1"/>
  <c r="M420" i="1"/>
  <c r="J420" i="1"/>
  <c r="L420" i="1"/>
  <c r="G420" i="1"/>
  <c r="I420" i="1"/>
  <c r="M419" i="1"/>
  <c r="J419" i="1"/>
  <c r="L419" i="1"/>
  <c r="K419" i="1"/>
  <c r="G419" i="1"/>
  <c r="H419" i="1"/>
  <c r="I419" i="1"/>
  <c r="M418" i="1"/>
  <c r="J418" i="1"/>
  <c r="L418" i="1"/>
  <c r="K418" i="1"/>
  <c r="G418" i="1"/>
  <c r="H418" i="1"/>
  <c r="I418" i="1"/>
  <c r="M417" i="1"/>
  <c r="J417" i="1"/>
  <c r="L417" i="1"/>
  <c r="K417" i="1"/>
  <c r="G417" i="1"/>
  <c r="H417" i="1"/>
  <c r="I417" i="1"/>
  <c r="M416" i="1"/>
  <c r="K416" i="1"/>
  <c r="J416" i="1"/>
  <c r="L416" i="1"/>
  <c r="G416" i="1"/>
  <c r="I416" i="1"/>
  <c r="M415" i="1"/>
  <c r="J415" i="1"/>
  <c r="L415" i="1"/>
  <c r="K415" i="1"/>
  <c r="G415" i="1"/>
  <c r="I415" i="1"/>
  <c r="M414" i="1"/>
  <c r="J414" i="1"/>
  <c r="L414" i="1"/>
  <c r="H414" i="1"/>
  <c r="I414" i="1"/>
  <c r="M413" i="1"/>
  <c r="J413" i="1"/>
  <c r="L413" i="1"/>
  <c r="K413" i="1"/>
  <c r="G413" i="1"/>
  <c r="I413" i="1"/>
  <c r="M412" i="1"/>
  <c r="J412" i="1"/>
  <c r="L412" i="1"/>
  <c r="K412" i="1"/>
  <c r="G412" i="1"/>
  <c r="H412" i="1"/>
  <c r="I412" i="1"/>
  <c r="M410" i="1"/>
  <c r="J410" i="1"/>
  <c r="L410" i="1"/>
  <c r="G410" i="1"/>
  <c r="H410" i="1"/>
  <c r="I410" i="1"/>
  <c r="M409" i="1"/>
  <c r="J409" i="1"/>
  <c r="L409" i="1"/>
  <c r="G409" i="1"/>
  <c r="I409" i="1"/>
  <c r="M408" i="1"/>
  <c r="L408" i="1"/>
  <c r="J408" i="1"/>
  <c r="G408" i="1"/>
  <c r="I408" i="1"/>
  <c r="M407" i="1"/>
  <c r="J407" i="1"/>
  <c r="L407" i="1"/>
  <c r="G407" i="1"/>
  <c r="H407" i="1"/>
  <c r="I407" i="1"/>
  <c r="L405" i="1"/>
  <c r="J405" i="1"/>
  <c r="G405" i="1"/>
  <c r="H405" i="1"/>
  <c r="I405" i="1"/>
  <c r="J404" i="1"/>
  <c r="L404" i="1"/>
  <c r="G404" i="1"/>
  <c r="I404" i="1"/>
  <c r="L403" i="1"/>
  <c r="J403" i="1"/>
  <c r="G403" i="1"/>
  <c r="I403" i="1"/>
  <c r="L402" i="1"/>
  <c r="J402" i="1"/>
  <c r="G402" i="1"/>
  <c r="H402" i="1"/>
  <c r="I402" i="1"/>
  <c r="M398" i="1"/>
  <c r="L398" i="1"/>
  <c r="J398" i="1"/>
  <c r="G398" i="1"/>
  <c r="I398" i="1"/>
  <c r="M397" i="1"/>
  <c r="L397" i="1"/>
  <c r="K397" i="1"/>
  <c r="J397" i="1"/>
  <c r="I397" i="1"/>
  <c r="M396" i="1"/>
  <c r="J396" i="1"/>
  <c r="G396" i="1"/>
  <c r="I396" i="1"/>
  <c r="M395" i="1"/>
  <c r="L395" i="1"/>
  <c r="G395" i="1"/>
  <c r="I395" i="1"/>
  <c r="M393" i="1"/>
  <c r="L393" i="1"/>
  <c r="J393" i="1"/>
  <c r="G393" i="1"/>
  <c r="I393" i="1"/>
  <c r="M392" i="1"/>
  <c r="L392" i="1"/>
  <c r="J392" i="1"/>
  <c r="G392" i="1"/>
  <c r="I392" i="1"/>
  <c r="M391" i="1"/>
  <c r="L391" i="1"/>
  <c r="J391" i="1"/>
  <c r="G391" i="1"/>
  <c r="I391" i="1"/>
  <c r="J390" i="1"/>
  <c r="L390" i="1"/>
  <c r="G390" i="1"/>
  <c r="I390" i="1"/>
  <c r="M389" i="1"/>
  <c r="L389" i="1"/>
  <c r="G389" i="1"/>
  <c r="M387" i="1"/>
  <c r="J387" i="1"/>
  <c r="L387" i="1"/>
  <c r="K387" i="1"/>
  <c r="G387" i="1"/>
  <c r="H387" i="1"/>
  <c r="I387" i="1"/>
  <c r="M386" i="1"/>
  <c r="K386" i="1"/>
  <c r="J386" i="1"/>
  <c r="L386" i="1"/>
  <c r="G385" i="1"/>
  <c r="G386" i="1"/>
  <c r="H386" i="1"/>
  <c r="I386" i="1"/>
  <c r="M385" i="1"/>
  <c r="K385" i="1"/>
  <c r="J385" i="1"/>
  <c r="L385" i="1"/>
  <c r="H385" i="1"/>
  <c r="I385" i="1"/>
  <c r="M384" i="1"/>
  <c r="K384" i="1"/>
  <c r="J384" i="1"/>
  <c r="L384" i="1"/>
  <c r="G384" i="1"/>
  <c r="H384" i="1"/>
  <c r="I384" i="1"/>
  <c r="M383" i="1"/>
  <c r="K383" i="1"/>
  <c r="J383" i="1"/>
  <c r="L383" i="1"/>
  <c r="G383" i="1"/>
  <c r="H383" i="1"/>
  <c r="I383" i="1"/>
  <c r="M382" i="1"/>
  <c r="J382" i="1"/>
  <c r="L382" i="1"/>
  <c r="K382" i="1"/>
  <c r="G382" i="1"/>
  <c r="I382" i="1"/>
  <c r="M381" i="1"/>
  <c r="J381" i="1"/>
  <c r="L381" i="1"/>
  <c r="I381" i="1"/>
  <c r="M380" i="1"/>
  <c r="L380" i="1"/>
  <c r="G380" i="1"/>
  <c r="I380" i="1"/>
  <c r="L377" i="1"/>
  <c r="J377" i="1"/>
  <c r="H377" i="1"/>
  <c r="I377" i="1"/>
  <c r="M376" i="1"/>
  <c r="L376" i="1"/>
  <c r="G376" i="1"/>
  <c r="I376" i="1"/>
  <c r="M375" i="1"/>
  <c r="L375" i="1"/>
  <c r="G375" i="1"/>
  <c r="I375" i="1"/>
  <c r="M374" i="1"/>
  <c r="L374" i="1"/>
  <c r="K374" i="1"/>
  <c r="G374" i="1"/>
  <c r="I374" i="1"/>
  <c r="M373" i="1"/>
  <c r="L373" i="1"/>
  <c r="K373" i="1"/>
  <c r="G373" i="1"/>
  <c r="I373" i="1"/>
  <c r="J369" i="1"/>
  <c r="L369" i="1"/>
  <c r="M369" i="1"/>
  <c r="G369" i="1"/>
  <c r="I369" i="1"/>
  <c r="L363" i="1"/>
  <c r="G363" i="1"/>
  <c r="I363" i="1"/>
  <c r="M362" i="1"/>
  <c r="L362" i="1"/>
  <c r="G362" i="1"/>
  <c r="I362" i="1"/>
  <c r="M361" i="1"/>
  <c r="L361" i="1"/>
  <c r="G361" i="1"/>
  <c r="I361" i="1"/>
  <c r="M360" i="1"/>
  <c r="L360" i="1"/>
  <c r="G360" i="1"/>
  <c r="I360" i="1"/>
  <c r="M357" i="1"/>
  <c r="J357" i="1"/>
  <c r="L357" i="1"/>
  <c r="K357" i="1"/>
  <c r="G357" i="1"/>
  <c r="I357" i="1"/>
  <c r="M356" i="1"/>
  <c r="J356" i="1"/>
  <c r="L356" i="1"/>
  <c r="K356" i="1"/>
  <c r="G356" i="1"/>
  <c r="I356" i="1"/>
  <c r="M355" i="1"/>
  <c r="J355" i="1"/>
  <c r="L355" i="1"/>
  <c r="K355" i="1"/>
  <c r="G355" i="1"/>
  <c r="I355" i="1"/>
  <c r="M351" i="1"/>
  <c r="L351" i="1"/>
  <c r="G351" i="1"/>
  <c r="I351" i="1"/>
  <c r="M350" i="1"/>
  <c r="L350" i="1"/>
  <c r="G350" i="1"/>
  <c r="I350" i="1"/>
  <c r="M349" i="1"/>
  <c r="J349" i="1"/>
  <c r="G349" i="1"/>
  <c r="I349" i="1"/>
  <c r="L349" i="1"/>
  <c r="J348" i="1"/>
  <c r="L348" i="1"/>
  <c r="G348" i="1"/>
  <c r="I348" i="1"/>
  <c r="M347" i="1"/>
  <c r="J347" i="1"/>
  <c r="L347" i="1"/>
  <c r="G347" i="1"/>
  <c r="I347" i="1"/>
  <c r="M346" i="1"/>
  <c r="J346" i="1"/>
  <c r="L346" i="1"/>
  <c r="G346" i="1"/>
  <c r="I346" i="1"/>
  <c r="M345" i="1"/>
  <c r="J345" i="1"/>
  <c r="L345" i="1"/>
  <c r="G345" i="1"/>
  <c r="I345" i="1"/>
  <c r="J342" i="1"/>
  <c r="L342" i="1"/>
  <c r="G342" i="1"/>
  <c r="I342" i="1"/>
  <c r="J341" i="1"/>
  <c r="L341" i="1"/>
  <c r="G341" i="1"/>
  <c r="I341" i="1"/>
  <c r="J340" i="1"/>
  <c r="L340" i="1"/>
  <c r="G340" i="1"/>
  <c r="I340" i="1"/>
  <c r="J335" i="1"/>
  <c r="L335" i="1"/>
  <c r="G335" i="1"/>
  <c r="I335" i="1"/>
  <c r="J334" i="1"/>
  <c r="L334" i="1"/>
  <c r="G334" i="1"/>
  <c r="I334" i="1"/>
  <c r="L333" i="1"/>
  <c r="G333" i="1"/>
  <c r="I333" i="1"/>
  <c r="J332" i="1"/>
  <c r="L332" i="1"/>
  <c r="K332" i="1"/>
  <c r="G332" i="1"/>
  <c r="I332" i="1"/>
  <c r="J331" i="1"/>
  <c r="L331" i="1"/>
  <c r="K331" i="1"/>
  <c r="G331" i="1"/>
  <c r="I331" i="1"/>
  <c r="M330" i="1"/>
  <c r="J330" i="1"/>
  <c r="L330" i="1"/>
  <c r="G330" i="1"/>
  <c r="I330" i="1"/>
  <c r="M329" i="1"/>
  <c r="J329" i="1"/>
  <c r="L329" i="1"/>
  <c r="G329" i="1"/>
  <c r="I329" i="1"/>
  <c r="J322" i="1"/>
  <c r="L322" i="1"/>
  <c r="K322" i="1"/>
  <c r="G322" i="1"/>
  <c r="I322" i="1"/>
  <c r="J321" i="1"/>
  <c r="L321" i="1"/>
  <c r="G321" i="1"/>
  <c r="I321" i="1"/>
  <c r="J320" i="1"/>
  <c r="L320" i="1"/>
  <c r="G320" i="1"/>
  <c r="I320" i="1"/>
  <c r="J319" i="1"/>
  <c r="L319" i="1"/>
  <c r="I319" i="1"/>
  <c r="J318" i="1"/>
  <c r="L318" i="1"/>
  <c r="I318" i="1"/>
  <c r="J317" i="1"/>
  <c r="L317" i="1"/>
  <c r="I317" i="1"/>
  <c r="M304" i="1"/>
  <c r="J304" i="1"/>
  <c r="L304" i="1"/>
  <c r="K304" i="1"/>
  <c r="G304" i="1"/>
  <c r="I304" i="1"/>
  <c r="M303" i="1"/>
  <c r="J303" i="1"/>
  <c r="L303" i="1"/>
  <c r="K303" i="1"/>
  <c r="G303" i="1"/>
  <c r="I303" i="1"/>
  <c r="M302" i="1"/>
  <c r="J302" i="1"/>
  <c r="L302" i="1"/>
  <c r="G302" i="1"/>
  <c r="I302" i="1"/>
  <c r="M301" i="1"/>
  <c r="J301" i="1"/>
  <c r="L301" i="1"/>
  <c r="G301" i="1"/>
  <c r="I301" i="1"/>
  <c r="M294" i="1"/>
  <c r="J294" i="1"/>
  <c r="L294" i="1"/>
  <c r="G294" i="1"/>
  <c r="I294" i="1"/>
  <c r="I293" i="1"/>
  <c r="M292" i="1"/>
  <c r="J292" i="1"/>
  <c r="L292" i="1"/>
  <c r="G292" i="1"/>
  <c r="I292" i="1"/>
  <c r="J287" i="1"/>
  <c r="H287" i="1"/>
  <c r="I287" i="1"/>
  <c r="J286" i="1"/>
  <c r="G286" i="1"/>
  <c r="H286" i="1"/>
  <c r="I286" i="1"/>
  <c r="M285" i="1"/>
  <c r="J285" i="1"/>
  <c r="L285" i="1"/>
  <c r="H285" i="1"/>
  <c r="I285" i="1"/>
  <c r="J284" i="1"/>
  <c r="L284" i="1"/>
  <c r="K284" i="1"/>
  <c r="G284" i="1"/>
  <c r="I284" i="1"/>
  <c r="J283" i="1"/>
  <c r="H283" i="1"/>
  <c r="L283" i="1"/>
  <c r="G283" i="1"/>
  <c r="I283" i="1"/>
  <c r="M272" i="1"/>
  <c r="J272" i="1"/>
  <c r="I272" i="1"/>
  <c r="M270" i="1"/>
  <c r="H270" i="1"/>
  <c r="L270" i="1"/>
  <c r="K270" i="1"/>
  <c r="I270" i="1"/>
  <c r="G270" i="1"/>
  <c r="G267" i="1"/>
  <c r="I267" i="1"/>
  <c r="M266" i="1"/>
  <c r="H266" i="1"/>
  <c r="I266" i="1"/>
  <c r="M260" i="1"/>
  <c r="J260" i="1"/>
  <c r="L260" i="1"/>
  <c r="I260" i="1"/>
  <c r="J259" i="1"/>
  <c r="L259" i="1"/>
  <c r="I259" i="1"/>
  <c r="M258" i="1"/>
  <c r="J258" i="1"/>
  <c r="H258" i="1"/>
  <c r="L258" i="1"/>
  <c r="K258" i="1"/>
  <c r="G258" i="1"/>
  <c r="I258" i="1"/>
  <c r="I257" i="1"/>
  <c r="M256" i="1"/>
  <c r="J256" i="1"/>
  <c r="L256" i="1"/>
  <c r="G256" i="1"/>
  <c r="I256" i="1"/>
  <c r="M255" i="1"/>
  <c r="J255" i="1"/>
  <c r="L255" i="1"/>
  <c r="G255" i="1"/>
  <c r="I255" i="1"/>
  <c r="M254" i="1"/>
  <c r="J254" i="1"/>
  <c r="L254" i="1"/>
  <c r="G254" i="1"/>
  <c r="I254" i="1"/>
  <c r="M253" i="1"/>
  <c r="J253" i="1"/>
  <c r="L253" i="1"/>
  <c r="I253" i="1"/>
  <c r="M252" i="1"/>
  <c r="J252" i="1"/>
  <c r="H252" i="1"/>
  <c r="L252" i="1"/>
  <c r="G252" i="1"/>
  <c r="I252" i="1"/>
  <c r="M251" i="1"/>
  <c r="J251" i="1"/>
  <c r="L251" i="1"/>
  <c r="G251" i="1"/>
  <c r="I251" i="1"/>
  <c r="M250" i="1"/>
  <c r="J250" i="1"/>
  <c r="L250" i="1"/>
  <c r="I250" i="1"/>
  <c r="M249" i="1"/>
  <c r="J249" i="1"/>
  <c r="L249" i="1"/>
  <c r="I249" i="1"/>
  <c r="M248" i="1"/>
  <c r="J248" i="1"/>
  <c r="L248" i="1"/>
  <c r="I248" i="1"/>
  <c r="J244" i="1"/>
  <c r="L244" i="1"/>
  <c r="G244" i="1"/>
  <c r="I244" i="1"/>
  <c r="M231" i="1"/>
  <c r="L231" i="1"/>
  <c r="J231" i="1"/>
  <c r="G231" i="1"/>
  <c r="I231" i="1"/>
  <c r="M230" i="1"/>
  <c r="J230" i="1"/>
  <c r="H230" i="1"/>
  <c r="L230" i="1"/>
  <c r="G230" i="1"/>
  <c r="I230" i="1"/>
  <c r="M229" i="1"/>
  <c r="J229" i="1"/>
  <c r="L229" i="1"/>
  <c r="G229" i="1"/>
  <c r="I229" i="1"/>
  <c r="M228" i="1"/>
  <c r="J228" i="1"/>
  <c r="H228" i="1"/>
  <c r="L228" i="1"/>
  <c r="G228" i="1"/>
  <c r="I228" i="1"/>
  <c r="M227" i="1"/>
  <c r="J227" i="1"/>
  <c r="L227" i="1"/>
  <c r="K227" i="1"/>
  <c r="G227" i="1"/>
  <c r="I227" i="1"/>
  <c r="M223" i="1"/>
  <c r="J223" i="1"/>
  <c r="L223" i="1"/>
  <c r="G223" i="1"/>
  <c r="H223" i="1"/>
  <c r="I223" i="1"/>
  <c r="M222" i="1"/>
  <c r="J222" i="1"/>
  <c r="L222" i="1"/>
  <c r="G222" i="1"/>
  <c r="I222" i="1"/>
  <c r="M221" i="1"/>
  <c r="J221" i="1"/>
  <c r="L221" i="1"/>
  <c r="G221" i="1"/>
  <c r="I221" i="1"/>
  <c r="M220" i="1"/>
  <c r="J220" i="1"/>
  <c r="L220" i="1"/>
  <c r="K220" i="1"/>
  <c r="G220" i="1"/>
  <c r="I220" i="1"/>
  <c r="M219" i="1"/>
  <c r="J219" i="1"/>
  <c r="L219" i="1"/>
  <c r="G219" i="1"/>
  <c r="I219" i="1"/>
  <c r="M218" i="1"/>
  <c r="J218" i="1"/>
  <c r="L218" i="1"/>
  <c r="K218" i="1"/>
  <c r="I218" i="1"/>
  <c r="M215" i="1"/>
  <c r="J215" i="1"/>
  <c r="H215" i="1"/>
  <c r="L215" i="1"/>
  <c r="G215" i="1"/>
  <c r="I215" i="1"/>
  <c r="J214" i="1"/>
  <c r="L214" i="1"/>
  <c r="I214" i="1"/>
  <c r="J213" i="1"/>
  <c r="L213" i="1"/>
  <c r="G213" i="1"/>
  <c r="I213" i="1"/>
  <c r="M212" i="1"/>
  <c r="J212" i="1"/>
  <c r="L212" i="1"/>
  <c r="K212" i="1"/>
  <c r="G212" i="1"/>
  <c r="I212" i="1"/>
  <c r="M211" i="1"/>
  <c r="J211" i="1"/>
  <c r="L211" i="1"/>
  <c r="G211" i="1"/>
  <c r="I211" i="1"/>
  <c r="J208" i="1"/>
  <c r="L208" i="1"/>
  <c r="G208" i="1"/>
  <c r="I208" i="1"/>
  <c r="M206" i="1"/>
  <c r="J206" i="1"/>
  <c r="L206" i="1"/>
  <c r="G206" i="1"/>
  <c r="I206" i="1"/>
  <c r="M205" i="1"/>
  <c r="J205" i="1"/>
  <c r="L205" i="1"/>
  <c r="K205" i="1"/>
  <c r="G205" i="1"/>
  <c r="I205" i="1"/>
  <c r="M204" i="1"/>
  <c r="J204" i="1"/>
  <c r="H204" i="1"/>
  <c r="L204" i="1"/>
  <c r="G204" i="1"/>
  <c r="I204" i="1"/>
  <c r="M203" i="1"/>
  <c r="J203" i="1"/>
  <c r="L203" i="1"/>
  <c r="K203" i="1"/>
  <c r="G203" i="1"/>
  <c r="I203" i="1"/>
  <c r="M199" i="1"/>
  <c r="H199" i="1"/>
  <c r="J199" i="1"/>
  <c r="L199" i="1"/>
  <c r="G199" i="1"/>
  <c r="I199" i="1"/>
  <c r="M198" i="1"/>
  <c r="H198" i="1"/>
  <c r="J198" i="1"/>
  <c r="L198" i="1"/>
  <c r="G198" i="1"/>
  <c r="I198" i="1"/>
  <c r="M197" i="1"/>
  <c r="J197" i="1"/>
  <c r="H197" i="1"/>
  <c r="L197" i="1"/>
  <c r="I197" i="1"/>
  <c r="M196" i="1"/>
  <c r="J196" i="1"/>
  <c r="H196" i="1"/>
  <c r="L196" i="1"/>
  <c r="I196" i="1"/>
  <c r="M194" i="1"/>
  <c r="L194" i="1"/>
  <c r="J194" i="1"/>
  <c r="I194" i="1"/>
  <c r="M193" i="1"/>
  <c r="L193" i="1"/>
  <c r="J193" i="1"/>
  <c r="I193" i="1"/>
  <c r="J192" i="1"/>
  <c r="L192" i="1"/>
  <c r="G192" i="1"/>
  <c r="I192" i="1"/>
  <c r="J191" i="1"/>
  <c r="L191" i="1"/>
  <c r="G191" i="1"/>
  <c r="I191" i="1"/>
  <c r="J190" i="1"/>
  <c r="L190" i="1"/>
  <c r="G190" i="1"/>
  <c r="I190" i="1"/>
  <c r="M189" i="1"/>
  <c r="J189" i="1"/>
  <c r="L189" i="1"/>
  <c r="H189" i="1"/>
  <c r="I189" i="1"/>
  <c r="M188" i="1"/>
  <c r="J188" i="1"/>
  <c r="L188" i="1"/>
  <c r="G188" i="1"/>
  <c r="H188" i="1"/>
  <c r="I188" i="1"/>
  <c r="M180" i="1"/>
  <c r="J180" i="1"/>
  <c r="L180" i="1"/>
  <c r="G180" i="1"/>
  <c r="I180" i="1"/>
  <c r="M179" i="1"/>
  <c r="J179" i="1"/>
  <c r="L179" i="1"/>
  <c r="K179" i="1"/>
  <c r="I179" i="1"/>
  <c r="J175" i="1"/>
  <c r="L175" i="1"/>
  <c r="K175" i="1"/>
  <c r="G175" i="1"/>
  <c r="I175" i="1"/>
  <c r="M174" i="1"/>
  <c r="J174" i="1"/>
  <c r="L174" i="1"/>
  <c r="K174" i="1"/>
  <c r="G174" i="1"/>
  <c r="I174" i="1"/>
  <c r="J173" i="1"/>
  <c r="L173" i="1"/>
  <c r="K173" i="1"/>
  <c r="G173" i="1"/>
  <c r="I173" i="1"/>
  <c r="M172" i="1"/>
  <c r="J172" i="1"/>
  <c r="L172" i="1"/>
  <c r="K172" i="1"/>
  <c r="G172" i="1"/>
  <c r="I172" i="1"/>
  <c r="M171" i="1"/>
  <c r="J171" i="1"/>
  <c r="L171" i="1"/>
  <c r="K171" i="1"/>
  <c r="G171" i="1"/>
  <c r="I171" i="1"/>
  <c r="M170" i="1"/>
  <c r="J170" i="1"/>
  <c r="L170" i="1"/>
  <c r="K170" i="1"/>
  <c r="I170" i="1"/>
  <c r="M169" i="1"/>
  <c r="J169" i="1"/>
  <c r="L169" i="1"/>
  <c r="K169" i="1"/>
  <c r="I169" i="1"/>
  <c r="J168" i="1"/>
  <c r="H168" i="1"/>
  <c r="L168" i="1"/>
  <c r="G168" i="1"/>
  <c r="I168" i="1"/>
  <c r="J167" i="1"/>
  <c r="H167" i="1"/>
  <c r="L167" i="1"/>
  <c r="G167" i="1"/>
  <c r="I167" i="1"/>
  <c r="J165" i="1"/>
  <c r="L165" i="1"/>
  <c r="G165" i="1"/>
  <c r="I165" i="1"/>
  <c r="J164" i="1"/>
  <c r="L164" i="1"/>
  <c r="G164" i="1"/>
  <c r="I164" i="1"/>
  <c r="J163" i="1"/>
  <c r="L163" i="1"/>
  <c r="G163" i="1"/>
  <c r="I163" i="1"/>
  <c r="J162" i="1"/>
  <c r="L162" i="1"/>
  <c r="G162" i="1"/>
  <c r="I162" i="1"/>
  <c r="J161" i="1"/>
  <c r="L161" i="1"/>
  <c r="G161" i="1"/>
  <c r="I161" i="1"/>
  <c r="L158" i="1"/>
  <c r="J158" i="1"/>
  <c r="G158" i="1"/>
  <c r="I158" i="1"/>
  <c r="M157" i="1"/>
  <c r="L157" i="1"/>
  <c r="J157" i="1"/>
  <c r="G157" i="1"/>
  <c r="I157" i="1"/>
  <c r="M156" i="1"/>
  <c r="L156" i="1"/>
  <c r="J156" i="1"/>
  <c r="G156" i="1"/>
  <c r="I156" i="1"/>
  <c r="L155" i="1"/>
  <c r="K155" i="1"/>
  <c r="J155" i="1"/>
  <c r="G155" i="1"/>
  <c r="I155" i="1"/>
  <c r="M154" i="1"/>
  <c r="G154" i="1"/>
  <c r="I154" i="1"/>
  <c r="J154" i="1"/>
  <c r="L154" i="1"/>
  <c r="M153" i="1"/>
  <c r="G153" i="1"/>
  <c r="I153" i="1"/>
  <c r="J153" i="1"/>
  <c r="L153" i="1"/>
  <c r="M152" i="1"/>
  <c r="G152" i="1"/>
  <c r="I152" i="1"/>
  <c r="J152" i="1"/>
  <c r="L152" i="1"/>
  <c r="L150" i="1"/>
  <c r="I150" i="1"/>
  <c r="H144" i="1"/>
  <c r="L144" i="1"/>
  <c r="I144" i="1"/>
  <c r="M143" i="1"/>
  <c r="L143" i="1"/>
  <c r="I143" i="1"/>
  <c r="M142" i="1"/>
  <c r="L142" i="1"/>
  <c r="I142" i="1"/>
  <c r="L135" i="1"/>
  <c r="I135" i="1"/>
  <c r="L134" i="1"/>
  <c r="I134" i="1"/>
  <c r="I130" i="1"/>
  <c r="I129" i="1"/>
  <c r="I128" i="1"/>
  <c r="M124" i="1"/>
  <c r="I124" i="1"/>
  <c r="G124" i="1"/>
  <c r="L122" i="1"/>
  <c r="I122" i="1"/>
  <c r="L121" i="1"/>
  <c r="I121" i="1"/>
  <c r="H120" i="1"/>
  <c r="L120" i="1"/>
  <c r="I120" i="1"/>
  <c r="L119" i="1"/>
  <c r="I119" i="1"/>
  <c r="I118" i="1"/>
  <c r="M117" i="1"/>
  <c r="I117" i="1"/>
  <c r="K115" i="1"/>
  <c r="I115" i="1"/>
  <c r="L113" i="1"/>
  <c r="I113" i="1"/>
  <c r="H112" i="1"/>
  <c r="I112" i="1"/>
  <c r="I111" i="1"/>
  <c r="H111" i="1"/>
  <c r="I108" i="1"/>
  <c r="I107" i="1"/>
  <c r="I106" i="1"/>
  <c r="M105" i="1"/>
  <c r="K105" i="1"/>
  <c r="I105" i="1"/>
  <c r="I104" i="1"/>
  <c r="M102" i="1"/>
  <c r="I102" i="1"/>
  <c r="J98" i="1"/>
  <c r="L98" i="1"/>
  <c r="I98" i="1"/>
  <c r="J97" i="1"/>
  <c r="L97" i="1"/>
  <c r="I97" i="1"/>
  <c r="J96" i="1"/>
  <c r="L96" i="1"/>
  <c r="H96" i="1"/>
  <c r="I96" i="1"/>
  <c r="J95" i="1"/>
  <c r="L95" i="1"/>
  <c r="I95" i="1"/>
  <c r="M94" i="1"/>
  <c r="J94" i="1"/>
  <c r="L94" i="1"/>
  <c r="I94" i="1"/>
  <c r="L93" i="1"/>
  <c r="I93" i="1"/>
  <c r="J90" i="1"/>
  <c r="L90" i="1"/>
  <c r="I90" i="1"/>
  <c r="J89" i="1"/>
  <c r="L89" i="1"/>
  <c r="K89" i="1"/>
  <c r="G89" i="1"/>
  <c r="H89" i="1"/>
  <c r="I89" i="1"/>
  <c r="J88" i="1"/>
  <c r="L88" i="1"/>
  <c r="K88" i="1"/>
  <c r="G88" i="1"/>
  <c r="I88" i="1"/>
  <c r="J87" i="1"/>
  <c r="L87" i="1"/>
  <c r="G87" i="1"/>
  <c r="H87" i="1"/>
  <c r="I87" i="1"/>
  <c r="J86" i="1"/>
  <c r="L86" i="1"/>
  <c r="K86" i="1"/>
  <c r="G86" i="1"/>
  <c r="H86" i="1"/>
  <c r="I86" i="1"/>
  <c r="J85" i="1"/>
  <c r="L85" i="1"/>
  <c r="K85" i="1"/>
  <c r="G85" i="1"/>
  <c r="H85" i="1"/>
  <c r="I85" i="1"/>
  <c r="J84" i="1"/>
  <c r="L84" i="1"/>
  <c r="K84" i="1"/>
  <c r="G84" i="1"/>
  <c r="I84" i="1"/>
  <c r="J83" i="1"/>
  <c r="L83" i="1"/>
  <c r="G83" i="1"/>
  <c r="H83" i="1"/>
  <c r="I83" i="1"/>
  <c r="M82" i="1"/>
  <c r="J82" i="1"/>
  <c r="L82" i="1"/>
  <c r="H82" i="1"/>
  <c r="I82" i="1"/>
  <c r="M81" i="1"/>
  <c r="J81" i="1"/>
  <c r="L81" i="1"/>
  <c r="G81" i="1"/>
  <c r="I81" i="1"/>
  <c r="J80" i="1"/>
  <c r="L80" i="1"/>
  <c r="K80" i="1"/>
  <c r="G80" i="1"/>
  <c r="I80" i="1"/>
  <c r="J79" i="1"/>
  <c r="G79" i="1"/>
  <c r="I79" i="1"/>
  <c r="M78" i="1"/>
  <c r="J78" i="1"/>
  <c r="L78" i="1"/>
  <c r="K78" i="1"/>
  <c r="G78" i="1"/>
  <c r="I78" i="1"/>
  <c r="K77" i="1"/>
  <c r="J77" i="1"/>
  <c r="G77" i="1"/>
  <c r="I77" i="1"/>
  <c r="L76" i="1"/>
  <c r="K76" i="1"/>
  <c r="J76" i="1"/>
  <c r="G76" i="1"/>
  <c r="I76" i="1"/>
  <c r="J75" i="1"/>
  <c r="L75" i="1"/>
  <c r="K75" i="1"/>
  <c r="G75" i="1"/>
  <c r="I75" i="1"/>
  <c r="J74" i="1"/>
  <c r="L74" i="1"/>
  <c r="K74" i="1"/>
  <c r="G74" i="1"/>
  <c r="H74" i="1"/>
  <c r="I74" i="1"/>
  <c r="M73" i="1"/>
  <c r="J73" i="1"/>
  <c r="L73" i="1"/>
  <c r="K73" i="1"/>
  <c r="G73" i="1"/>
  <c r="H73" i="1"/>
  <c r="I73" i="1"/>
  <c r="M72" i="1"/>
  <c r="J72" i="1"/>
  <c r="L72" i="1"/>
  <c r="K72" i="1"/>
  <c r="G72" i="1"/>
  <c r="H72" i="1"/>
  <c r="I72" i="1"/>
  <c r="M71" i="1"/>
  <c r="J71" i="1"/>
  <c r="L71" i="1"/>
  <c r="K71" i="1"/>
  <c r="G71" i="1"/>
  <c r="H71" i="1"/>
  <c r="I71" i="1"/>
  <c r="M70" i="1"/>
  <c r="J70" i="1"/>
  <c r="L70" i="1"/>
  <c r="K70" i="1"/>
  <c r="G70" i="1"/>
  <c r="H70" i="1"/>
  <c r="I70" i="1"/>
  <c r="J69" i="1"/>
  <c r="L69" i="1"/>
  <c r="K69" i="1"/>
  <c r="G69" i="1"/>
  <c r="H69" i="1"/>
  <c r="I69" i="1"/>
  <c r="M68" i="1"/>
  <c r="L68" i="1"/>
  <c r="K68" i="1"/>
  <c r="H68" i="1"/>
  <c r="I68" i="1"/>
  <c r="J67" i="1"/>
  <c r="I67" i="1"/>
  <c r="J66" i="1"/>
  <c r="H66" i="1"/>
  <c r="I66" i="1"/>
  <c r="M65" i="1"/>
  <c r="K65" i="1"/>
  <c r="J65" i="1"/>
  <c r="G65" i="1"/>
  <c r="H65" i="1"/>
  <c r="I65" i="1"/>
  <c r="M64" i="1"/>
  <c r="K64" i="1"/>
  <c r="J64" i="1"/>
  <c r="G64" i="1"/>
  <c r="H64" i="1"/>
  <c r="I64" i="1"/>
  <c r="J63" i="1"/>
  <c r="L63" i="1"/>
  <c r="K63" i="1"/>
  <c r="G63" i="1"/>
  <c r="H63" i="1"/>
  <c r="I63" i="1"/>
  <c r="M62" i="1"/>
  <c r="J62" i="1"/>
  <c r="L62" i="1"/>
  <c r="K62" i="1"/>
  <c r="G62" i="1"/>
  <c r="H62" i="1"/>
  <c r="I62" i="1"/>
  <c r="K57" i="1"/>
  <c r="J57" i="1"/>
  <c r="G57" i="1"/>
  <c r="H57" i="1"/>
  <c r="I57" i="1"/>
  <c r="J56" i="1"/>
  <c r="G56" i="1"/>
  <c r="I56" i="1"/>
  <c r="J55" i="1"/>
  <c r="L55" i="1"/>
  <c r="K55" i="1"/>
  <c r="H55" i="1"/>
  <c r="I55" i="1"/>
  <c r="J54" i="1"/>
  <c r="L54" i="1"/>
  <c r="K54" i="1"/>
  <c r="I54" i="1"/>
  <c r="J53" i="1"/>
  <c r="L53" i="1"/>
  <c r="K53" i="1"/>
  <c r="I53" i="1"/>
  <c r="J49" i="1"/>
  <c r="L49" i="1"/>
  <c r="K49" i="1"/>
  <c r="G49" i="1"/>
  <c r="I49" i="1"/>
  <c r="J47" i="1"/>
  <c r="L47" i="1"/>
  <c r="K47" i="1"/>
  <c r="H47" i="1"/>
  <c r="I47" i="1"/>
  <c r="M42" i="1"/>
  <c r="J42" i="1"/>
  <c r="L42" i="1"/>
  <c r="K42" i="1"/>
  <c r="G42" i="1"/>
  <c r="I42" i="1"/>
  <c r="J39" i="1"/>
  <c r="L39" i="1"/>
  <c r="G39" i="1"/>
  <c r="I39" i="1"/>
  <c r="J36" i="1"/>
  <c r="L36" i="1"/>
  <c r="I36" i="1"/>
  <c r="J35" i="1"/>
  <c r="L35" i="1"/>
  <c r="G35" i="1"/>
  <c r="I35" i="1"/>
  <c r="J34" i="1"/>
  <c r="L34" i="1"/>
  <c r="K34" i="1"/>
  <c r="I34" i="1"/>
  <c r="J33" i="1"/>
  <c r="L33" i="1"/>
  <c r="K33" i="1"/>
  <c r="I33" i="1"/>
  <c r="M30" i="1"/>
  <c r="J30" i="1"/>
  <c r="L30" i="1"/>
  <c r="K30" i="1"/>
  <c r="G30" i="1"/>
  <c r="I30" i="1"/>
  <c r="J29" i="1"/>
  <c r="G29" i="1"/>
  <c r="I29" i="1"/>
  <c r="J28" i="1"/>
  <c r="L28" i="1"/>
  <c r="G28" i="1"/>
  <c r="I28" i="1"/>
  <c r="J27" i="1"/>
  <c r="L27" i="1"/>
  <c r="K27" i="1"/>
  <c r="G27" i="1"/>
  <c r="H27" i="1"/>
  <c r="I27" i="1"/>
  <c r="J26" i="1"/>
  <c r="L26" i="1"/>
  <c r="K26" i="1"/>
  <c r="G26" i="1"/>
  <c r="I26" i="1"/>
  <c r="J25" i="1"/>
  <c r="L25" i="1"/>
  <c r="K25" i="1"/>
  <c r="G25" i="1"/>
  <c r="I25" i="1"/>
  <c r="M24" i="1"/>
  <c r="K24" i="1"/>
  <c r="J24" i="1"/>
  <c r="G24" i="1"/>
  <c r="I24" i="1"/>
  <c r="M23" i="1"/>
  <c r="K23" i="1"/>
  <c r="J23" i="1"/>
  <c r="G23" i="1"/>
  <c r="I23" i="1"/>
  <c r="M22" i="1"/>
  <c r="K22" i="1"/>
  <c r="J22" i="1"/>
  <c r="G22" i="1"/>
  <c r="I22" i="1"/>
  <c r="M21" i="1"/>
  <c r="K21" i="1"/>
  <c r="J21" i="1"/>
  <c r="G21" i="1"/>
  <c r="I21" i="1"/>
  <c r="M20" i="1"/>
  <c r="K20" i="1"/>
  <c r="J20" i="1"/>
  <c r="G20" i="1"/>
  <c r="I20" i="1"/>
  <c r="M19" i="1"/>
  <c r="K19" i="1"/>
  <c r="J19" i="1"/>
  <c r="G19" i="1"/>
  <c r="I19" i="1"/>
  <c r="M18" i="1"/>
  <c r="K18" i="1"/>
  <c r="J18" i="1"/>
  <c r="G18" i="1"/>
  <c r="I18" i="1"/>
  <c r="M17" i="1"/>
  <c r="K17" i="1"/>
  <c r="J17" i="1"/>
  <c r="G17" i="1"/>
  <c r="I17" i="1"/>
  <c r="M16" i="1"/>
  <c r="K16" i="1"/>
  <c r="J16" i="1"/>
  <c r="G16" i="1"/>
  <c r="I16" i="1"/>
  <c r="M15" i="1"/>
  <c r="K15" i="1"/>
  <c r="J15" i="1"/>
  <c r="G15" i="1"/>
  <c r="I15" i="1"/>
  <c r="M14" i="1"/>
  <c r="K14" i="1"/>
  <c r="J14" i="1"/>
  <c r="G14" i="1"/>
  <c r="I14" i="1"/>
  <c r="M13" i="1"/>
  <c r="K13" i="1"/>
  <c r="J13" i="1"/>
  <c r="G13" i="1"/>
  <c r="I13" i="1"/>
  <c r="M12" i="1"/>
  <c r="K12" i="1"/>
  <c r="J12" i="1"/>
  <c r="G12" i="1"/>
  <c r="I12" i="1"/>
  <c r="M11" i="1"/>
  <c r="K11" i="1"/>
  <c r="J11" i="1"/>
  <c r="G11" i="1"/>
  <c r="I11" i="1"/>
  <c r="M10" i="1"/>
  <c r="J10" i="1"/>
  <c r="L10" i="1"/>
  <c r="G10" i="1"/>
  <c r="H10" i="1"/>
  <c r="I10" i="1"/>
  <c r="L8" i="1"/>
  <c r="K8" i="1"/>
  <c r="J8" i="1"/>
  <c r="G8" i="1"/>
  <c r="I8" i="1"/>
  <c r="L7" i="1"/>
  <c r="K7" i="1"/>
  <c r="J7" i="1"/>
  <c r="G7" i="1"/>
  <c r="I7" i="1"/>
  <c r="L6" i="1"/>
  <c r="K6" i="1"/>
  <c r="J6" i="1"/>
  <c r="G6" i="1"/>
  <c r="I6" i="1"/>
  <c r="L5" i="1"/>
  <c r="K5" i="1"/>
  <c r="J5" i="1"/>
  <c r="G5" i="1"/>
  <c r="I5" i="1"/>
  <c r="L4" i="1"/>
  <c r="K4" i="1"/>
  <c r="J4" i="1"/>
  <c r="G4" i="1"/>
  <c r="I4" i="1"/>
  <c r="L3" i="1"/>
  <c r="K3" i="1"/>
  <c r="J3" i="1"/>
  <c r="G3" i="1"/>
  <c r="I3" i="1"/>
</calcChain>
</file>

<file path=xl/comments1.xml><?xml version="1.0" encoding="utf-8"?>
<comments xmlns="http://schemas.openxmlformats.org/spreadsheetml/2006/main">
  <authors>
    <author>Labeeb</author>
    <author>LA</author>
    <author>ges_student</author>
    <author/>
    <author>Jonathan</author>
    <author>Jonathan Choi</author>
    <author>Paul Elsen</author>
    <author>Lyndon Estes</author>
  </authors>
  <commentList>
    <comment ref="G3" authorId="0">
      <text>
        <r>
          <rPr>
            <b/>
            <sz val="9"/>
            <color indexed="81"/>
            <rFont val="Tahoma"/>
            <family val="2"/>
          </rPr>
          <t>Labeeb:</t>
        </r>
        <r>
          <rPr>
            <sz val="9"/>
            <color indexed="81"/>
            <rFont val="Tahoma"/>
            <family val="2"/>
          </rPr>
          <t xml:space="preserve">
Surface Temperature -AWG 28 wire ~ O.D. 1.0 mm x 1.4 mm - Calculated using area of ellipse.</t>
        </r>
      </text>
    </comment>
    <comment ref="J3" authorId="0">
      <text>
        <r>
          <rPr>
            <b/>
            <sz val="9"/>
            <color indexed="81"/>
            <rFont val="Tahoma"/>
            <family val="2"/>
          </rPr>
          <t>Labeeb:</t>
        </r>
        <r>
          <rPr>
            <sz val="9"/>
            <color indexed="81"/>
            <rFont val="Tahoma"/>
            <family val="2"/>
          </rPr>
          <t xml:space="preserve">
It takes sensors approximately 1 second to measure and log the data.</t>
        </r>
      </text>
    </comment>
    <comment ref="L3" authorId="0">
      <text>
        <r>
          <rPr>
            <b/>
            <sz val="9"/>
            <color indexed="81"/>
            <rFont val="Tahoma"/>
            <family val="2"/>
          </rPr>
          <t>Labeeb:</t>
        </r>
        <r>
          <rPr>
            <sz val="9"/>
            <color indexed="81"/>
            <rFont val="Tahoma"/>
            <family val="2"/>
          </rPr>
          <t xml:space="preserve">
39.5 hrs total study duration</t>
        </r>
      </text>
    </comment>
    <comment ref="M3" authorId="0">
      <text>
        <r>
          <rPr>
            <b/>
            <sz val="9"/>
            <color indexed="81"/>
            <rFont val="Tahoma"/>
            <family val="2"/>
          </rPr>
          <t>Labeeb:</t>
        </r>
        <r>
          <rPr>
            <sz val="9"/>
            <color indexed="81"/>
            <rFont val="Tahoma"/>
            <family val="2"/>
          </rPr>
          <t xml:space="preserve">
start date - 7/13/2011
end date - 4/27/2012</t>
        </r>
      </text>
    </comment>
    <comment ref="L4" authorId="0">
      <text>
        <r>
          <rPr>
            <b/>
            <sz val="9"/>
            <color indexed="81"/>
            <rFont val="Tahoma"/>
            <family val="2"/>
          </rPr>
          <t>Labeeb:</t>
        </r>
        <r>
          <rPr>
            <sz val="9"/>
            <color indexed="81"/>
            <rFont val="Tahoma"/>
            <family val="2"/>
          </rPr>
          <t xml:space="preserve">
29 hrs of total study duration</t>
        </r>
      </text>
    </comment>
    <comment ref="G5" authorId="0">
      <text>
        <r>
          <rPr>
            <b/>
            <sz val="9"/>
            <color indexed="81"/>
            <rFont val="Tahoma"/>
            <family val="2"/>
          </rPr>
          <t>Labeeb:</t>
        </r>
        <r>
          <rPr>
            <sz val="9"/>
            <color indexed="81"/>
            <rFont val="Tahoma"/>
            <family val="2"/>
          </rPr>
          <t xml:space="preserve">
Air temperature probe diameter - 0.0076 m - Product brochure
</t>
        </r>
      </text>
    </comment>
    <comment ref="G7" authorId="0">
      <text>
        <r>
          <rPr>
            <b/>
            <sz val="9"/>
            <color indexed="81"/>
            <rFont val="Tahoma"/>
            <family val="2"/>
          </rPr>
          <t>Labeeb:</t>
        </r>
        <r>
          <rPr>
            <sz val="9"/>
            <color indexed="81"/>
            <rFont val="Tahoma"/>
            <family val="2"/>
          </rPr>
          <t xml:space="preserve">
PAR sensor diameter - 0.0238 m - Product brochure</t>
        </r>
      </text>
    </comment>
    <comment ref="G10" authorId="1">
      <text>
        <r>
          <rPr>
            <b/>
            <sz val="9"/>
            <color indexed="81"/>
            <rFont val="Tahoma"/>
            <family val="2"/>
          </rPr>
          <t>LA:</t>
        </r>
        <r>
          <rPr>
            <sz val="9"/>
            <color indexed="81"/>
            <rFont val="Tahoma"/>
            <family val="2"/>
          </rPr>
          <t xml:space="preserve">
assume .14 m radius</t>
        </r>
      </text>
    </comment>
    <comment ref="H10" authorId="1">
      <text>
        <r>
          <rPr>
            <b/>
            <sz val="9"/>
            <color indexed="81"/>
            <rFont val="Tahoma"/>
            <family val="2"/>
          </rPr>
          <t>LA:</t>
        </r>
        <r>
          <rPr>
            <sz val="9"/>
            <color indexed="81"/>
            <rFont val="Tahoma"/>
            <family val="2"/>
          </rPr>
          <t xml:space="preserve">
Captive parents (57) and wild-reared parents (10) - Assume each parent had unique nest</t>
        </r>
      </text>
    </comment>
    <comment ref="J10" authorId="1">
      <text>
        <r>
          <rPr>
            <b/>
            <sz val="9"/>
            <color indexed="81"/>
            <rFont val="Tahoma"/>
            <family val="2"/>
          </rPr>
          <t>LA:</t>
        </r>
        <r>
          <rPr>
            <sz val="9"/>
            <color indexed="81"/>
            <rFont val="Tahoma"/>
            <family val="2"/>
          </rPr>
          <t xml:space="preserve">
Assume average chick fledging period sampling period</t>
        </r>
      </text>
    </comment>
    <comment ref="L10" authorId="1">
      <text>
        <r>
          <rPr>
            <b/>
            <sz val="9"/>
            <color indexed="81"/>
            <rFont val="Tahoma"/>
            <family val="2"/>
          </rPr>
          <t>LA:</t>
        </r>
        <r>
          <rPr>
            <sz val="9"/>
            <color indexed="81"/>
            <rFont val="Tahoma"/>
            <family val="2"/>
          </rPr>
          <t xml:space="preserve">
Assume annual sampling from 1992 to 2008</t>
        </r>
      </text>
    </comment>
    <comment ref="G11" authorId="1">
      <text>
        <r>
          <rPr>
            <b/>
            <sz val="9"/>
            <color indexed="81"/>
            <rFont val="Tahoma"/>
            <family val="2"/>
          </rPr>
          <t>LA:</t>
        </r>
        <r>
          <rPr>
            <sz val="9"/>
            <color indexed="81"/>
            <rFont val="Tahoma"/>
            <family val="2"/>
          </rPr>
          <t xml:space="preserve">
Unclear plot resolution. Assume that plot resolution is PS = (mean plant sample size from 2002 &amp; 2003/density) in ha converted to m^2.</t>
        </r>
      </text>
    </comment>
    <comment ref="H11" authorId="1">
      <text>
        <r>
          <rPr>
            <b/>
            <sz val="9"/>
            <color indexed="81"/>
            <rFont val="Tahoma"/>
            <family val="2"/>
          </rPr>
          <t>LA:</t>
        </r>
        <r>
          <rPr>
            <sz val="9"/>
            <color indexed="81"/>
            <rFont val="Tahoma"/>
            <family val="2"/>
          </rPr>
          <t xml:space="preserve">
Unclear how many plants sampled, so assume mean "sample size" as n_sites</t>
        </r>
      </text>
    </comment>
    <comment ref="J11" authorId="1">
      <text>
        <r>
          <rPr>
            <b/>
            <sz val="9"/>
            <color indexed="81"/>
            <rFont val="Tahoma"/>
            <family val="2"/>
          </rPr>
          <t>LA:</t>
        </r>
        <r>
          <rPr>
            <sz val="9"/>
            <color indexed="81"/>
            <rFont val="Tahoma"/>
            <family val="2"/>
          </rPr>
          <t xml:space="preserve">
assume ~ 2 hours spent at each site</t>
        </r>
      </text>
    </comment>
    <comment ref="K11" authorId="1">
      <text>
        <r>
          <rPr>
            <b/>
            <sz val="9"/>
            <color indexed="81"/>
            <rFont val="Tahoma"/>
            <family val="2"/>
          </rPr>
          <t>LA:</t>
        </r>
        <r>
          <rPr>
            <sz val="9"/>
            <color indexed="81"/>
            <rFont val="Tahoma"/>
            <family val="2"/>
          </rPr>
          <t xml:space="preserve">
Sample done once each year, so assume time between samples to be 1 year</t>
        </r>
      </text>
    </comment>
    <comment ref="L11" authorId="1">
      <text>
        <r>
          <rPr>
            <b/>
            <sz val="9"/>
            <color indexed="81"/>
            <rFont val="Tahoma"/>
            <family val="2"/>
          </rPr>
          <t>LA:</t>
        </r>
        <r>
          <rPr>
            <sz val="9"/>
            <color indexed="81"/>
            <rFont val="Tahoma"/>
            <family val="2"/>
          </rPr>
          <t xml:space="preserve">
Unclear. Assigned 1 day value. 
</t>
        </r>
      </text>
    </comment>
    <comment ref="M11" authorId="1">
      <text>
        <r>
          <rPr>
            <b/>
            <sz val="9"/>
            <color indexed="81"/>
            <rFont val="Tahoma"/>
            <family val="2"/>
          </rPr>
          <t>LA:</t>
        </r>
        <r>
          <rPr>
            <sz val="9"/>
            <color indexed="81"/>
            <rFont val="Tahoma"/>
            <family val="2"/>
          </rPr>
          <t xml:space="preserve">
Study was conducted over the course of two year 2002 and 2003</t>
        </r>
      </text>
    </comment>
    <comment ref="T11" authorId="1">
      <text>
        <r>
          <rPr>
            <b/>
            <sz val="9"/>
            <color indexed="81"/>
            <rFont val="Tahoma"/>
            <family val="2"/>
          </rPr>
          <t>LA:</t>
        </r>
        <r>
          <rPr>
            <sz val="9"/>
            <color indexed="81"/>
            <rFont val="Tahoma"/>
            <family val="2"/>
          </rPr>
          <t xml:space="preserve">
The paper and the data source were unclear about the plot resolution. The sampling  method used is Ordered Distance Method where sampling area is highly variable. </t>
        </r>
      </text>
    </comment>
    <comment ref="G25" authorId="0">
      <text>
        <r>
          <rPr>
            <b/>
            <sz val="9"/>
            <color indexed="81"/>
            <rFont val="Tahoma"/>
            <family val="2"/>
          </rPr>
          <t>Labeeb:</t>
        </r>
        <r>
          <rPr>
            <sz val="9"/>
            <color indexed="81"/>
            <rFont val="Tahoma"/>
            <family val="2"/>
          </rPr>
          <t xml:space="preserve">
Plot size not mentioned. The 4x4 m ground survey plots were randomly selected. Assuming this to be plot resolution for both sites.</t>
        </r>
      </text>
    </comment>
    <comment ref="H25" authorId="0">
      <text>
        <r>
          <rPr>
            <b/>
            <sz val="9"/>
            <color indexed="81"/>
            <rFont val="Tahoma"/>
            <family val="2"/>
          </rPr>
          <t>Labeeb:</t>
        </r>
        <r>
          <rPr>
            <sz val="9"/>
            <color indexed="81"/>
            <rFont val="Tahoma"/>
            <family val="2"/>
          </rPr>
          <t xml:space="preserve">
59 selected out of 118</t>
        </r>
      </text>
    </comment>
    <comment ref="J25" authorId="0">
      <text>
        <r>
          <rPr>
            <b/>
            <sz val="9"/>
            <color indexed="81"/>
            <rFont val="Tahoma"/>
            <family val="2"/>
          </rPr>
          <t>Labeeb:</t>
        </r>
        <r>
          <rPr>
            <sz val="9"/>
            <color indexed="81"/>
            <rFont val="Tahoma"/>
            <family val="2"/>
          </rPr>
          <t xml:space="preserve">
1 hr per tree, but actual time spent sampling the base, sub-canopy and canopy is 10 minutes each</t>
        </r>
      </text>
    </comment>
    <comment ref="K25" authorId="0">
      <text>
        <r>
          <rPr>
            <b/>
            <sz val="9"/>
            <color indexed="81"/>
            <rFont val="Tahoma"/>
            <family val="2"/>
          </rPr>
          <t>Labeeb:</t>
        </r>
        <r>
          <rPr>
            <sz val="9"/>
            <color indexed="81"/>
            <rFont val="Tahoma"/>
            <family val="2"/>
          </rPr>
          <t xml:space="preserve">
Tree surveys repeated day and night. Assuming ~12 hours apart</t>
        </r>
      </text>
    </comment>
    <comment ref="M25" authorId="0">
      <text>
        <r>
          <rPr>
            <b/>
            <sz val="9"/>
            <color indexed="81"/>
            <rFont val="Tahoma"/>
            <family val="2"/>
          </rPr>
          <t>Labeeb:</t>
        </r>
        <r>
          <rPr>
            <sz val="9"/>
            <color indexed="81"/>
            <rFont val="Tahoma"/>
            <family val="2"/>
          </rPr>
          <t xml:space="preserve">
Assuming start date: 2/1/2011 and end date: 10/31/2011</t>
        </r>
      </text>
    </comment>
    <comment ref="H27" authorId="0">
      <text>
        <r>
          <rPr>
            <b/>
            <sz val="9"/>
            <color indexed="81"/>
            <rFont val="Tahoma"/>
            <family val="2"/>
          </rPr>
          <t>Labeeb:</t>
        </r>
        <r>
          <rPr>
            <sz val="9"/>
            <color indexed="81"/>
            <rFont val="Tahoma"/>
            <family val="2"/>
          </rPr>
          <t xml:space="preserve">
Five temperature sensors were placed per elevation from 900 to 1900 m &amp; each sensor was paired with another above the ground (~1 m) . 10*6</t>
        </r>
      </text>
    </comment>
    <comment ref="J27" authorId="0">
      <text>
        <r>
          <rPr>
            <b/>
            <sz val="9"/>
            <color indexed="81"/>
            <rFont val="Tahoma"/>
            <family val="2"/>
          </rPr>
          <t>Labeeb:</t>
        </r>
        <r>
          <rPr>
            <sz val="9"/>
            <color indexed="81"/>
            <rFont val="Tahoma"/>
            <family val="2"/>
          </rPr>
          <t xml:space="preserve">
Assuming ~1 second to data log</t>
        </r>
      </text>
    </comment>
    <comment ref="L27" authorId="0">
      <text>
        <r>
          <rPr>
            <b/>
            <sz val="9"/>
            <color indexed="81"/>
            <rFont val="Tahoma"/>
            <family val="2"/>
          </rPr>
          <t>Labeeb:</t>
        </r>
        <r>
          <rPr>
            <sz val="9"/>
            <color indexed="81"/>
            <rFont val="Tahoma"/>
            <family val="2"/>
          </rPr>
          <t xml:space="preserve">
Assuming data loggers continuously collected temp data from May to Sep, 2011 i.e. 123 days and 177,120 minutes. Total of 11,808 times the data was measured</t>
        </r>
      </text>
    </comment>
    <comment ref="M27" authorId="0">
      <text>
        <r>
          <rPr>
            <b/>
            <sz val="9"/>
            <color indexed="81"/>
            <rFont val="Tahoma"/>
            <family val="2"/>
          </rPr>
          <t>Labeeb:</t>
        </r>
        <r>
          <rPr>
            <sz val="9"/>
            <color indexed="81"/>
            <rFont val="Tahoma"/>
            <family val="2"/>
          </rPr>
          <t xml:space="preserve">
May to September, 2011</t>
        </r>
      </text>
    </comment>
    <comment ref="H28" authorId="0">
      <text>
        <r>
          <rPr>
            <b/>
            <sz val="9"/>
            <color indexed="81"/>
            <rFont val="Tahoma"/>
            <family val="2"/>
          </rPr>
          <t>Labeeb:</t>
        </r>
        <r>
          <rPr>
            <sz val="9"/>
            <color indexed="81"/>
            <rFont val="Tahoma"/>
            <family val="2"/>
          </rPr>
          <t xml:space="preserve">
Unclear how many sites, but assume tree transects data collected at each tree survery site</t>
        </r>
      </text>
    </comment>
    <comment ref="J28" authorId="0">
      <text>
        <r>
          <rPr>
            <b/>
            <sz val="9"/>
            <color indexed="81"/>
            <rFont val="Tahoma"/>
            <family val="2"/>
          </rPr>
          <t>Labeeb:</t>
        </r>
        <r>
          <rPr>
            <sz val="9"/>
            <color indexed="81"/>
            <rFont val="Tahoma"/>
            <family val="2"/>
          </rPr>
          <t xml:space="preserve">
Assuming takes ~ 1 hr</t>
        </r>
      </text>
    </comment>
    <comment ref="K28" authorId="0">
      <text>
        <r>
          <rPr>
            <b/>
            <sz val="9"/>
            <color indexed="81"/>
            <rFont val="Tahoma"/>
            <family val="2"/>
          </rPr>
          <t>Labeeb:</t>
        </r>
        <r>
          <rPr>
            <sz val="9"/>
            <color indexed="81"/>
            <rFont val="Tahoma"/>
            <family val="2"/>
          </rPr>
          <t xml:space="preserve">
Unclear. Assume it takes 1 day
</t>
        </r>
      </text>
    </comment>
    <comment ref="L28" authorId="0">
      <text>
        <r>
          <rPr>
            <b/>
            <sz val="9"/>
            <color indexed="81"/>
            <rFont val="Tahoma"/>
            <family val="2"/>
          </rPr>
          <t>Labeeb:</t>
        </r>
        <r>
          <rPr>
            <sz val="9"/>
            <color indexed="81"/>
            <rFont val="Tahoma"/>
            <family val="2"/>
          </rPr>
          <t xml:space="preserve">
Assume 59 transects was sampled only once</t>
        </r>
      </text>
    </comment>
    <comment ref="M28" authorId="0">
      <text>
        <r>
          <rPr>
            <b/>
            <sz val="9"/>
            <color indexed="81"/>
            <rFont val="Tahoma"/>
            <family val="2"/>
          </rPr>
          <t>Labeeb:</t>
        </r>
        <r>
          <rPr>
            <sz val="9"/>
            <color indexed="81"/>
            <rFont val="Tahoma"/>
            <family val="2"/>
          </rPr>
          <t xml:space="preserve">
Unclear. Assume Feb to Oct, 2011</t>
        </r>
      </text>
    </comment>
    <comment ref="H29" authorId="0">
      <text>
        <r>
          <rPr>
            <b/>
            <sz val="9"/>
            <color indexed="81"/>
            <rFont val="Tahoma"/>
            <family val="2"/>
          </rPr>
          <t>Labeeb:</t>
        </r>
        <r>
          <rPr>
            <sz val="9"/>
            <color indexed="81"/>
            <rFont val="Tahoma"/>
            <family val="2"/>
          </rPr>
          <t xml:space="preserve">
Unclear how many sites, but assume tree transects data collected at each tree survery site</t>
        </r>
      </text>
    </comment>
    <comment ref="L29" authorId="1">
      <text>
        <r>
          <rPr>
            <b/>
            <sz val="9"/>
            <color indexed="81"/>
            <rFont val="Tahoma"/>
            <family val="2"/>
          </rPr>
          <t>LA:</t>
        </r>
        <r>
          <rPr>
            <sz val="9"/>
            <color indexed="81"/>
            <rFont val="Tahoma"/>
            <family val="2"/>
          </rPr>
          <t xml:space="preserve">
Assume 8 transects sampled only once
</t>
        </r>
      </text>
    </comment>
    <comment ref="G30" authorId="1">
      <text>
        <r>
          <rPr>
            <b/>
            <sz val="9"/>
            <color indexed="81"/>
            <rFont val="Tahoma"/>
            <family val="2"/>
          </rPr>
          <t>LA:</t>
        </r>
        <r>
          <rPr>
            <sz val="9"/>
            <color indexed="81"/>
            <rFont val="Tahoma"/>
            <family val="2"/>
          </rPr>
          <t xml:space="preserve">
Using satellite imagery from Google Earth the width of the river approximated to 30 meters. </t>
        </r>
      </text>
    </comment>
    <comment ref="J30" authorId="1">
      <text>
        <r>
          <rPr>
            <b/>
            <sz val="9"/>
            <color indexed="81"/>
            <rFont val="Tahoma"/>
            <family val="2"/>
          </rPr>
          <t>LA:</t>
        </r>
        <r>
          <rPr>
            <sz val="9"/>
            <color indexed="81"/>
            <rFont val="Tahoma"/>
            <family val="2"/>
          </rPr>
          <t xml:space="preserve">
Assuming 3 hours to complete sampling the entire transect</t>
        </r>
      </text>
    </comment>
    <comment ref="L30" authorId="1">
      <text>
        <r>
          <rPr>
            <b/>
            <sz val="9"/>
            <color indexed="81"/>
            <rFont val="Tahoma"/>
            <family val="2"/>
          </rPr>
          <t>LA:</t>
        </r>
        <r>
          <rPr>
            <sz val="9"/>
            <color indexed="81"/>
            <rFont val="Tahoma"/>
            <family val="2"/>
          </rPr>
          <t xml:space="preserve">
10 repeated samples * samp_duration. Includes native fish sampling as well</t>
        </r>
      </text>
    </comment>
    <comment ref="M30" authorId="1">
      <text>
        <r>
          <rPr>
            <b/>
            <sz val="9"/>
            <color indexed="81"/>
            <rFont val="Tahoma"/>
            <family val="2"/>
          </rPr>
          <t>LA:</t>
        </r>
        <r>
          <rPr>
            <sz val="9"/>
            <color indexed="81"/>
            <rFont val="Tahoma"/>
            <family val="2"/>
          </rPr>
          <t xml:space="preserve">
March, 2008 to May, 2010</t>
        </r>
      </text>
    </comment>
    <comment ref="T30" authorId="1">
      <text>
        <r>
          <rPr>
            <b/>
            <sz val="9"/>
            <color indexed="81"/>
            <rFont val="Tahoma"/>
            <family val="2"/>
          </rPr>
          <t>LA:</t>
        </r>
        <r>
          <rPr>
            <sz val="9"/>
            <color indexed="81"/>
            <rFont val="Tahoma"/>
            <family val="2"/>
          </rPr>
          <t xml:space="preserve">
Assuming experimental determiniation of fish biomass and nutrient recycling </t>
        </r>
      </text>
    </comment>
    <comment ref="G33" authorId="0">
      <text>
        <r>
          <rPr>
            <b/>
            <sz val="9"/>
            <color indexed="81"/>
            <rFont val="Tahoma"/>
            <family val="2"/>
          </rPr>
          <t>Labeeb:</t>
        </r>
        <r>
          <rPr>
            <sz val="9"/>
            <color indexed="81"/>
            <rFont val="Tahoma"/>
            <family val="2"/>
          </rPr>
          <t xml:space="preserve">
Avg. of sensor SA of all applicable HOBO and iButton data loggers</t>
        </r>
      </text>
    </comment>
    <comment ref="H33" authorId="0">
      <text>
        <r>
          <rPr>
            <b/>
            <sz val="9"/>
            <color indexed="81"/>
            <rFont val="Tahoma"/>
            <family val="2"/>
          </rPr>
          <t>Labeeb:</t>
        </r>
        <r>
          <rPr>
            <sz val="9"/>
            <color indexed="81"/>
            <rFont val="Tahoma"/>
            <family val="2"/>
          </rPr>
          <t xml:space="preserve">
10 streams</t>
        </r>
      </text>
    </comment>
    <comment ref="I33" authorId="0">
      <text>
        <r>
          <rPr>
            <b/>
            <sz val="9"/>
            <color indexed="81"/>
            <rFont val="Tahoma"/>
            <family val="2"/>
          </rPr>
          <t>Labeeb:</t>
        </r>
        <r>
          <rPr>
            <sz val="9"/>
            <color indexed="81"/>
            <rFont val="Tahoma"/>
            <family val="2"/>
          </rPr>
          <t xml:space="preserve">
Not sure how many data loggers used. Conservative assumption one used for each stream.</t>
        </r>
      </text>
    </comment>
    <comment ref="J33" authorId="0">
      <text>
        <r>
          <rPr>
            <b/>
            <sz val="9"/>
            <color indexed="81"/>
            <rFont val="Tahoma"/>
            <family val="2"/>
          </rPr>
          <t>Labeeb:</t>
        </r>
        <r>
          <rPr>
            <sz val="9"/>
            <color indexed="81"/>
            <rFont val="Tahoma"/>
            <family val="2"/>
          </rPr>
          <t xml:space="preserve">
It takes sensors approximately ~ 1 second to measure and log the data. Data is logged every 15 mins. Therefore, 0.01667 min*96(15 min intervals)/(60*24) [in days] -- Assumed 15 minute interval from USGS guidelines</t>
        </r>
      </text>
    </comment>
    <comment ref="K33" authorId="0">
      <text>
        <r>
          <rPr>
            <b/>
            <sz val="9"/>
            <color indexed="81"/>
            <rFont val="Tahoma"/>
            <family val="2"/>
          </rPr>
          <t>Labeeb:</t>
        </r>
        <r>
          <rPr>
            <sz val="9"/>
            <color indexed="81"/>
            <rFont val="Tahoma"/>
            <family val="2"/>
          </rPr>
          <t xml:space="preserve">
Unclear. Assuming ~15 minutes intervals for smaller streams according to USGS Hydrologic data collection guidelines</t>
        </r>
      </text>
    </comment>
    <comment ref="L33" authorId="0">
      <text>
        <r>
          <rPr>
            <b/>
            <sz val="9"/>
            <color indexed="81"/>
            <rFont val="Tahoma"/>
            <family val="2"/>
          </rPr>
          <t>Labeeb:</t>
        </r>
        <r>
          <rPr>
            <sz val="9"/>
            <color indexed="81"/>
            <rFont val="Tahoma"/>
            <family val="2"/>
          </rPr>
          <t xml:space="preserve">
Data collected from July to August (2007). Assuming 6/1/07 to 8/31/07</t>
        </r>
      </text>
    </comment>
    <comment ref="G34" authorId="0">
      <text>
        <r>
          <rPr>
            <b/>
            <sz val="9"/>
            <color indexed="81"/>
            <rFont val="Tahoma"/>
            <family val="2"/>
          </rPr>
          <t>Labeeb:</t>
        </r>
        <r>
          <rPr>
            <sz val="9"/>
            <color indexed="81"/>
            <rFont val="Tahoma"/>
            <family val="2"/>
          </rPr>
          <t xml:space="preserve">
Avg. of sensor SA of ONLY applicable HOBO data loggers</t>
        </r>
      </text>
    </comment>
    <comment ref="I34" authorId="0">
      <text>
        <r>
          <rPr>
            <b/>
            <sz val="9"/>
            <color indexed="81"/>
            <rFont val="Tahoma"/>
            <family val="2"/>
          </rPr>
          <t>Labeeb:</t>
        </r>
        <r>
          <rPr>
            <sz val="9"/>
            <color indexed="81"/>
            <rFont val="Tahoma"/>
            <family val="2"/>
          </rPr>
          <t xml:space="preserve">
Not sure how many data loggers used. Conservative assumption one used for each stream.</t>
        </r>
      </text>
    </comment>
    <comment ref="J34" authorId="0">
      <text>
        <r>
          <rPr>
            <b/>
            <sz val="9"/>
            <color indexed="81"/>
            <rFont val="Tahoma"/>
            <family val="2"/>
          </rPr>
          <t>Labeeb:</t>
        </r>
        <r>
          <rPr>
            <sz val="9"/>
            <color indexed="81"/>
            <rFont val="Tahoma"/>
            <family val="2"/>
          </rPr>
          <t xml:space="preserve">
It takes sensors approximately ~ 1 second to measure and log the data. Data is logged every 15 mins. Therefore, 0.01667 min*96(15 min intervals)/(60*24) [in days] -- Assumed 15 minute interval from USGS guidelines</t>
        </r>
      </text>
    </comment>
    <comment ref="K34" authorId="0">
      <text>
        <r>
          <rPr>
            <b/>
            <sz val="9"/>
            <color indexed="81"/>
            <rFont val="Tahoma"/>
            <family val="2"/>
          </rPr>
          <t>Labeeb:</t>
        </r>
        <r>
          <rPr>
            <sz val="9"/>
            <color indexed="81"/>
            <rFont val="Tahoma"/>
            <family val="2"/>
          </rPr>
          <t xml:space="preserve">
Unclear. Assuming ~15 minutes intervals for smaller streams according to USGS Hydrologic data collection guidelines</t>
        </r>
      </text>
    </comment>
    <comment ref="L34" authorId="0">
      <text>
        <r>
          <rPr>
            <b/>
            <sz val="9"/>
            <color indexed="81"/>
            <rFont val="Tahoma"/>
            <family val="2"/>
          </rPr>
          <t>Labeeb:</t>
        </r>
        <r>
          <rPr>
            <sz val="9"/>
            <color indexed="81"/>
            <rFont val="Tahoma"/>
            <family val="2"/>
          </rPr>
          <t xml:space="preserve">
Data collected from Sep, 2007 to Sep, 2008</t>
        </r>
      </text>
    </comment>
    <comment ref="G35" authorId="0">
      <text>
        <r>
          <rPr>
            <b/>
            <sz val="9"/>
            <color indexed="81"/>
            <rFont val="Tahoma"/>
            <family val="2"/>
          </rPr>
          <t>Labeeb:</t>
        </r>
        <r>
          <rPr>
            <sz val="9"/>
            <color indexed="81"/>
            <rFont val="Tahoma"/>
            <family val="2"/>
          </rPr>
          <t xml:space="preserve">
Assume 12x12 (in) Surber sampler</t>
        </r>
      </text>
    </comment>
    <comment ref="H35" authorId="1">
      <text>
        <r>
          <rPr>
            <b/>
            <sz val="9"/>
            <color indexed="81"/>
            <rFont val="Tahoma"/>
            <family val="2"/>
          </rPr>
          <t>LA:</t>
        </r>
        <r>
          <rPr>
            <sz val="9"/>
            <color indexed="81"/>
            <rFont val="Tahoma"/>
            <family val="2"/>
          </rPr>
          <t xml:space="preserve">
Collected over 4 years (2002 to 2005)</t>
        </r>
      </text>
    </comment>
    <comment ref="J35" authorId="0">
      <text>
        <r>
          <rPr>
            <b/>
            <sz val="9"/>
            <color indexed="81"/>
            <rFont val="Tahoma"/>
            <family val="2"/>
          </rPr>
          <t>Labeeb:</t>
        </r>
        <r>
          <rPr>
            <sz val="9"/>
            <color indexed="81"/>
            <rFont val="Tahoma"/>
            <family val="2"/>
          </rPr>
          <t xml:space="preserve">
Assume ~ 30 mins for each sample</t>
        </r>
      </text>
    </comment>
    <comment ref="L35" authorId="0">
      <text>
        <r>
          <rPr>
            <b/>
            <sz val="9"/>
            <color indexed="81"/>
            <rFont val="Tahoma"/>
            <family val="2"/>
          </rPr>
          <t>Labeeb:</t>
        </r>
        <r>
          <rPr>
            <sz val="9"/>
            <color indexed="81"/>
            <rFont val="Tahoma"/>
            <family val="2"/>
          </rPr>
          <t xml:space="preserve">
Assume sampling done each summer from 2002 to 2005</t>
        </r>
      </text>
    </comment>
    <comment ref="M35" authorId="0">
      <text>
        <r>
          <rPr>
            <b/>
            <sz val="9"/>
            <color indexed="81"/>
            <rFont val="Tahoma"/>
            <family val="2"/>
          </rPr>
          <t>Labeeb:</t>
        </r>
        <r>
          <rPr>
            <sz val="9"/>
            <color indexed="81"/>
            <rFont val="Tahoma"/>
            <family val="2"/>
          </rPr>
          <t xml:space="preserve">
Sampled from June, 2002 to (end of) September, 2005</t>
        </r>
      </text>
    </comment>
    <comment ref="G36" authorId="0">
      <text>
        <r>
          <rPr>
            <b/>
            <sz val="9"/>
            <color indexed="81"/>
            <rFont val="Tahoma"/>
            <family val="2"/>
          </rPr>
          <t>Labeeb:</t>
        </r>
        <r>
          <rPr>
            <sz val="9"/>
            <color indexed="81"/>
            <rFont val="Tahoma"/>
            <family val="2"/>
          </rPr>
          <t xml:space="preserve">
Size of plastic plate with insect trap coating</t>
        </r>
      </text>
    </comment>
    <comment ref="H36" authorId="0">
      <text>
        <r>
          <rPr>
            <b/>
            <sz val="9"/>
            <color indexed="81"/>
            <rFont val="Tahoma"/>
            <family val="2"/>
          </rPr>
          <t>Labeeb:</t>
        </r>
        <r>
          <rPr>
            <sz val="9"/>
            <color indexed="81"/>
            <rFont val="Tahoma"/>
            <family val="2"/>
          </rPr>
          <t xml:space="preserve">
Number of emergence traps used not disclosed - assume one trap set in two sites</t>
        </r>
      </text>
    </comment>
    <comment ref="J36" authorId="0">
      <text>
        <r>
          <rPr>
            <b/>
            <sz val="9"/>
            <color indexed="81"/>
            <rFont val="Tahoma"/>
            <family val="2"/>
          </rPr>
          <t>Labeeb:</t>
        </r>
        <r>
          <rPr>
            <sz val="9"/>
            <color indexed="81"/>
            <rFont val="Tahoma"/>
            <family val="2"/>
          </rPr>
          <t xml:space="preserve">
Assume it takes 1 hr to collect and record insects from traps</t>
        </r>
      </text>
    </comment>
    <comment ref="L36" authorId="0">
      <text>
        <r>
          <rPr>
            <b/>
            <sz val="9"/>
            <color indexed="81"/>
            <rFont val="Tahoma"/>
            <family val="2"/>
          </rPr>
          <t>Labeeb:</t>
        </r>
        <r>
          <rPr>
            <sz val="9"/>
            <color indexed="81"/>
            <rFont val="Tahoma"/>
            <family val="2"/>
          </rPr>
          <t xml:space="preserve">
Emergence data collected  every 48 hours between 6/24/04 to 9/10/04 - 39 (48h) intervals - assume this to be no. of repeated sampling</t>
        </r>
      </text>
    </comment>
    <comment ref="G39" authorId="1">
      <text>
        <r>
          <rPr>
            <b/>
            <sz val="9"/>
            <color indexed="81"/>
            <rFont val="Tahoma"/>
            <family val="2"/>
          </rPr>
          <t>LA:</t>
        </r>
        <r>
          <rPr>
            <sz val="9"/>
            <color indexed="81"/>
            <rFont val="Tahoma"/>
            <family val="2"/>
          </rPr>
          <t xml:space="preserve">
Plot resolution average of transect search (1500*300 (m)) and 180 degree search (pi*300^2), because unclear how many swimming or flying birds sampled as two separate plot resolutions used</t>
        </r>
      </text>
    </comment>
    <comment ref="H39" authorId="1">
      <text>
        <r>
          <rPr>
            <b/>
            <sz val="9"/>
            <color indexed="81"/>
            <rFont val="Tahoma"/>
            <family val="2"/>
          </rPr>
          <t>LA:</t>
        </r>
        <r>
          <rPr>
            <sz val="9"/>
            <color indexed="81"/>
            <rFont val="Tahoma"/>
            <family val="2"/>
          </rPr>
          <t xml:space="preserve">
Assuming 76 surveys for both flying and swimming birds
</t>
        </r>
      </text>
    </comment>
    <comment ref="K39" authorId="1">
      <text>
        <r>
          <rPr>
            <b/>
            <sz val="9"/>
            <color indexed="81"/>
            <rFont val="Tahoma"/>
            <family val="2"/>
          </rPr>
          <t>LA:</t>
        </r>
        <r>
          <rPr>
            <sz val="9"/>
            <color indexed="81"/>
            <rFont val="Tahoma"/>
            <family val="2"/>
          </rPr>
          <t xml:space="preserve">
assuming takes one day to get from one survey site to another</t>
        </r>
      </text>
    </comment>
    <comment ref="L39" authorId="1">
      <text>
        <r>
          <rPr>
            <b/>
            <sz val="9"/>
            <color indexed="81"/>
            <rFont val="Tahoma"/>
            <family val="2"/>
          </rPr>
          <t>LA:</t>
        </r>
        <r>
          <rPr>
            <sz val="9"/>
            <color indexed="81"/>
            <rFont val="Tahoma"/>
            <family val="2"/>
          </rPr>
          <t xml:space="preserve">
Unclear - Assume single sampling of each transect</t>
        </r>
      </text>
    </comment>
    <comment ref="M39" authorId="1">
      <text>
        <r>
          <rPr>
            <b/>
            <sz val="9"/>
            <color indexed="81"/>
            <rFont val="Tahoma"/>
            <family val="2"/>
          </rPr>
          <t>LA:</t>
        </r>
        <r>
          <rPr>
            <sz val="9"/>
            <color indexed="81"/>
            <rFont val="Tahoma"/>
            <family val="2"/>
          </rPr>
          <t xml:space="preserve">
March 1, 2006 to Oct 31, 2009</t>
        </r>
      </text>
    </comment>
    <comment ref="G42" authorId="1">
      <text>
        <r>
          <rPr>
            <b/>
            <sz val="9"/>
            <color indexed="81"/>
            <rFont val="Tahoma"/>
            <family val="2"/>
          </rPr>
          <t>LA:</t>
        </r>
        <r>
          <rPr>
            <sz val="9"/>
            <color indexed="81"/>
            <rFont val="Tahoma"/>
            <family val="2"/>
          </rPr>
          <t xml:space="preserve">
LRFF average (head-to-body length * wingspan). Source: http://animaldiversity.org/site/accounts/information/Pteropus_scapulatus.html</t>
        </r>
      </text>
    </comment>
    <comment ref="H42" authorId="1">
      <text>
        <r>
          <rPr>
            <b/>
            <sz val="9"/>
            <color indexed="81"/>
            <rFont val="Tahoma"/>
            <family val="2"/>
          </rPr>
          <t>LA:</t>
        </r>
        <r>
          <rPr>
            <sz val="9"/>
            <color indexed="81"/>
            <rFont val="Tahoma"/>
            <family val="2"/>
          </rPr>
          <t xml:space="preserve">
LRFFs captured eight times from six locations  from table 1 -  assuming each capture had one mist-net</t>
        </r>
      </text>
    </comment>
    <comment ref="J42" authorId="1">
      <text>
        <r>
          <rPr>
            <b/>
            <sz val="9"/>
            <color indexed="81"/>
            <rFont val="Tahoma"/>
            <family val="2"/>
          </rPr>
          <t>LA:</t>
        </r>
        <r>
          <rPr>
            <sz val="9"/>
            <color indexed="81"/>
            <rFont val="Tahoma"/>
            <family val="2"/>
          </rPr>
          <t xml:space="preserve">
approx. 15 minutes spent on each bat</t>
        </r>
      </text>
    </comment>
    <comment ref="L42" authorId="1">
      <text>
        <r>
          <rPr>
            <b/>
            <sz val="9"/>
            <color indexed="81"/>
            <rFont val="Tahoma"/>
            <family val="2"/>
          </rPr>
          <t>LA:</t>
        </r>
        <r>
          <rPr>
            <sz val="9"/>
            <color indexed="81"/>
            <rFont val="Tahoma"/>
            <family val="2"/>
          </rPr>
          <t xml:space="preserve">
Repeated sampling during five seasons from Nov, 2004 to March, 2006</t>
        </r>
      </text>
    </comment>
    <comment ref="G47" authorId="1">
      <text>
        <r>
          <rPr>
            <b/>
            <sz val="9"/>
            <color indexed="81"/>
            <rFont val="Tahoma"/>
            <family val="2"/>
          </rPr>
          <t>LA:</t>
        </r>
        <r>
          <rPr>
            <sz val="9"/>
            <color indexed="81"/>
            <rFont val="Tahoma"/>
            <family val="2"/>
          </rPr>
          <t xml:space="preserve">
Authors note approximate sampling area is 5 cm^2 at all sites</t>
        </r>
      </text>
    </comment>
    <comment ref="H47" authorId="1">
      <text>
        <r>
          <rPr>
            <b/>
            <sz val="9"/>
            <color indexed="81"/>
            <rFont val="Tahoma"/>
            <family val="2"/>
          </rPr>
          <t>LA:</t>
        </r>
        <r>
          <rPr>
            <sz val="9"/>
            <color indexed="81"/>
            <rFont val="Tahoma"/>
            <family val="2"/>
          </rPr>
          <t xml:space="preserve">
dry (n=24), lentic (n=4*17) &amp; lotic (n=40)
Lentic lake sampling: At each alpine lake (lentic) 4 lentic moss samples were obtained</t>
        </r>
      </text>
    </comment>
    <comment ref="J47" authorId="1">
      <text>
        <r>
          <rPr>
            <b/>
            <sz val="9"/>
            <color indexed="81"/>
            <rFont val="Tahoma"/>
            <family val="2"/>
          </rPr>
          <t>LA:</t>
        </r>
        <r>
          <rPr>
            <sz val="9"/>
            <color indexed="81"/>
            <rFont val="Tahoma"/>
            <family val="2"/>
          </rPr>
          <t xml:space="preserve">
Assume it takes 5 minutes to collect the moss cushion samples</t>
        </r>
      </text>
    </comment>
    <comment ref="K47" authorId="1">
      <text>
        <r>
          <rPr>
            <b/>
            <sz val="9"/>
            <color indexed="81"/>
            <rFont val="Tahoma"/>
            <family val="2"/>
          </rPr>
          <t>LA:</t>
        </r>
        <r>
          <rPr>
            <sz val="9"/>
            <color indexed="81"/>
            <rFont val="Tahoma"/>
            <family val="2"/>
          </rPr>
          <t xml:space="preserve">
Assuming meterological seasons and calculation of mean no. of days between each sampling season</t>
        </r>
      </text>
    </comment>
    <comment ref="L47" authorId="1">
      <text>
        <r>
          <rPr>
            <b/>
            <sz val="9"/>
            <color indexed="81"/>
            <rFont val="Tahoma"/>
            <family val="2"/>
          </rPr>
          <t>LA:</t>
        </r>
        <r>
          <rPr>
            <sz val="9"/>
            <color indexed="81"/>
            <rFont val="Tahoma"/>
            <family val="2"/>
          </rPr>
          <t xml:space="preserve">
Assume single sampling at all sites</t>
        </r>
      </text>
    </comment>
    <comment ref="M47" authorId="1">
      <text>
        <r>
          <rPr>
            <b/>
            <sz val="9"/>
            <color indexed="81"/>
            <rFont val="Tahoma"/>
            <family val="2"/>
          </rPr>
          <t>LA:</t>
        </r>
        <r>
          <rPr>
            <sz val="9"/>
            <color indexed="81"/>
            <rFont val="Tahoma"/>
            <family val="2"/>
          </rPr>
          <t xml:space="preserve">
Using meterological seasons to approximate study span. Data collection started in Summer, 2001 and ended in Summer, 2003</t>
        </r>
      </text>
    </comment>
    <comment ref="G49" authorId="1">
      <text>
        <r>
          <rPr>
            <b/>
            <sz val="9"/>
            <color indexed="81"/>
            <rFont val="Tahoma"/>
            <family val="2"/>
          </rPr>
          <t>LA:</t>
        </r>
        <r>
          <rPr>
            <sz val="9"/>
            <color indexed="81"/>
            <rFont val="Tahoma"/>
            <family val="2"/>
          </rPr>
          <t xml:space="preserve">
Two sampling methods used - transects and 15' plot observations - the plot observations were hapazardly selected. It is highly variable and not provided. Assume transect resolution as the minimum plot resolution for all sites.</t>
        </r>
      </text>
    </comment>
    <comment ref="J49" authorId="1">
      <text>
        <r>
          <rPr>
            <b/>
            <sz val="9"/>
            <color indexed="81"/>
            <rFont val="Tahoma"/>
            <family val="2"/>
          </rPr>
          <t>LA:</t>
        </r>
        <r>
          <rPr>
            <sz val="9"/>
            <color indexed="81"/>
            <rFont val="Tahoma"/>
            <family val="2"/>
          </rPr>
          <t xml:space="preserve">
15 mins spent at each observational plot. Assume this as approximate time spent sampling each plot.</t>
        </r>
      </text>
    </comment>
    <comment ref="K49" authorId="1">
      <text>
        <r>
          <rPr>
            <b/>
            <sz val="9"/>
            <color indexed="81"/>
            <rFont val="Tahoma"/>
            <family val="2"/>
          </rPr>
          <t>LA:</t>
        </r>
        <r>
          <rPr>
            <sz val="9"/>
            <color indexed="81"/>
            <rFont val="Tahoma"/>
            <family val="2"/>
          </rPr>
          <t xml:space="preserve">
no. of days between each sampling event averaged</t>
        </r>
      </text>
    </comment>
    <comment ref="L49" authorId="1">
      <text>
        <r>
          <rPr>
            <b/>
            <sz val="9"/>
            <color indexed="81"/>
            <rFont val="Tahoma"/>
            <family val="2"/>
          </rPr>
          <t>LA:</t>
        </r>
        <r>
          <rPr>
            <sz val="9"/>
            <color indexed="81"/>
            <rFont val="Tahoma"/>
            <family val="2"/>
          </rPr>
          <t xml:space="preserve">
Approximate sampling done three times in 2010, 2011 &amp; 2012 during crop flowering periods</t>
        </r>
      </text>
    </comment>
    <comment ref="G53" authorId="1">
      <text>
        <r>
          <rPr>
            <b/>
            <sz val="9"/>
            <color indexed="81"/>
            <rFont val="Tahoma"/>
            <family val="2"/>
          </rPr>
          <t>LA:</t>
        </r>
        <r>
          <rPr>
            <sz val="9"/>
            <color indexed="81"/>
            <rFont val="Tahoma"/>
            <family val="2"/>
          </rPr>
          <t xml:space="preserve">
Mean surface area of sites sampled. Surface area highly variable.</t>
        </r>
      </text>
    </comment>
    <comment ref="J53" authorId="1">
      <text>
        <r>
          <rPr>
            <b/>
            <sz val="9"/>
            <color indexed="81"/>
            <rFont val="Tahoma"/>
            <family val="2"/>
          </rPr>
          <t>LA:</t>
        </r>
        <r>
          <rPr>
            <sz val="9"/>
            <color indexed="81"/>
            <rFont val="Tahoma"/>
            <family val="2"/>
          </rPr>
          <t xml:space="preserve">
two divers surverying sample site with an approx. mean width of 10.5 m. Assume 15 mins at each site</t>
        </r>
      </text>
    </comment>
    <comment ref="L53" authorId="1">
      <text>
        <r>
          <rPr>
            <b/>
            <sz val="9"/>
            <color indexed="81"/>
            <rFont val="Tahoma"/>
            <family val="2"/>
          </rPr>
          <t>LA:</t>
        </r>
        <r>
          <rPr>
            <sz val="9"/>
            <color indexed="81"/>
            <rFont val="Tahoma"/>
            <family val="2"/>
          </rPr>
          <t xml:space="preserve">
Fish sampled three times between 25 July to 4 August, 2001</t>
        </r>
      </text>
    </comment>
    <comment ref="G54" authorId="1">
      <text>
        <r>
          <rPr>
            <b/>
            <sz val="9"/>
            <color indexed="81"/>
            <rFont val="Tahoma"/>
            <family val="2"/>
          </rPr>
          <t>LA:</t>
        </r>
        <r>
          <rPr>
            <sz val="9"/>
            <color indexed="81"/>
            <rFont val="Tahoma"/>
            <family val="2"/>
          </rPr>
          <t xml:space="preserve">
Mean surface area of sites sampled. Surface area highly variable.</t>
        </r>
      </text>
    </comment>
    <comment ref="J54" authorId="1">
      <text>
        <r>
          <rPr>
            <b/>
            <sz val="9"/>
            <color indexed="81"/>
            <rFont val="Tahoma"/>
            <family val="2"/>
          </rPr>
          <t>LA:</t>
        </r>
        <r>
          <rPr>
            <sz val="9"/>
            <color indexed="81"/>
            <rFont val="Tahoma"/>
            <family val="2"/>
          </rPr>
          <t xml:space="preserve">
two divers surverying sample site with an approx. mean width of 10.5 m. Assume 15 mins at each site</t>
        </r>
      </text>
    </comment>
    <comment ref="L54" authorId="1">
      <text>
        <r>
          <rPr>
            <b/>
            <sz val="9"/>
            <color indexed="81"/>
            <rFont val="Tahoma"/>
            <family val="2"/>
          </rPr>
          <t>LA:</t>
        </r>
        <r>
          <rPr>
            <sz val="9"/>
            <color indexed="81"/>
            <rFont val="Tahoma"/>
            <family val="2"/>
          </rPr>
          <t xml:space="preserve">
Fish sampled three times between 25 July to 4 August, 2001</t>
        </r>
      </text>
    </comment>
    <comment ref="H55" authorId="1">
      <text>
        <r>
          <rPr>
            <b/>
            <sz val="9"/>
            <color indexed="81"/>
            <rFont val="Tahoma"/>
            <family val="2"/>
          </rPr>
          <t>LA:</t>
        </r>
        <r>
          <rPr>
            <sz val="9"/>
            <color indexed="81"/>
            <rFont val="Tahoma"/>
            <family val="2"/>
          </rPr>
          <t xml:space="preserve">
At each site four quadrats were used</t>
        </r>
      </text>
    </comment>
    <comment ref="J55" authorId="1">
      <text>
        <r>
          <rPr>
            <b/>
            <sz val="9"/>
            <color indexed="81"/>
            <rFont val="Tahoma"/>
            <family val="2"/>
          </rPr>
          <t>LA:</t>
        </r>
        <r>
          <rPr>
            <sz val="9"/>
            <color indexed="81"/>
            <rFont val="Tahoma"/>
            <family val="2"/>
          </rPr>
          <t xml:space="preserve">
assume 5 mins spent counting macrophytes within each quadrats</t>
        </r>
      </text>
    </comment>
    <comment ref="L55" authorId="1">
      <text>
        <r>
          <rPr>
            <b/>
            <sz val="9"/>
            <color indexed="81"/>
            <rFont val="Tahoma"/>
            <family val="2"/>
          </rPr>
          <t>LA:</t>
        </r>
        <r>
          <rPr>
            <sz val="9"/>
            <color indexed="81"/>
            <rFont val="Tahoma"/>
            <family val="2"/>
          </rPr>
          <t xml:space="preserve">
Samp_duration * two repeat sampling events at Lake</t>
        </r>
      </text>
    </comment>
    <comment ref="G56" authorId="2">
      <text>
        <r>
          <rPr>
            <b/>
            <sz val="9"/>
            <color indexed="81"/>
            <rFont val="Tahoma"/>
            <family val="2"/>
          </rPr>
          <t>ges_student:</t>
        </r>
        <r>
          <rPr>
            <sz val="9"/>
            <color indexed="81"/>
            <rFont val="Tahoma"/>
            <family val="2"/>
          </rPr>
          <t xml:space="preserve">
Sea-Bird SBE43 sensor</t>
        </r>
      </text>
    </comment>
    <comment ref="J56" authorId="2">
      <text>
        <r>
          <rPr>
            <b/>
            <sz val="9"/>
            <color indexed="81"/>
            <rFont val="Tahoma"/>
            <family val="2"/>
          </rPr>
          <t>ges_student:</t>
        </r>
        <r>
          <rPr>
            <sz val="9"/>
            <color indexed="81"/>
            <rFont val="Tahoma"/>
            <family val="2"/>
          </rPr>
          <t xml:space="preserve">
assume 1 minute for the sensor to record oxygen concentration</t>
        </r>
      </text>
    </comment>
    <comment ref="K56" authorId="2">
      <text>
        <r>
          <rPr>
            <b/>
            <sz val="9"/>
            <color indexed="81"/>
            <rFont val="Tahoma"/>
            <family val="2"/>
          </rPr>
          <t>ges_student:</t>
        </r>
        <r>
          <rPr>
            <sz val="9"/>
            <color indexed="81"/>
            <rFont val="Tahoma"/>
            <family val="2"/>
          </rPr>
          <t xml:space="preserve">
assume 1 day between data collection at both sites</t>
        </r>
      </text>
    </comment>
    <comment ref="L56" authorId="1">
      <text>
        <r>
          <rPr>
            <b/>
            <sz val="9"/>
            <color indexed="81"/>
            <rFont val="Tahoma"/>
            <family val="2"/>
          </rPr>
          <t>LA:</t>
        </r>
        <r>
          <rPr>
            <sz val="9"/>
            <color indexed="81"/>
            <rFont val="Tahoma"/>
            <family val="2"/>
          </rPr>
          <t xml:space="preserve">
Uncertain study_duration. Assume one day</t>
        </r>
      </text>
    </comment>
    <comment ref="M56" authorId="2">
      <text>
        <r>
          <rPr>
            <b/>
            <sz val="9"/>
            <color indexed="81"/>
            <rFont val="Tahoma"/>
            <family val="2"/>
          </rPr>
          <t>ges_student:</t>
        </r>
        <r>
          <rPr>
            <sz val="9"/>
            <color indexed="81"/>
            <rFont val="Tahoma"/>
            <family val="2"/>
          </rPr>
          <t xml:space="preserve">
January, 2009</t>
        </r>
      </text>
    </comment>
    <comment ref="H57" authorId="2">
      <text>
        <r>
          <rPr>
            <b/>
            <sz val="9"/>
            <color indexed="81"/>
            <rFont val="Tahoma"/>
            <family val="2"/>
          </rPr>
          <t>ges_student:</t>
        </r>
        <r>
          <rPr>
            <sz val="9"/>
            <color indexed="81"/>
            <rFont val="Tahoma"/>
            <family val="2"/>
          </rPr>
          <t xml:space="preserve">
10 cores per station</t>
        </r>
      </text>
    </comment>
    <comment ref="J57" authorId="2">
      <text>
        <r>
          <rPr>
            <b/>
            <sz val="9"/>
            <color indexed="81"/>
            <rFont val="Tahoma"/>
            <family val="2"/>
          </rPr>
          <t>ges_student:</t>
        </r>
        <r>
          <rPr>
            <sz val="9"/>
            <color indexed="81"/>
            <rFont val="Tahoma"/>
            <family val="2"/>
          </rPr>
          <t xml:space="preserve">
Assume 5 mins to drill the core</t>
        </r>
      </text>
    </comment>
    <comment ref="K57" authorId="1">
      <text>
        <r>
          <rPr>
            <b/>
            <sz val="9"/>
            <color indexed="81"/>
            <rFont val="Tahoma"/>
            <family val="2"/>
          </rPr>
          <t>LA:</t>
        </r>
        <r>
          <rPr>
            <sz val="9"/>
            <color indexed="81"/>
            <rFont val="Tahoma"/>
            <family val="2"/>
          </rPr>
          <t xml:space="preserve">
assume it takes 30 minutes</t>
        </r>
      </text>
    </comment>
    <comment ref="L57" authorId="1">
      <text>
        <r>
          <rPr>
            <b/>
            <sz val="9"/>
            <color indexed="81"/>
            <rFont val="Tahoma"/>
            <family val="2"/>
          </rPr>
          <t>LA:</t>
        </r>
        <r>
          <rPr>
            <sz val="9"/>
            <color indexed="81"/>
            <rFont val="Tahoma"/>
            <family val="2"/>
          </rPr>
          <t xml:space="preserve">
Uncertain study_duration. Assume one day</t>
        </r>
      </text>
    </comment>
    <comment ref="M57" authorId="2">
      <text>
        <r>
          <rPr>
            <b/>
            <sz val="9"/>
            <color indexed="81"/>
            <rFont val="Tahoma"/>
            <family val="2"/>
          </rPr>
          <t>ges_student:</t>
        </r>
        <r>
          <rPr>
            <sz val="9"/>
            <color indexed="81"/>
            <rFont val="Tahoma"/>
            <family val="2"/>
          </rPr>
          <t xml:space="preserve">
January, 2009</t>
        </r>
      </text>
    </comment>
    <comment ref="H62" authorId="1">
      <text>
        <r>
          <rPr>
            <b/>
            <sz val="9"/>
            <color indexed="81"/>
            <rFont val="Tahoma"/>
            <family val="2"/>
          </rPr>
          <t>LA:</t>
        </r>
        <r>
          <rPr>
            <sz val="9"/>
            <color indexed="81"/>
            <rFont val="Tahoma"/>
            <family val="2"/>
          </rPr>
          <t xml:space="preserve">
4 sites * 3 plots per site</t>
        </r>
      </text>
    </comment>
    <comment ref="J62" authorId="1">
      <text>
        <r>
          <rPr>
            <b/>
            <sz val="9"/>
            <color indexed="81"/>
            <rFont val="Tahoma"/>
            <family val="2"/>
          </rPr>
          <t>LA:</t>
        </r>
        <r>
          <rPr>
            <sz val="9"/>
            <color indexed="81"/>
            <rFont val="Tahoma"/>
            <family val="2"/>
          </rPr>
          <t xml:space="preserve">
Assuming 1 hr spent at each plot</t>
        </r>
      </text>
    </comment>
    <comment ref="K62" authorId="1">
      <text>
        <r>
          <rPr>
            <b/>
            <sz val="9"/>
            <color indexed="81"/>
            <rFont val="Tahoma"/>
            <family val="2"/>
          </rPr>
          <t>LA:</t>
        </r>
        <r>
          <rPr>
            <sz val="9"/>
            <color indexed="81"/>
            <rFont val="Tahoma"/>
            <family val="2"/>
          </rPr>
          <t xml:space="preserve">
every 11 months</t>
        </r>
      </text>
    </comment>
    <comment ref="L62" authorId="1">
      <text>
        <r>
          <rPr>
            <b/>
            <sz val="9"/>
            <color indexed="81"/>
            <rFont val="Tahoma"/>
            <family val="2"/>
          </rPr>
          <t>LA:</t>
        </r>
        <r>
          <rPr>
            <sz val="9"/>
            <color indexed="81"/>
            <rFont val="Tahoma"/>
            <family val="2"/>
          </rPr>
          <t xml:space="preserve">
s_duration * 3 (each year in early spring)</t>
        </r>
      </text>
    </comment>
    <comment ref="M62" authorId="1">
      <text>
        <r>
          <rPr>
            <b/>
            <sz val="9"/>
            <color indexed="81"/>
            <rFont val="Tahoma"/>
            <family val="2"/>
          </rPr>
          <t>LA:</t>
        </r>
        <r>
          <rPr>
            <sz val="9"/>
            <color indexed="81"/>
            <rFont val="Tahoma"/>
            <family val="2"/>
          </rPr>
          <t xml:space="preserve">
Unclear reference to a three year study. Assume 3 years</t>
        </r>
      </text>
    </comment>
    <comment ref="G63" authorId="1">
      <text>
        <r>
          <rPr>
            <b/>
            <sz val="9"/>
            <color indexed="81"/>
            <rFont val="Tahoma"/>
            <family val="2"/>
          </rPr>
          <t>LA:</t>
        </r>
        <r>
          <rPr>
            <sz val="9"/>
            <color indexed="81"/>
            <rFont val="Tahoma"/>
            <family val="2"/>
          </rPr>
          <t xml:space="preserve">
diameter of air and soil temp sensor 0.03</t>
        </r>
      </text>
    </comment>
    <comment ref="H63" authorId="1">
      <text>
        <r>
          <rPr>
            <b/>
            <sz val="9"/>
            <color indexed="81"/>
            <rFont val="Tahoma"/>
            <family val="2"/>
          </rPr>
          <t>LA:</t>
        </r>
        <r>
          <rPr>
            <sz val="9"/>
            <color indexed="81"/>
            <rFont val="Tahoma"/>
            <family val="2"/>
          </rPr>
          <t xml:space="preserve">
Assume one air and one soil temp sensor at each site i.e. 4 sites * 2 sensors</t>
        </r>
      </text>
    </comment>
    <comment ref="J63" authorId="1">
      <text>
        <r>
          <rPr>
            <b/>
            <sz val="9"/>
            <color indexed="81"/>
            <rFont val="Tahoma"/>
            <family val="2"/>
          </rPr>
          <t>LA:</t>
        </r>
        <r>
          <rPr>
            <sz val="9"/>
            <color indexed="81"/>
            <rFont val="Tahoma"/>
            <family val="2"/>
          </rPr>
          <t xml:space="preserve">
Assume takes 1 minute to record the temperature reading</t>
        </r>
      </text>
    </comment>
    <comment ref="K63" authorId="1">
      <text>
        <r>
          <rPr>
            <b/>
            <sz val="9"/>
            <color indexed="81"/>
            <rFont val="Tahoma"/>
            <family val="2"/>
          </rPr>
          <t>LA:</t>
        </r>
        <r>
          <rPr>
            <sz val="9"/>
            <color indexed="81"/>
            <rFont val="Tahoma"/>
            <family val="2"/>
          </rPr>
          <t xml:space="preserve">
hourly data collection</t>
        </r>
      </text>
    </comment>
    <comment ref="L63" authorId="1">
      <text>
        <r>
          <rPr>
            <b/>
            <sz val="9"/>
            <color indexed="81"/>
            <rFont val="Tahoma"/>
            <family val="2"/>
          </rPr>
          <t>LA:</t>
        </r>
        <r>
          <rPr>
            <sz val="9"/>
            <color indexed="81"/>
            <rFont val="Tahoma"/>
            <family val="2"/>
          </rPr>
          <t xml:space="preserve">
1.577x10^6 minutes in 1095 days. Assume that sensors capture collected data throughout the study span</t>
        </r>
      </text>
    </comment>
    <comment ref="M63" authorId="1">
      <text>
        <r>
          <rPr>
            <b/>
            <sz val="9"/>
            <color indexed="81"/>
            <rFont val="Tahoma"/>
            <family val="2"/>
          </rPr>
          <t>LA:</t>
        </r>
        <r>
          <rPr>
            <sz val="9"/>
            <color indexed="81"/>
            <rFont val="Tahoma"/>
            <family val="2"/>
          </rPr>
          <t xml:space="preserve">
April, 2009</t>
        </r>
      </text>
    </comment>
    <comment ref="G64" authorId="1">
      <text>
        <r>
          <rPr>
            <b/>
            <sz val="9"/>
            <color indexed="81"/>
            <rFont val="Tahoma"/>
            <family val="2"/>
          </rPr>
          <t>LA:</t>
        </r>
        <r>
          <rPr>
            <sz val="9"/>
            <color indexed="81"/>
            <rFont val="Tahoma"/>
            <family val="2"/>
          </rPr>
          <t xml:space="preserve">
Assuming collection funnel's diameter as sampling resolution 0.142 m</t>
        </r>
      </text>
    </comment>
    <comment ref="H64" authorId="1">
      <text>
        <r>
          <rPr>
            <b/>
            <sz val="9"/>
            <color indexed="81"/>
            <rFont val="Tahoma"/>
            <family val="2"/>
          </rPr>
          <t>LA:</t>
        </r>
        <r>
          <rPr>
            <sz val="9"/>
            <color indexed="81"/>
            <rFont val="Tahoma"/>
            <family val="2"/>
          </rPr>
          <t xml:space="preserve">
Assume one rain guage at each site </t>
        </r>
      </text>
    </comment>
    <comment ref="J64" authorId="1">
      <text>
        <r>
          <rPr>
            <b/>
            <sz val="9"/>
            <color indexed="81"/>
            <rFont val="Tahoma"/>
            <family val="2"/>
          </rPr>
          <t>LA:</t>
        </r>
        <r>
          <rPr>
            <sz val="9"/>
            <color indexed="81"/>
            <rFont val="Tahoma"/>
            <family val="2"/>
          </rPr>
          <t xml:space="preserve">
Assuming it takes 1 second to record the rain drops in mm during rainfall</t>
        </r>
      </text>
    </comment>
    <comment ref="K64" authorId="1">
      <text>
        <r>
          <rPr>
            <b/>
            <sz val="9"/>
            <color indexed="81"/>
            <rFont val="Tahoma"/>
            <family val="2"/>
          </rPr>
          <t>LA:</t>
        </r>
        <r>
          <rPr>
            <sz val="9"/>
            <color indexed="81"/>
            <rFont val="Tahoma"/>
            <family val="2"/>
          </rPr>
          <t xml:space="preserve">
hourly data collection</t>
        </r>
      </text>
    </comment>
    <comment ref="L64" authorId="1">
      <text>
        <r>
          <rPr>
            <b/>
            <sz val="9"/>
            <color indexed="81"/>
            <rFont val="Tahoma"/>
            <family val="2"/>
          </rPr>
          <t>LA:</t>
        </r>
        <r>
          <rPr>
            <sz val="9"/>
            <color indexed="81"/>
            <rFont val="Tahoma"/>
            <family val="2"/>
          </rPr>
          <t xml:space="preserve">
Unclear study_duration. Assigned one day value</t>
        </r>
      </text>
    </comment>
    <comment ref="G65" authorId="1">
      <text>
        <r>
          <rPr>
            <b/>
            <sz val="9"/>
            <color indexed="81"/>
            <rFont val="Tahoma"/>
            <family val="2"/>
          </rPr>
          <t>LA:</t>
        </r>
        <r>
          <rPr>
            <sz val="9"/>
            <color indexed="81"/>
            <rFont val="Tahoma"/>
            <family val="2"/>
          </rPr>
          <t xml:space="preserve">
Fork like soil moisture probe  with two prongs. Assume prongs are prism and calculate surface area</t>
        </r>
      </text>
    </comment>
    <comment ref="H65" authorId="1">
      <text>
        <r>
          <rPr>
            <b/>
            <sz val="9"/>
            <color indexed="81"/>
            <rFont val="Tahoma"/>
            <family val="2"/>
          </rPr>
          <t>LA:</t>
        </r>
        <r>
          <rPr>
            <sz val="9"/>
            <color indexed="81"/>
            <rFont val="Tahoma"/>
            <family val="2"/>
          </rPr>
          <t xml:space="preserve">
4 soil moisture probes at each site</t>
        </r>
      </text>
    </comment>
    <comment ref="J65" authorId="1">
      <text>
        <r>
          <rPr>
            <b/>
            <sz val="9"/>
            <color indexed="81"/>
            <rFont val="Tahoma"/>
            <family val="2"/>
          </rPr>
          <t>LA:</t>
        </r>
        <r>
          <rPr>
            <sz val="9"/>
            <color indexed="81"/>
            <rFont val="Tahoma"/>
            <family val="2"/>
          </rPr>
          <t xml:space="preserve">
measuring time 10 ms</t>
        </r>
      </text>
    </comment>
    <comment ref="K65" authorId="1">
      <text>
        <r>
          <rPr>
            <b/>
            <sz val="9"/>
            <color indexed="81"/>
            <rFont val="Tahoma"/>
            <family val="2"/>
          </rPr>
          <t>LA:</t>
        </r>
        <r>
          <rPr>
            <sz val="9"/>
            <color indexed="81"/>
            <rFont val="Tahoma"/>
            <family val="2"/>
          </rPr>
          <t xml:space="preserve">
hourly data collection</t>
        </r>
      </text>
    </comment>
    <comment ref="L65" authorId="1">
      <text>
        <r>
          <rPr>
            <b/>
            <sz val="9"/>
            <color indexed="81"/>
            <rFont val="Tahoma"/>
            <family val="2"/>
          </rPr>
          <t>LA:</t>
        </r>
        <r>
          <rPr>
            <sz val="9"/>
            <color indexed="81"/>
            <rFont val="Tahoma"/>
            <family val="2"/>
          </rPr>
          <t xml:space="preserve">
Unclear study_duration. Assigned one day value</t>
        </r>
      </text>
    </comment>
    <comment ref="G66" authorId="1">
      <text>
        <r>
          <rPr>
            <b/>
            <sz val="9"/>
            <color indexed="81"/>
            <rFont val="Tahoma"/>
            <family val="2"/>
          </rPr>
          <t>LA:</t>
        </r>
        <r>
          <rPr>
            <sz val="9"/>
            <color indexed="81"/>
            <rFont val="Tahoma"/>
            <family val="2"/>
          </rPr>
          <t xml:space="preserve">
Assume shape of LAI probe as prism</t>
        </r>
      </text>
    </comment>
    <comment ref="H66" authorId="1">
      <text>
        <r>
          <rPr>
            <b/>
            <sz val="9"/>
            <color indexed="81"/>
            <rFont val="Tahoma"/>
            <family val="2"/>
          </rPr>
          <t>LA:</t>
        </r>
        <r>
          <rPr>
            <sz val="9"/>
            <color indexed="81"/>
            <rFont val="Tahoma"/>
            <family val="2"/>
          </rPr>
          <t xml:space="preserve">
Difficult to estimate no. of LAI readings performed. Assume averaged LAI recorded for each site</t>
        </r>
      </text>
    </comment>
    <comment ref="J66" authorId="1">
      <text>
        <r>
          <rPr>
            <b/>
            <sz val="9"/>
            <color indexed="81"/>
            <rFont val="Tahoma"/>
            <family val="2"/>
          </rPr>
          <t xml:space="preserve">LA:
</t>
        </r>
        <r>
          <rPr>
            <sz val="9"/>
            <color indexed="81"/>
            <rFont val="Tahoma"/>
            <family val="2"/>
          </rPr>
          <t>Assume takes 1 second to record</t>
        </r>
      </text>
    </comment>
    <comment ref="K66" authorId="1">
      <text>
        <r>
          <rPr>
            <b/>
            <sz val="9"/>
            <color indexed="81"/>
            <rFont val="Tahoma"/>
            <family val="2"/>
          </rPr>
          <t>LA:</t>
        </r>
        <r>
          <rPr>
            <sz val="9"/>
            <color indexed="81"/>
            <rFont val="Tahoma"/>
            <family val="2"/>
          </rPr>
          <t xml:space="preserve">
Paper indicates that LAI was collected once in April, 2009</t>
        </r>
      </text>
    </comment>
    <comment ref="L66" authorId="1">
      <text>
        <r>
          <rPr>
            <b/>
            <sz val="9"/>
            <color indexed="81"/>
            <rFont val="Tahoma"/>
            <family val="2"/>
          </rPr>
          <t>LA:</t>
        </r>
        <r>
          <rPr>
            <sz val="9"/>
            <color indexed="81"/>
            <rFont val="Tahoma"/>
            <family val="2"/>
          </rPr>
          <t xml:space="preserve">
Unclear study_duration. Assigned one day value</t>
        </r>
      </text>
    </comment>
    <comment ref="M66" authorId="1">
      <text>
        <r>
          <rPr>
            <b/>
            <sz val="9"/>
            <color indexed="81"/>
            <rFont val="Tahoma"/>
            <family val="2"/>
          </rPr>
          <t>LA:</t>
        </r>
        <r>
          <rPr>
            <sz val="9"/>
            <color indexed="81"/>
            <rFont val="Tahoma"/>
            <family val="2"/>
          </rPr>
          <t xml:space="preserve">
April, 2009</t>
        </r>
      </text>
    </comment>
    <comment ref="G67" authorId="1">
      <text>
        <r>
          <rPr>
            <b/>
            <sz val="9"/>
            <color indexed="81"/>
            <rFont val="Tahoma"/>
            <family val="2"/>
          </rPr>
          <t>LA:</t>
        </r>
        <r>
          <rPr>
            <sz val="9"/>
            <color indexed="81"/>
            <rFont val="Tahoma"/>
            <family val="2"/>
          </rPr>
          <t xml:space="preserve">
LI-3100C Area Meter's max resolution 1 mm^2</t>
        </r>
      </text>
    </comment>
    <comment ref="H67" authorId="1">
      <text>
        <r>
          <rPr>
            <b/>
            <sz val="9"/>
            <color indexed="81"/>
            <rFont val="Tahoma"/>
            <family val="2"/>
          </rPr>
          <t>LA:</t>
        </r>
        <r>
          <rPr>
            <sz val="9"/>
            <color indexed="81"/>
            <rFont val="Tahoma"/>
            <family val="2"/>
          </rPr>
          <t xml:space="preserve">
Assume 4 sites as no. of LA samples</t>
        </r>
      </text>
    </comment>
    <comment ref="J67" authorId="1">
      <text>
        <r>
          <rPr>
            <b/>
            <sz val="9"/>
            <color indexed="81"/>
            <rFont val="Tahoma"/>
            <family val="2"/>
          </rPr>
          <t>LA:</t>
        </r>
        <r>
          <rPr>
            <sz val="9"/>
            <color indexed="81"/>
            <rFont val="Tahoma"/>
            <family val="2"/>
          </rPr>
          <t xml:space="preserve">
Assume 1 minute to scan and calculate LA</t>
        </r>
      </text>
    </comment>
    <comment ref="K67" authorId="1">
      <text>
        <r>
          <rPr>
            <b/>
            <sz val="9"/>
            <color indexed="81"/>
            <rFont val="Tahoma"/>
            <family val="2"/>
          </rPr>
          <t>LA:</t>
        </r>
        <r>
          <rPr>
            <sz val="9"/>
            <color indexed="81"/>
            <rFont val="Tahoma"/>
            <family val="2"/>
          </rPr>
          <t xml:space="preserve">
Paper indicates that LAI was collected once in April, 2009</t>
        </r>
      </text>
    </comment>
    <comment ref="L67" authorId="1">
      <text>
        <r>
          <rPr>
            <b/>
            <sz val="9"/>
            <color indexed="81"/>
            <rFont val="Tahoma"/>
            <family val="2"/>
          </rPr>
          <t>LA:</t>
        </r>
        <r>
          <rPr>
            <sz val="9"/>
            <color indexed="81"/>
            <rFont val="Tahoma"/>
            <family val="2"/>
          </rPr>
          <t xml:space="preserve">
Unclear study_duration. Assigned one day value</t>
        </r>
      </text>
    </comment>
    <comment ref="M67" authorId="1">
      <text>
        <r>
          <rPr>
            <b/>
            <sz val="9"/>
            <color indexed="81"/>
            <rFont val="Tahoma"/>
            <family val="2"/>
          </rPr>
          <t>LA:</t>
        </r>
        <r>
          <rPr>
            <sz val="9"/>
            <color indexed="81"/>
            <rFont val="Tahoma"/>
            <family val="2"/>
          </rPr>
          <t xml:space="preserve">
April, 2009</t>
        </r>
      </text>
    </comment>
    <comment ref="H68" authorId="1">
      <text>
        <r>
          <rPr>
            <b/>
            <sz val="9"/>
            <color indexed="81"/>
            <rFont val="Tahoma"/>
            <family val="2"/>
          </rPr>
          <t>LA:</t>
        </r>
        <r>
          <rPr>
            <sz val="9"/>
            <color indexed="81"/>
            <rFont val="Tahoma"/>
            <family val="2"/>
          </rPr>
          <t xml:space="preserve">
six litter bags at each site</t>
        </r>
      </text>
    </comment>
    <comment ref="J68" authorId="1">
      <text>
        <r>
          <rPr>
            <b/>
            <sz val="9"/>
            <color indexed="81"/>
            <rFont val="Tahoma"/>
            <family val="2"/>
          </rPr>
          <t>LA:</t>
        </r>
        <r>
          <rPr>
            <sz val="9"/>
            <color indexed="81"/>
            <rFont val="Tahoma"/>
            <family val="2"/>
          </rPr>
          <t xml:space="preserve">
Assume it takes 1 day to fill a single litter bag</t>
        </r>
      </text>
    </comment>
    <comment ref="K68" authorId="1">
      <text>
        <r>
          <rPr>
            <b/>
            <sz val="9"/>
            <color indexed="81"/>
            <rFont val="Tahoma"/>
            <family val="2"/>
          </rPr>
          <t>LA:</t>
        </r>
        <r>
          <rPr>
            <sz val="9"/>
            <color indexed="81"/>
            <rFont val="Tahoma"/>
            <family val="2"/>
          </rPr>
          <t xml:space="preserve">
Assume annual litter collection instead. Dec-to August i.e. 9*30</t>
        </r>
      </text>
    </comment>
    <comment ref="L68" authorId="1">
      <text>
        <r>
          <rPr>
            <b/>
            <sz val="9"/>
            <color indexed="81"/>
            <rFont val="Tahoma"/>
            <family val="2"/>
          </rPr>
          <t>LA:</t>
        </r>
        <r>
          <rPr>
            <sz val="9"/>
            <color indexed="81"/>
            <rFont val="Tahoma"/>
            <family val="2"/>
          </rPr>
          <t xml:space="preserve">
leaves collected sep-nov for three years</t>
        </r>
      </text>
    </comment>
    <comment ref="J69" authorId="1">
      <text>
        <r>
          <rPr>
            <b/>
            <sz val="9"/>
            <color indexed="81"/>
            <rFont val="Tahoma"/>
            <family val="2"/>
          </rPr>
          <t>LA:</t>
        </r>
        <r>
          <rPr>
            <sz val="9"/>
            <color indexed="81"/>
            <rFont val="Tahoma"/>
            <family val="2"/>
          </rPr>
          <t xml:space="preserve">
Assume 5 mins per soil core</t>
        </r>
      </text>
    </comment>
    <comment ref="L69" authorId="1">
      <text>
        <r>
          <rPr>
            <b/>
            <sz val="9"/>
            <color indexed="81"/>
            <rFont val="Tahoma"/>
            <family val="2"/>
          </rPr>
          <t>LA:</t>
        </r>
        <r>
          <rPr>
            <sz val="9"/>
            <color indexed="81"/>
            <rFont val="Tahoma"/>
            <family val="2"/>
          </rPr>
          <t xml:space="preserve">
Unclear number of sampling events - assume annual sampling for three years</t>
        </r>
      </text>
    </comment>
    <comment ref="M69" authorId="1">
      <text>
        <r>
          <rPr>
            <b/>
            <sz val="9"/>
            <color indexed="81"/>
            <rFont val="Tahoma"/>
            <family val="2"/>
          </rPr>
          <t>LA:</t>
        </r>
        <r>
          <rPr>
            <sz val="9"/>
            <color indexed="81"/>
            <rFont val="Tahoma"/>
            <family val="2"/>
          </rPr>
          <t xml:space="preserve">
April, 2009</t>
        </r>
      </text>
    </comment>
    <comment ref="G70" authorId="1">
      <text>
        <r>
          <rPr>
            <b/>
            <sz val="9"/>
            <color indexed="81"/>
            <rFont val="Tahoma"/>
            <family val="2"/>
          </rPr>
          <t>LA:</t>
        </r>
        <r>
          <rPr>
            <sz val="9"/>
            <color indexed="81"/>
            <rFont val="Tahoma"/>
            <family val="2"/>
          </rPr>
          <t xml:space="preserve">
Assume diameter of polypropylene collar as soil respiration instrument's resolution </t>
        </r>
      </text>
    </comment>
    <comment ref="H70" authorId="1">
      <text>
        <r>
          <rPr>
            <b/>
            <sz val="9"/>
            <color indexed="81"/>
            <rFont val="Tahoma"/>
            <family val="2"/>
          </rPr>
          <t>LA:</t>
        </r>
        <r>
          <rPr>
            <sz val="9"/>
            <color indexed="81"/>
            <rFont val="Tahoma"/>
            <family val="2"/>
          </rPr>
          <t xml:space="preserve">
12 collars * 4 sites</t>
        </r>
      </text>
    </comment>
    <comment ref="J70" authorId="1">
      <text>
        <r>
          <rPr>
            <b/>
            <sz val="9"/>
            <color indexed="81"/>
            <rFont val="Tahoma"/>
            <family val="2"/>
          </rPr>
          <t>LA:</t>
        </r>
        <r>
          <rPr>
            <sz val="9"/>
            <color indexed="81"/>
            <rFont val="Tahoma"/>
            <family val="2"/>
          </rPr>
          <t xml:space="preserve">
Assume 1 minute recording time</t>
        </r>
      </text>
    </comment>
    <comment ref="K70" authorId="1">
      <text>
        <r>
          <rPr>
            <b/>
            <sz val="9"/>
            <color indexed="81"/>
            <rFont val="Tahoma"/>
            <family val="2"/>
          </rPr>
          <t>LA:</t>
        </r>
        <r>
          <rPr>
            <sz val="9"/>
            <color indexed="81"/>
            <rFont val="Tahoma"/>
            <family val="2"/>
          </rPr>
          <t xml:space="preserve">
biweekly during growing season and once a month during autumn - mean value calculated</t>
        </r>
      </text>
    </comment>
    <comment ref="L70" authorId="1">
      <text>
        <r>
          <rPr>
            <b/>
            <sz val="9"/>
            <color indexed="81"/>
            <rFont val="Tahoma"/>
            <family val="2"/>
          </rPr>
          <t>LA:</t>
        </r>
        <r>
          <rPr>
            <sz val="9"/>
            <color indexed="81"/>
            <rFont val="Tahoma"/>
            <family val="2"/>
          </rPr>
          <t xml:space="preserve">
Assuming 51 attempts at sampling at low elevation sites and 1 attempt at high elevation sampling. Assume the rest were recorded manually. Also, the paper is unclear about duration of soil resp sampling - going to assume April 2009 to March 2010 from the figure.</t>
        </r>
      </text>
    </comment>
    <comment ref="M70" authorId="1">
      <text>
        <r>
          <rPr>
            <b/>
            <sz val="9"/>
            <color indexed="81"/>
            <rFont val="Tahoma"/>
            <family val="2"/>
          </rPr>
          <t>LA:</t>
        </r>
        <r>
          <rPr>
            <sz val="9"/>
            <color indexed="81"/>
            <rFont val="Tahoma"/>
            <family val="2"/>
          </rPr>
          <t xml:space="preserve">
Assume done between April, 2009 to March, 2010
</t>
        </r>
      </text>
    </comment>
    <comment ref="G71" authorId="1">
      <text>
        <r>
          <rPr>
            <b/>
            <sz val="9"/>
            <color indexed="81"/>
            <rFont val="Tahoma"/>
            <family val="2"/>
          </rPr>
          <t>LA:</t>
        </r>
        <r>
          <rPr>
            <sz val="9"/>
            <color indexed="81"/>
            <rFont val="Tahoma"/>
            <family val="2"/>
          </rPr>
          <t xml:space="preserve">
Assume temp probe a cylinder. Use surface area of a cylinder</t>
        </r>
      </text>
    </comment>
    <comment ref="H71" authorId="1">
      <text>
        <r>
          <rPr>
            <b/>
            <sz val="9"/>
            <color indexed="81"/>
            <rFont val="Tahoma"/>
            <family val="2"/>
          </rPr>
          <t>LA:</t>
        </r>
        <r>
          <rPr>
            <sz val="9"/>
            <color indexed="81"/>
            <rFont val="Tahoma"/>
            <family val="2"/>
          </rPr>
          <t xml:space="preserve">
Assume similar sites sampled for manual soil temp i.e. 12 sample sites * 4 sites</t>
        </r>
      </text>
    </comment>
    <comment ref="J71" authorId="1">
      <text>
        <r>
          <rPr>
            <b/>
            <sz val="9"/>
            <color indexed="81"/>
            <rFont val="Tahoma"/>
            <family val="2"/>
          </rPr>
          <t>LA:</t>
        </r>
        <r>
          <rPr>
            <sz val="9"/>
            <color indexed="81"/>
            <rFont val="Tahoma"/>
            <family val="2"/>
          </rPr>
          <t xml:space="preserve">
Assume 1 minute recording time</t>
        </r>
      </text>
    </comment>
    <comment ref="K71" authorId="1">
      <text>
        <r>
          <rPr>
            <b/>
            <sz val="9"/>
            <color indexed="81"/>
            <rFont val="Tahoma"/>
            <family val="2"/>
          </rPr>
          <t>LA:</t>
        </r>
        <r>
          <rPr>
            <sz val="9"/>
            <color indexed="81"/>
            <rFont val="Tahoma"/>
            <family val="2"/>
          </rPr>
          <t xml:space="preserve">
Assuming similar time between sampling as above</t>
        </r>
      </text>
    </comment>
    <comment ref="L71" authorId="1">
      <text>
        <r>
          <rPr>
            <b/>
            <sz val="9"/>
            <color indexed="81"/>
            <rFont val="Tahoma"/>
            <family val="2"/>
          </rPr>
          <t>LA:</t>
        </r>
        <r>
          <rPr>
            <sz val="9"/>
            <color indexed="81"/>
            <rFont val="Tahoma"/>
            <family val="2"/>
          </rPr>
          <t xml:space="preserve">
Assuming 51 attempts *1 years at high elevation sampling, because of insufficient data from the soil resp instrument.</t>
        </r>
      </text>
    </comment>
    <comment ref="M71" authorId="1">
      <text>
        <r>
          <rPr>
            <b/>
            <sz val="9"/>
            <color indexed="81"/>
            <rFont val="Tahoma"/>
            <family val="2"/>
          </rPr>
          <t>LA:</t>
        </r>
        <r>
          <rPr>
            <sz val="9"/>
            <color indexed="81"/>
            <rFont val="Tahoma"/>
            <family val="2"/>
          </rPr>
          <t xml:space="preserve">
Assume done between April, 2009 to March, 2010
</t>
        </r>
      </text>
    </comment>
    <comment ref="G72" authorId="1">
      <text>
        <r>
          <rPr>
            <b/>
            <sz val="9"/>
            <color indexed="81"/>
            <rFont val="Tahoma"/>
            <family val="2"/>
          </rPr>
          <t>LA:</t>
        </r>
        <r>
          <rPr>
            <sz val="9"/>
            <color indexed="81"/>
            <rFont val="Tahoma"/>
            <family val="2"/>
          </rPr>
          <t xml:space="preserve">
total surface area of all three sheild rods</t>
        </r>
      </text>
    </comment>
    <comment ref="H72" authorId="1">
      <text>
        <r>
          <rPr>
            <b/>
            <sz val="9"/>
            <color indexed="81"/>
            <rFont val="Tahoma"/>
            <family val="2"/>
          </rPr>
          <t>LA:</t>
        </r>
        <r>
          <rPr>
            <sz val="9"/>
            <color indexed="81"/>
            <rFont val="Tahoma"/>
            <family val="2"/>
          </rPr>
          <t xml:space="preserve">
Assume similar sites sampled for manual soil moisture  i.e. 12 sample sites * 4 sites</t>
        </r>
      </text>
    </comment>
    <comment ref="J72" authorId="1">
      <text>
        <r>
          <rPr>
            <b/>
            <sz val="9"/>
            <color indexed="81"/>
            <rFont val="Tahoma"/>
            <family val="2"/>
          </rPr>
          <t>LA:</t>
        </r>
        <r>
          <rPr>
            <sz val="9"/>
            <color indexed="81"/>
            <rFont val="Tahoma"/>
            <family val="2"/>
          </rPr>
          <t xml:space="preserve">
Assume 1 minute recording time</t>
        </r>
      </text>
    </comment>
    <comment ref="K72" authorId="1">
      <text>
        <r>
          <rPr>
            <b/>
            <sz val="9"/>
            <color indexed="81"/>
            <rFont val="Tahoma"/>
            <family val="2"/>
          </rPr>
          <t>LA:</t>
        </r>
        <r>
          <rPr>
            <sz val="9"/>
            <color indexed="81"/>
            <rFont val="Tahoma"/>
            <family val="2"/>
          </rPr>
          <t xml:space="preserve">
Assuming similar time between sampling as above</t>
        </r>
      </text>
    </comment>
    <comment ref="L72" authorId="1">
      <text>
        <r>
          <rPr>
            <b/>
            <sz val="9"/>
            <color indexed="81"/>
            <rFont val="Tahoma"/>
            <family val="2"/>
          </rPr>
          <t>LA:</t>
        </r>
        <r>
          <rPr>
            <sz val="9"/>
            <color indexed="81"/>
            <rFont val="Tahoma"/>
            <family val="2"/>
          </rPr>
          <t xml:space="preserve">
Assuming 51 attempts *1 years at high elevation sampling, because of insufficient data from the soil resp instrument.</t>
        </r>
      </text>
    </comment>
    <comment ref="M72" authorId="1">
      <text>
        <r>
          <rPr>
            <b/>
            <sz val="9"/>
            <color indexed="81"/>
            <rFont val="Tahoma"/>
            <family val="2"/>
          </rPr>
          <t>LA:</t>
        </r>
        <r>
          <rPr>
            <sz val="9"/>
            <color indexed="81"/>
            <rFont val="Tahoma"/>
            <family val="2"/>
          </rPr>
          <t xml:space="preserve">
Assume done between April, 2009 to March, 2010
</t>
        </r>
      </text>
    </comment>
    <comment ref="G73" authorId="1">
      <text>
        <r>
          <rPr>
            <b/>
            <sz val="9"/>
            <color indexed="81"/>
            <rFont val="Tahoma"/>
            <family val="2"/>
          </rPr>
          <t>LA:</t>
        </r>
        <r>
          <rPr>
            <sz val="9"/>
            <color indexed="81"/>
            <rFont val="Tahoma"/>
            <family val="2"/>
          </rPr>
          <t xml:space="preserve">
Assuming that soil respiration instrument used so same plot_res </t>
        </r>
      </text>
    </comment>
    <comment ref="J73" authorId="1">
      <text>
        <r>
          <rPr>
            <b/>
            <sz val="9"/>
            <color indexed="81"/>
            <rFont val="Tahoma"/>
            <family val="2"/>
          </rPr>
          <t>LA:</t>
        </r>
        <r>
          <rPr>
            <sz val="9"/>
            <color indexed="81"/>
            <rFont val="Tahoma"/>
            <family val="2"/>
          </rPr>
          <t xml:space="preserve">
Assume 1 minute recording time</t>
        </r>
      </text>
    </comment>
    <comment ref="K73" authorId="1">
      <text>
        <r>
          <rPr>
            <b/>
            <sz val="9"/>
            <color indexed="81"/>
            <rFont val="Tahoma"/>
            <family val="2"/>
          </rPr>
          <t>LA:</t>
        </r>
        <r>
          <rPr>
            <sz val="9"/>
            <color indexed="81"/>
            <rFont val="Tahoma"/>
            <family val="2"/>
          </rPr>
          <t xml:space="preserve">
sampled 4 times in 62 days</t>
        </r>
      </text>
    </comment>
    <comment ref="L73" authorId="1">
      <text>
        <r>
          <rPr>
            <b/>
            <sz val="9"/>
            <color indexed="81"/>
            <rFont val="Tahoma"/>
            <family val="2"/>
          </rPr>
          <t>LA:</t>
        </r>
        <r>
          <rPr>
            <sz val="9"/>
            <color indexed="81"/>
            <rFont val="Tahoma"/>
            <family val="2"/>
          </rPr>
          <t xml:space="preserve">
samp_duration* sampling performed 4 times</t>
        </r>
      </text>
    </comment>
    <comment ref="M73" authorId="1">
      <text>
        <r>
          <rPr>
            <b/>
            <sz val="9"/>
            <color indexed="81"/>
            <rFont val="Tahoma"/>
            <family val="2"/>
          </rPr>
          <t>LA:</t>
        </r>
        <r>
          <rPr>
            <sz val="9"/>
            <color indexed="81"/>
            <rFont val="Tahoma"/>
            <family val="2"/>
          </rPr>
          <t xml:space="preserve">
July to August, 2010</t>
        </r>
      </text>
    </comment>
    <comment ref="H74" authorId="1">
      <text>
        <r>
          <rPr>
            <b/>
            <sz val="9"/>
            <color indexed="81"/>
            <rFont val="Tahoma"/>
            <family val="2"/>
          </rPr>
          <t>LA:</t>
        </r>
        <r>
          <rPr>
            <sz val="9"/>
            <color indexed="81"/>
            <rFont val="Tahoma"/>
            <family val="2"/>
          </rPr>
          <t xml:space="preserve">
2 pits per site * 4 sites * 6 different profiles</t>
        </r>
      </text>
    </comment>
    <comment ref="J74" authorId="1">
      <text>
        <r>
          <rPr>
            <b/>
            <sz val="9"/>
            <color indexed="81"/>
            <rFont val="Tahoma"/>
            <family val="2"/>
          </rPr>
          <t>LA:</t>
        </r>
        <r>
          <rPr>
            <sz val="9"/>
            <color indexed="81"/>
            <rFont val="Tahoma"/>
            <family val="2"/>
          </rPr>
          <t xml:space="preserve">
assume 5 minutes to collect one soil profile sample</t>
        </r>
      </text>
    </comment>
    <comment ref="K74" authorId="1">
      <text>
        <r>
          <rPr>
            <b/>
            <sz val="9"/>
            <color indexed="81"/>
            <rFont val="Tahoma"/>
            <family val="2"/>
          </rPr>
          <t>LA:</t>
        </r>
        <r>
          <rPr>
            <sz val="9"/>
            <color indexed="81"/>
            <rFont val="Tahoma"/>
            <family val="2"/>
          </rPr>
          <t xml:space="preserve">
assume  approx. 1 hr from one sample site to another</t>
        </r>
      </text>
    </comment>
    <comment ref="L74" authorId="1">
      <text>
        <r>
          <rPr>
            <b/>
            <sz val="9"/>
            <color indexed="81"/>
            <rFont val="Tahoma"/>
            <family val="2"/>
          </rPr>
          <t>LA:</t>
        </r>
        <r>
          <rPr>
            <sz val="9"/>
            <color indexed="81"/>
            <rFont val="Tahoma"/>
            <family val="2"/>
          </rPr>
          <t xml:space="preserve">
Unclear - Assume only sampled once</t>
        </r>
      </text>
    </comment>
    <comment ref="M74" authorId="1">
      <text>
        <r>
          <rPr>
            <b/>
            <sz val="9"/>
            <color indexed="81"/>
            <rFont val="Tahoma"/>
            <family val="2"/>
          </rPr>
          <t>LA:</t>
        </r>
        <r>
          <rPr>
            <sz val="9"/>
            <color indexed="81"/>
            <rFont val="Tahoma"/>
            <family val="2"/>
          </rPr>
          <t xml:space="preserve">
assume performed in a month</t>
        </r>
      </text>
    </comment>
    <comment ref="G75" authorId="1">
      <text>
        <r>
          <rPr>
            <b/>
            <sz val="9"/>
            <color indexed="81"/>
            <rFont val="Tahoma"/>
            <family val="2"/>
          </rPr>
          <t>LA:</t>
        </r>
        <r>
          <rPr>
            <sz val="9"/>
            <color indexed="81"/>
            <rFont val="Tahoma"/>
            <family val="2"/>
          </rPr>
          <t xml:space="preserve">
Unclear how water sampling was done. Assume used a bottle with approx 2 inch opening and use as plot_res</t>
        </r>
      </text>
    </comment>
    <comment ref="J75" authorId="1">
      <text>
        <r>
          <rPr>
            <b/>
            <sz val="9"/>
            <color indexed="81"/>
            <rFont val="Tahoma"/>
            <family val="2"/>
          </rPr>
          <t>LA:</t>
        </r>
        <r>
          <rPr>
            <sz val="9"/>
            <color indexed="81"/>
            <rFont val="Tahoma"/>
            <family val="2"/>
          </rPr>
          <t xml:space="preserve">
Assume 2 mins to fill up a container with 2 liters of water</t>
        </r>
      </text>
    </comment>
    <comment ref="K75" authorId="1">
      <text>
        <r>
          <rPr>
            <b/>
            <sz val="9"/>
            <color indexed="81"/>
            <rFont val="Tahoma"/>
            <family val="2"/>
          </rPr>
          <t>LA:</t>
        </r>
        <r>
          <rPr>
            <sz val="9"/>
            <color indexed="81"/>
            <rFont val="Tahoma"/>
            <family val="2"/>
          </rPr>
          <t xml:space="preserve">
Assume approximately one hour to reach the next sampling depth</t>
        </r>
      </text>
    </comment>
    <comment ref="L75" authorId="1">
      <text>
        <r>
          <rPr>
            <b/>
            <sz val="9"/>
            <color indexed="81"/>
            <rFont val="Tahoma"/>
            <family val="2"/>
          </rPr>
          <t>LA:</t>
        </r>
        <r>
          <rPr>
            <sz val="9"/>
            <color indexed="81"/>
            <rFont val="Tahoma"/>
            <family val="2"/>
          </rPr>
          <t xml:space="preserve">
Assume samp_duration*2 for each ship</t>
        </r>
      </text>
    </comment>
    <comment ref="M75" authorId="1">
      <text>
        <r>
          <rPr>
            <b/>
            <sz val="9"/>
            <color indexed="81"/>
            <rFont val="Tahoma"/>
            <family val="2"/>
          </rPr>
          <t>LA:</t>
        </r>
        <r>
          <rPr>
            <sz val="9"/>
            <color indexed="81"/>
            <rFont val="Tahoma"/>
            <family val="2"/>
          </rPr>
          <t xml:space="preserve">
Unclear when study took place. Assume it took 30 days.</t>
        </r>
      </text>
    </comment>
    <comment ref="G76" authorId="1">
      <text>
        <r>
          <rPr>
            <b/>
            <sz val="9"/>
            <color indexed="81"/>
            <rFont val="Tahoma"/>
            <family val="2"/>
          </rPr>
          <t>LA:</t>
        </r>
        <r>
          <rPr>
            <sz val="9"/>
            <color indexed="81"/>
            <rFont val="Tahoma"/>
            <family val="2"/>
          </rPr>
          <t xml:space="preserve">
Core size uncertain. Assume 10 cm core diameter</t>
        </r>
      </text>
    </comment>
    <comment ref="J76" authorId="1">
      <text>
        <r>
          <rPr>
            <b/>
            <sz val="9"/>
            <color indexed="81"/>
            <rFont val="Tahoma"/>
            <family val="2"/>
          </rPr>
          <t>LA:</t>
        </r>
        <r>
          <rPr>
            <sz val="9"/>
            <color indexed="81"/>
            <rFont val="Tahoma"/>
            <family val="2"/>
          </rPr>
          <t xml:space="preserve">
Assume 5 mins to drill a core</t>
        </r>
      </text>
    </comment>
    <comment ref="K76" authorId="1">
      <text>
        <r>
          <rPr>
            <b/>
            <sz val="9"/>
            <color indexed="81"/>
            <rFont val="Tahoma"/>
            <family val="2"/>
          </rPr>
          <t>LA:</t>
        </r>
        <r>
          <rPr>
            <sz val="9"/>
            <color indexed="81"/>
            <rFont val="Tahoma"/>
            <family val="2"/>
          </rPr>
          <t xml:space="preserve">
Assume 1 hr between each sample site</t>
        </r>
      </text>
    </comment>
    <comment ref="L76" authorId="1">
      <text>
        <r>
          <rPr>
            <b/>
            <sz val="9"/>
            <color indexed="81"/>
            <rFont val="Tahoma"/>
            <family val="2"/>
          </rPr>
          <t>LA:</t>
        </r>
        <r>
          <rPr>
            <sz val="9"/>
            <color indexed="81"/>
            <rFont val="Tahoma"/>
            <family val="2"/>
          </rPr>
          <t xml:space="preserve">
15 day exposure to fluid emission source</t>
        </r>
      </text>
    </comment>
    <comment ref="M76" authorId="1">
      <text>
        <r>
          <rPr>
            <b/>
            <sz val="9"/>
            <color indexed="81"/>
            <rFont val="Tahoma"/>
            <family val="2"/>
          </rPr>
          <t>LA:</t>
        </r>
        <r>
          <rPr>
            <sz val="9"/>
            <color indexed="81"/>
            <rFont val="Tahoma"/>
            <family val="2"/>
          </rPr>
          <t xml:space="preserve">
Assume 30 days study span. Including 15 days the length of the actual survey</t>
        </r>
      </text>
    </comment>
    <comment ref="G77" authorId="1">
      <text>
        <r>
          <rPr>
            <b/>
            <sz val="9"/>
            <color indexed="81"/>
            <rFont val="Tahoma"/>
            <family val="2"/>
          </rPr>
          <t>LA:</t>
        </r>
        <r>
          <rPr>
            <sz val="9"/>
            <color indexed="81"/>
            <rFont val="Tahoma"/>
            <family val="2"/>
          </rPr>
          <t xml:space="preserve">
Unclear how water sampling was done. Assume used a bottle with approx 2 inch opening and use as plot_res</t>
        </r>
      </text>
    </comment>
    <comment ref="J77" authorId="1">
      <text>
        <r>
          <rPr>
            <b/>
            <sz val="9"/>
            <color indexed="81"/>
            <rFont val="Tahoma"/>
            <family val="2"/>
          </rPr>
          <t>LA:</t>
        </r>
        <r>
          <rPr>
            <sz val="9"/>
            <color indexed="81"/>
            <rFont val="Tahoma"/>
            <family val="2"/>
          </rPr>
          <t xml:space="preserve">
Assume 1 mins to fill up a container with .75 liters of water</t>
        </r>
      </text>
    </comment>
    <comment ref="K77" authorId="1">
      <text>
        <r>
          <rPr>
            <b/>
            <sz val="9"/>
            <color indexed="81"/>
            <rFont val="Tahoma"/>
            <family val="2"/>
          </rPr>
          <t>LA:</t>
        </r>
        <r>
          <rPr>
            <sz val="9"/>
            <color indexed="81"/>
            <rFont val="Tahoma"/>
            <family val="2"/>
          </rPr>
          <t xml:space="preserve">
Assume 1 hr between each sample site</t>
        </r>
      </text>
    </comment>
    <comment ref="L77" authorId="1">
      <text>
        <r>
          <rPr>
            <b/>
            <sz val="9"/>
            <color indexed="81"/>
            <rFont val="Tahoma"/>
            <family val="2"/>
          </rPr>
          <t>LA:</t>
        </r>
        <r>
          <rPr>
            <sz val="9"/>
            <color indexed="81"/>
            <rFont val="Tahoma"/>
            <family val="2"/>
          </rPr>
          <t xml:space="preserve">
15 day survey</t>
        </r>
      </text>
    </comment>
    <comment ref="M77" authorId="1">
      <text>
        <r>
          <rPr>
            <b/>
            <sz val="9"/>
            <color indexed="81"/>
            <rFont val="Tahoma"/>
            <family val="2"/>
          </rPr>
          <t>LA:</t>
        </r>
        <r>
          <rPr>
            <sz val="9"/>
            <color indexed="81"/>
            <rFont val="Tahoma"/>
            <family val="2"/>
          </rPr>
          <t xml:space="preserve">
Assume 30 days study span. Including 15 days the length of the actual survey</t>
        </r>
      </text>
    </comment>
    <comment ref="G78" authorId="1">
      <text>
        <r>
          <rPr>
            <b/>
            <sz val="9"/>
            <color indexed="81"/>
            <rFont val="Tahoma"/>
            <family val="2"/>
          </rPr>
          <t>LA:</t>
        </r>
        <r>
          <rPr>
            <sz val="9"/>
            <color indexed="81"/>
            <rFont val="Tahoma"/>
            <family val="2"/>
          </rPr>
          <t xml:space="preserve">
Unclear how water sampling was done. Assume used a bottle with approx 2 inch opening and use as plot_res</t>
        </r>
      </text>
    </comment>
    <comment ref="J78" authorId="1">
      <text>
        <r>
          <rPr>
            <b/>
            <sz val="9"/>
            <color indexed="81"/>
            <rFont val="Tahoma"/>
            <family val="2"/>
          </rPr>
          <t>LA:</t>
        </r>
        <r>
          <rPr>
            <sz val="9"/>
            <color indexed="81"/>
            <rFont val="Tahoma"/>
            <family val="2"/>
          </rPr>
          <t xml:space="preserve">
Assume 1 min to collect sample</t>
        </r>
      </text>
    </comment>
    <comment ref="K78" authorId="1">
      <text>
        <r>
          <rPr>
            <b/>
            <sz val="9"/>
            <color indexed="81"/>
            <rFont val="Tahoma"/>
            <family val="2"/>
          </rPr>
          <t>LA:</t>
        </r>
        <r>
          <rPr>
            <sz val="9"/>
            <color indexed="81"/>
            <rFont val="Tahoma"/>
            <family val="2"/>
          </rPr>
          <t xml:space="preserve">
Assume 1 hr between each sample depth</t>
        </r>
      </text>
    </comment>
    <comment ref="M78" authorId="1">
      <text>
        <r>
          <rPr>
            <b/>
            <sz val="9"/>
            <color indexed="81"/>
            <rFont val="Tahoma"/>
            <family val="2"/>
          </rPr>
          <t>LA:</t>
        </r>
        <r>
          <rPr>
            <sz val="9"/>
            <color indexed="81"/>
            <rFont val="Tahoma"/>
            <family val="2"/>
          </rPr>
          <t xml:space="preserve">
December, 1998</t>
        </r>
      </text>
    </comment>
    <comment ref="G79" authorId="1">
      <text>
        <r>
          <rPr>
            <b/>
            <sz val="9"/>
            <color indexed="81"/>
            <rFont val="Tahoma"/>
            <family val="2"/>
          </rPr>
          <t>LA:</t>
        </r>
        <r>
          <rPr>
            <sz val="9"/>
            <color indexed="81"/>
            <rFont val="Tahoma"/>
            <family val="2"/>
          </rPr>
          <t xml:space="preserve">
Core size uncertain. Assume 10 cm core diameter</t>
        </r>
      </text>
    </comment>
    <comment ref="J79" authorId="1">
      <text>
        <r>
          <rPr>
            <b/>
            <sz val="9"/>
            <color indexed="81"/>
            <rFont val="Tahoma"/>
            <family val="2"/>
          </rPr>
          <t>LA:</t>
        </r>
        <r>
          <rPr>
            <sz val="9"/>
            <color indexed="81"/>
            <rFont val="Tahoma"/>
            <family val="2"/>
          </rPr>
          <t xml:space="preserve">
Assume 5 mins to drill a core</t>
        </r>
      </text>
    </comment>
    <comment ref="K79" authorId="1">
      <text>
        <r>
          <rPr>
            <b/>
            <sz val="9"/>
            <color indexed="81"/>
            <rFont val="Tahoma"/>
            <family val="2"/>
          </rPr>
          <t>LA:</t>
        </r>
        <r>
          <rPr>
            <sz val="9"/>
            <color indexed="81"/>
            <rFont val="Tahoma"/>
            <family val="2"/>
          </rPr>
          <t xml:space="preserve">
1 sample only. Three DNA extractions from single soil core</t>
        </r>
      </text>
    </comment>
    <comment ref="L79" authorId="1">
      <text>
        <r>
          <rPr>
            <b/>
            <sz val="9"/>
            <color indexed="81"/>
            <rFont val="Tahoma"/>
            <family val="2"/>
          </rPr>
          <t>LA:</t>
        </r>
        <r>
          <rPr>
            <sz val="9"/>
            <color indexed="81"/>
            <rFont val="Tahoma"/>
            <family val="2"/>
          </rPr>
          <t xml:space="preserve">
Unclear. Assigned 1 day</t>
        </r>
      </text>
    </comment>
    <comment ref="M79" authorId="1">
      <text>
        <r>
          <rPr>
            <b/>
            <sz val="9"/>
            <color indexed="81"/>
            <rFont val="Tahoma"/>
            <family val="2"/>
          </rPr>
          <t>LA:</t>
        </r>
        <r>
          <rPr>
            <sz val="9"/>
            <color indexed="81"/>
            <rFont val="Tahoma"/>
            <family val="2"/>
          </rPr>
          <t xml:space="preserve">
Unclear when study took place. Assume it took 30 days.</t>
        </r>
      </text>
    </comment>
    <comment ref="G80" authorId="1">
      <text>
        <r>
          <rPr>
            <b/>
            <sz val="9"/>
            <color indexed="81"/>
            <rFont val="Tahoma"/>
            <family val="2"/>
          </rPr>
          <t>LA:</t>
        </r>
        <r>
          <rPr>
            <sz val="9"/>
            <color indexed="81"/>
            <rFont val="Tahoma"/>
            <family val="2"/>
          </rPr>
          <t xml:space="preserve">
Assume solid soil tube used with 2.5 inch diameter http://www.soilsample.com/catalog/tooling.pdf</t>
        </r>
      </text>
    </comment>
    <comment ref="J80" authorId="1">
      <text>
        <r>
          <rPr>
            <b/>
            <sz val="9"/>
            <color indexed="81"/>
            <rFont val="Tahoma"/>
            <family val="2"/>
          </rPr>
          <t>LA:</t>
        </r>
        <r>
          <rPr>
            <sz val="9"/>
            <color indexed="81"/>
            <rFont val="Tahoma"/>
            <family val="2"/>
          </rPr>
          <t xml:space="preserve">
10 mins per soil core</t>
        </r>
      </text>
    </comment>
    <comment ref="K80" authorId="1">
      <text>
        <r>
          <rPr>
            <b/>
            <sz val="9"/>
            <color indexed="81"/>
            <rFont val="Tahoma"/>
            <family val="2"/>
          </rPr>
          <t>LA:</t>
        </r>
        <r>
          <rPr>
            <sz val="9"/>
            <color indexed="81"/>
            <rFont val="Tahoma"/>
            <family val="2"/>
          </rPr>
          <t xml:space="preserve">
All sample sites except reference sites were 30 meters apart. Assume 5 minutes between each sample.</t>
        </r>
      </text>
    </comment>
    <comment ref="M80" authorId="1">
      <text>
        <r>
          <rPr>
            <b/>
            <sz val="9"/>
            <color indexed="81"/>
            <rFont val="Tahoma"/>
            <family val="2"/>
          </rPr>
          <t>LA:</t>
        </r>
        <r>
          <rPr>
            <sz val="9"/>
            <color indexed="81"/>
            <rFont val="Tahoma"/>
            <family val="2"/>
          </rPr>
          <t xml:space="preserve">
April, 2010</t>
        </r>
      </text>
    </comment>
    <comment ref="G81" authorId="1">
      <text>
        <r>
          <rPr>
            <b/>
            <sz val="9"/>
            <color indexed="81"/>
            <rFont val="Tahoma"/>
            <family val="2"/>
          </rPr>
          <t>LA:</t>
        </r>
        <r>
          <rPr>
            <sz val="9"/>
            <color indexed="81"/>
            <rFont val="Tahoma"/>
            <family val="2"/>
          </rPr>
          <t xml:space="preserve">
Dimensions for each site unclear. Assume, site is circle, and use </t>
        </r>
        <r>
          <rPr>
            <i/>
            <sz val="9"/>
            <color indexed="81"/>
            <rFont val="Tahoma"/>
            <family val="2"/>
          </rPr>
          <t>M. jurtina's</t>
        </r>
        <r>
          <rPr>
            <sz val="9"/>
            <color indexed="81"/>
            <rFont val="Tahoma"/>
            <family val="2"/>
          </rPr>
          <t xml:space="preserve"> perceptual range as surrogate for diameter</t>
        </r>
      </text>
    </comment>
    <comment ref="J81" authorId="1">
      <text>
        <r>
          <rPr>
            <b/>
            <sz val="9"/>
            <color indexed="81"/>
            <rFont val="Tahoma"/>
            <family val="2"/>
          </rPr>
          <t>LA:</t>
        </r>
        <r>
          <rPr>
            <sz val="9"/>
            <color indexed="81"/>
            <rFont val="Tahoma"/>
            <family val="2"/>
          </rPr>
          <t xml:space="preserve">
Unclear how long sample collections were done at each site. Highly variable, so assume 8 am to 5 pm (c.a. 9h) spent at one site</t>
        </r>
      </text>
    </comment>
    <comment ref="K81" authorId="1">
      <text>
        <r>
          <rPr>
            <b/>
            <sz val="9"/>
            <color indexed="81"/>
            <rFont val="Tahoma"/>
            <family val="2"/>
          </rPr>
          <t>LA:</t>
        </r>
        <r>
          <rPr>
            <sz val="9"/>
            <color indexed="81"/>
            <rFont val="Tahoma"/>
            <family val="2"/>
          </rPr>
          <t xml:space="preserve">
Unclear assume 1 day between each site</t>
        </r>
      </text>
    </comment>
    <comment ref="L81" authorId="1">
      <text>
        <r>
          <rPr>
            <b/>
            <sz val="9"/>
            <color indexed="81"/>
            <rFont val="Tahoma"/>
            <family val="2"/>
          </rPr>
          <t>LA:</t>
        </r>
        <r>
          <rPr>
            <sz val="9"/>
            <color indexed="81"/>
            <rFont val="Tahoma"/>
            <family val="2"/>
          </rPr>
          <t xml:space="preserve">
Uncertain assume sampling done at each site at least once</t>
        </r>
      </text>
    </comment>
    <comment ref="M81" authorId="1">
      <text>
        <r>
          <rPr>
            <b/>
            <sz val="9"/>
            <color indexed="81"/>
            <rFont val="Tahoma"/>
            <family val="2"/>
          </rPr>
          <t>LA:</t>
        </r>
        <r>
          <rPr>
            <sz val="9"/>
            <color indexed="81"/>
            <rFont val="Tahoma"/>
            <family val="2"/>
          </rPr>
          <t xml:space="preserve">
June to August, 2009</t>
        </r>
      </text>
    </comment>
    <comment ref="H82" authorId="1">
      <text>
        <r>
          <rPr>
            <b/>
            <sz val="9"/>
            <color indexed="81"/>
            <rFont val="Tahoma"/>
            <family val="2"/>
          </rPr>
          <t>LA:</t>
        </r>
        <r>
          <rPr>
            <sz val="9"/>
            <color indexed="81"/>
            <rFont val="Tahoma"/>
            <family val="2"/>
          </rPr>
          <t xml:space="preserve">
Total of 16 regions, each region has 27 transects, and each transect has 10 quadrats.</t>
        </r>
      </text>
    </comment>
    <comment ref="J82" authorId="1">
      <text>
        <r>
          <rPr>
            <b/>
            <sz val="9"/>
            <color indexed="81"/>
            <rFont val="Tahoma"/>
            <family val="2"/>
          </rPr>
          <t>LA:</t>
        </r>
        <r>
          <rPr>
            <sz val="9"/>
            <color indexed="81"/>
            <rFont val="Tahoma"/>
            <family val="2"/>
          </rPr>
          <t xml:space="preserve">
Assuming 10 minutes to collect the information at each quadrat</t>
        </r>
      </text>
    </comment>
    <comment ref="K82" authorId="1">
      <text>
        <r>
          <rPr>
            <b/>
            <sz val="9"/>
            <color indexed="81"/>
            <rFont val="Tahoma"/>
            <family val="2"/>
          </rPr>
          <t>LA:</t>
        </r>
        <r>
          <rPr>
            <sz val="9"/>
            <color indexed="81"/>
            <rFont val="Tahoma"/>
            <family val="2"/>
          </rPr>
          <t xml:space="preserve">
annual sampling</t>
        </r>
      </text>
    </comment>
    <comment ref="L82" authorId="1">
      <text>
        <r>
          <rPr>
            <b/>
            <sz val="9"/>
            <color indexed="81"/>
            <rFont val="Tahoma"/>
            <family val="2"/>
          </rPr>
          <t>LA:</t>
        </r>
        <r>
          <rPr>
            <sz val="9"/>
            <color indexed="81"/>
            <rFont val="Tahoma"/>
            <family val="2"/>
          </rPr>
          <t xml:space="preserve">
Annual sampling form 2000 to 2004</t>
        </r>
      </text>
    </comment>
    <comment ref="M82" authorId="1">
      <text>
        <r>
          <rPr>
            <b/>
            <sz val="9"/>
            <color indexed="81"/>
            <rFont val="Tahoma"/>
            <family val="2"/>
          </rPr>
          <t>LA:</t>
        </r>
        <r>
          <rPr>
            <sz val="9"/>
            <color indexed="81"/>
            <rFont val="Tahoma"/>
            <family val="2"/>
          </rPr>
          <t xml:space="preserve">
2000 to 2004</t>
        </r>
      </text>
    </comment>
    <comment ref="G83" authorId="1">
      <text>
        <r>
          <rPr>
            <b/>
            <sz val="9"/>
            <color indexed="81"/>
            <rFont val="Tahoma"/>
            <family val="2"/>
          </rPr>
          <t>LA:</t>
        </r>
        <r>
          <rPr>
            <sz val="9"/>
            <color indexed="81"/>
            <rFont val="Tahoma"/>
            <family val="2"/>
          </rPr>
          <t xml:space="preserve">
Assume arctic fox as plot resolution - mean length head to tail and approximated width of the AF</t>
        </r>
      </text>
    </comment>
    <comment ref="J83" authorId="1">
      <text>
        <r>
          <rPr>
            <b/>
            <sz val="9"/>
            <color indexed="81"/>
            <rFont val="Tahoma"/>
            <family val="2"/>
          </rPr>
          <t>LA:</t>
        </r>
        <r>
          <rPr>
            <sz val="9"/>
            <color indexed="81"/>
            <rFont val="Tahoma"/>
            <family val="2"/>
          </rPr>
          <t xml:space="preserve">
Assume at least 15 mins to obtain various types of DNA samples such as fecal samples, hair samples etc from caught or dead arctic foxes</t>
        </r>
      </text>
    </comment>
    <comment ref="K83" authorId="1">
      <text>
        <r>
          <rPr>
            <b/>
            <sz val="9"/>
            <color indexed="81"/>
            <rFont val="Tahoma"/>
            <family val="2"/>
          </rPr>
          <t>LA:</t>
        </r>
        <r>
          <rPr>
            <sz val="9"/>
            <color indexed="81"/>
            <rFont val="Tahoma"/>
            <family val="2"/>
          </rPr>
          <t xml:space="preserve">
Assume at least two days given vast sampling area</t>
        </r>
      </text>
    </comment>
    <comment ref="L83" authorId="1">
      <text>
        <r>
          <rPr>
            <b/>
            <sz val="9"/>
            <color indexed="81"/>
            <rFont val="Tahoma"/>
            <family val="2"/>
          </rPr>
          <t>LA:</t>
        </r>
        <r>
          <rPr>
            <sz val="9"/>
            <color indexed="81"/>
            <rFont val="Tahoma"/>
            <family val="2"/>
          </rPr>
          <t xml:space="preserve">
Assume that 1507 samples collection x samp_duration</t>
        </r>
      </text>
    </comment>
    <comment ref="M83" authorId="1">
      <text>
        <r>
          <rPr>
            <b/>
            <sz val="9"/>
            <color indexed="81"/>
            <rFont val="Tahoma"/>
            <family val="2"/>
          </rPr>
          <t>LA:</t>
        </r>
        <r>
          <rPr>
            <sz val="9"/>
            <color indexed="81"/>
            <rFont val="Tahoma"/>
            <family val="2"/>
          </rPr>
          <t xml:space="preserve">
Assume year long sampling study</t>
        </r>
      </text>
    </comment>
    <comment ref="G84" authorId="1">
      <text>
        <r>
          <rPr>
            <b/>
            <sz val="9"/>
            <color indexed="81"/>
            <rFont val="Tahoma"/>
            <family val="2"/>
          </rPr>
          <t>LA:</t>
        </r>
        <r>
          <rPr>
            <sz val="9"/>
            <color indexed="81"/>
            <rFont val="Tahoma"/>
            <family val="2"/>
          </rPr>
          <t xml:space="preserve">
Assume arctic fox as plot resolution - mean length head to tail and approximated width of the AF</t>
        </r>
      </text>
    </comment>
    <comment ref="J84" authorId="1">
      <text>
        <r>
          <rPr>
            <b/>
            <sz val="9"/>
            <color indexed="81"/>
            <rFont val="Tahoma"/>
            <family val="2"/>
          </rPr>
          <t>LA:</t>
        </r>
        <r>
          <rPr>
            <sz val="9"/>
            <color indexed="81"/>
            <rFont val="Tahoma"/>
            <family val="2"/>
          </rPr>
          <t xml:space="preserve">
Assume 30 mins for dissection and tissue extraction</t>
        </r>
      </text>
    </comment>
    <comment ref="K84" authorId="1">
      <text>
        <r>
          <rPr>
            <b/>
            <sz val="9"/>
            <color indexed="81"/>
            <rFont val="Tahoma"/>
            <family val="2"/>
          </rPr>
          <t>LA:</t>
        </r>
        <r>
          <rPr>
            <sz val="9"/>
            <color indexed="81"/>
            <rFont val="Tahoma"/>
            <family val="2"/>
          </rPr>
          <t xml:space="preserve">
Assume approximately 5 hours between each site for sampling.</t>
        </r>
      </text>
    </comment>
    <comment ref="M84" authorId="1">
      <text>
        <r>
          <rPr>
            <b/>
            <sz val="9"/>
            <color indexed="81"/>
            <rFont val="Tahoma"/>
            <family val="2"/>
          </rPr>
          <t>LA:</t>
        </r>
        <r>
          <rPr>
            <sz val="9"/>
            <color indexed="81"/>
            <rFont val="Tahoma"/>
            <family val="2"/>
          </rPr>
          <t xml:space="preserve">
1999 to 2007</t>
        </r>
      </text>
    </comment>
    <comment ref="G85" authorId="1">
      <text>
        <r>
          <rPr>
            <b/>
            <sz val="9"/>
            <color indexed="81"/>
            <rFont val="Tahoma"/>
            <family val="2"/>
          </rPr>
          <t>LA:</t>
        </r>
        <r>
          <rPr>
            <sz val="9"/>
            <color indexed="81"/>
            <rFont val="Tahoma"/>
            <family val="2"/>
          </rPr>
          <t xml:space="preserve">
Assume arctic fox as plot resolution - mean length head to tail and approximated width of the AF</t>
        </r>
      </text>
    </comment>
    <comment ref="J85" authorId="1">
      <text>
        <r>
          <rPr>
            <b/>
            <sz val="9"/>
            <color indexed="81"/>
            <rFont val="Tahoma"/>
            <family val="2"/>
          </rPr>
          <t>LA:</t>
        </r>
        <r>
          <rPr>
            <sz val="9"/>
            <color indexed="81"/>
            <rFont val="Tahoma"/>
            <family val="2"/>
          </rPr>
          <t xml:space="preserve">
Assume at least 15 mins to obtain various types of DNA samples such as fecal samples, hair samples etc from caught or dead arctic foxes</t>
        </r>
      </text>
    </comment>
    <comment ref="K85" authorId="1">
      <text>
        <r>
          <rPr>
            <b/>
            <sz val="9"/>
            <color indexed="81"/>
            <rFont val="Tahoma"/>
            <family val="2"/>
          </rPr>
          <t>LA:</t>
        </r>
        <r>
          <rPr>
            <sz val="9"/>
            <color indexed="81"/>
            <rFont val="Tahoma"/>
            <family val="2"/>
          </rPr>
          <t xml:space="preserve">
Assume approximately 5 hours between each site for sampling.</t>
        </r>
      </text>
    </comment>
    <comment ref="M85" authorId="1">
      <text>
        <r>
          <rPr>
            <b/>
            <sz val="9"/>
            <color indexed="81"/>
            <rFont val="Tahoma"/>
            <family val="2"/>
          </rPr>
          <t>LA:</t>
        </r>
        <r>
          <rPr>
            <sz val="9"/>
            <color indexed="81"/>
            <rFont val="Tahoma"/>
            <family val="2"/>
          </rPr>
          <t xml:space="preserve">
1989 to 2004</t>
        </r>
      </text>
    </comment>
    <comment ref="G86" authorId="1">
      <text>
        <r>
          <rPr>
            <b/>
            <sz val="9"/>
            <color indexed="81"/>
            <rFont val="Tahoma"/>
            <family val="2"/>
          </rPr>
          <t>LA:</t>
        </r>
        <r>
          <rPr>
            <sz val="9"/>
            <color indexed="81"/>
            <rFont val="Tahoma"/>
            <family val="2"/>
          </rPr>
          <t xml:space="preserve">
Assume arctic fox as plot resolution - mean length head to tail and approximated width of the AF</t>
        </r>
      </text>
    </comment>
    <comment ref="J86" authorId="1">
      <text>
        <r>
          <rPr>
            <b/>
            <sz val="9"/>
            <color indexed="81"/>
            <rFont val="Tahoma"/>
            <family val="2"/>
          </rPr>
          <t>LA:</t>
        </r>
        <r>
          <rPr>
            <sz val="9"/>
            <color indexed="81"/>
            <rFont val="Tahoma"/>
            <family val="2"/>
          </rPr>
          <t xml:space="preserve">
Assume 5 mins spent collecting DNA samples</t>
        </r>
      </text>
    </comment>
    <comment ref="K86" authorId="1">
      <text>
        <r>
          <rPr>
            <b/>
            <sz val="9"/>
            <color indexed="81"/>
            <rFont val="Tahoma"/>
            <family val="2"/>
          </rPr>
          <t>LA:</t>
        </r>
        <r>
          <rPr>
            <sz val="9"/>
            <color indexed="81"/>
            <rFont val="Tahoma"/>
            <family val="2"/>
          </rPr>
          <t xml:space="preserve">
Assume 2-3 days between each sample site because of remoteness of sample sites</t>
        </r>
      </text>
    </comment>
    <comment ref="M86" authorId="1">
      <text>
        <r>
          <rPr>
            <b/>
            <sz val="9"/>
            <color indexed="81"/>
            <rFont val="Tahoma"/>
            <family val="2"/>
          </rPr>
          <t>LA:</t>
        </r>
        <r>
          <rPr>
            <sz val="9"/>
            <color indexed="81"/>
            <rFont val="Tahoma"/>
            <family val="2"/>
          </rPr>
          <t xml:space="preserve">
Assume year long study</t>
        </r>
      </text>
    </comment>
    <comment ref="G87" authorId="1">
      <text>
        <r>
          <rPr>
            <b/>
            <sz val="9"/>
            <color indexed="81"/>
            <rFont val="Tahoma"/>
            <family val="2"/>
          </rPr>
          <t>LA:</t>
        </r>
        <r>
          <rPr>
            <sz val="9"/>
            <color indexed="81"/>
            <rFont val="Tahoma"/>
            <family val="2"/>
          </rPr>
          <t xml:space="preserve">
Assume arctic fox as plot resolution - mean length head to tail and approximated width of the AF</t>
        </r>
      </text>
    </comment>
    <comment ref="J87" authorId="1">
      <text>
        <r>
          <rPr>
            <b/>
            <sz val="9"/>
            <color indexed="81"/>
            <rFont val="Tahoma"/>
            <family val="2"/>
          </rPr>
          <t>LA:</t>
        </r>
        <r>
          <rPr>
            <sz val="9"/>
            <color indexed="81"/>
            <rFont val="Tahoma"/>
            <family val="2"/>
          </rPr>
          <t xml:space="preserve">
Assume 5 mins spent collecting DNA samples</t>
        </r>
      </text>
    </comment>
    <comment ref="K87" authorId="1">
      <text>
        <r>
          <rPr>
            <b/>
            <sz val="9"/>
            <color indexed="81"/>
            <rFont val="Tahoma"/>
            <family val="2"/>
          </rPr>
          <t>LA:</t>
        </r>
        <r>
          <rPr>
            <sz val="9"/>
            <color indexed="81"/>
            <rFont val="Tahoma"/>
            <family val="2"/>
          </rPr>
          <t xml:space="preserve">
Assume at least two days given vast sampling area</t>
        </r>
      </text>
    </comment>
    <comment ref="M87" authorId="1">
      <text>
        <r>
          <rPr>
            <b/>
            <sz val="9"/>
            <color indexed="81"/>
            <rFont val="Tahoma"/>
            <family val="2"/>
          </rPr>
          <t>LA:</t>
        </r>
        <r>
          <rPr>
            <sz val="9"/>
            <color indexed="81"/>
            <rFont val="Tahoma"/>
            <family val="2"/>
          </rPr>
          <t xml:space="preserve">
Assume year long study</t>
        </r>
      </text>
    </comment>
    <comment ref="G88" authorId="1">
      <text>
        <r>
          <rPr>
            <b/>
            <sz val="9"/>
            <color indexed="81"/>
            <rFont val="Tahoma"/>
            <family val="2"/>
          </rPr>
          <t>LA:</t>
        </r>
        <r>
          <rPr>
            <sz val="9"/>
            <color indexed="81"/>
            <rFont val="Tahoma"/>
            <family val="2"/>
          </rPr>
          <t xml:space="preserve">
Assume goat as plot_res. Mean length of adult 1.4 meters * c.a. width 0.3683 (from http://www.chuckhawks.com/kill_zone_game_animals.htm).</t>
        </r>
      </text>
    </comment>
    <comment ref="J88" authorId="1">
      <text>
        <r>
          <rPr>
            <b/>
            <sz val="9"/>
            <color indexed="81"/>
            <rFont val="Tahoma"/>
            <family val="2"/>
          </rPr>
          <t>LA:</t>
        </r>
        <r>
          <rPr>
            <sz val="9"/>
            <color indexed="81"/>
            <rFont val="Tahoma"/>
            <family val="2"/>
          </rPr>
          <t xml:space="preserve">
Assume 1 minute to record/log telemetry data</t>
        </r>
      </text>
    </comment>
    <comment ref="K88" authorId="1">
      <text>
        <r>
          <rPr>
            <b/>
            <sz val="9"/>
            <color indexed="81"/>
            <rFont val="Tahoma"/>
            <family val="2"/>
          </rPr>
          <t>LA:</t>
        </r>
        <r>
          <rPr>
            <sz val="9"/>
            <color indexed="81"/>
            <rFont val="Tahoma"/>
            <family val="2"/>
          </rPr>
          <t xml:space="preserve">
during migration events sampling was done every 7d and during non-migraiton seasons sampling was done twice a month c.a. 15d. </t>
        </r>
      </text>
    </comment>
    <comment ref="L88" authorId="1">
      <text>
        <r>
          <rPr>
            <b/>
            <sz val="9"/>
            <color indexed="81"/>
            <rFont val="Tahoma"/>
            <family val="2"/>
          </rPr>
          <t>LA:</t>
        </r>
        <r>
          <rPr>
            <sz val="9"/>
            <color indexed="81"/>
            <rFont val="Tahoma"/>
            <family val="2"/>
          </rPr>
          <t xml:space="preserve">
5743 telemetry locations recorded. Assume that each telemetry location equates to total number of animal sampling done from June, 2009 to August, 2005</t>
        </r>
      </text>
    </comment>
    <comment ref="M88" authorId="1">
      <text>
        <r>
          <rPr>
            <b/>
            <sz val="9"/>
            <color indexed="81"/>
            <rFont val="Tahoma"/>
            <family val="2"/>
          </rPr>
          <t>LA:</t>
        </r>
        <r>
          <rPr>
            <sz val="9"/>
            <color indexed="81"/>
            <rFont val="Tahoma"/>
            <family val="2"/>
          </rPr>
          <t xml:space="preserve">
June, 1999 to August, 2009</t>
        </r>
      </text>
    </comment>
    <comment ref="J89" authorId="1">
      <text>
        <r>
          <rPr>
            <b/>
            <sz val="9"/>
            <color indexed="81"/>
            <rFont val="Tahoma"/>
            <family val="2"/>
          </rPr>
          <t>LA:</t>
        </r>
        <r>
          <rPr>
            <sz val="9"/>
            <color indexed="81"/>
            <rFont val="Tahoma"/>
            <family val="2"/>
          </rPr>
          <t xml:space="preserve">
Assume 30 mins spent sampling each transect</t>
        </r>
      </text>
    </comment>
    <comment ref="K89" authorId="1">
      <text>
        <r>
          <rPr>
            <b/>
            <sz val="9"/>
            <color indexed="81"/>
            <rFont val="Tahoma"/>
            <family val="2"/>
          </rPr>
          <t>LA:</t>
        </r>
        <r>
          <rPr>
            <sz val="9"/>
            <color indexed="81"/>
            <rFont val="Tahoma"/>
            <family val="2"/>
          </rPr>
          <t xml:space="preserve">
yearly sampling done every 2 weeks between June to August</t>
        </r>
      </text>
    </comment>
    <comment ref="L89" authorId="1">
      <text>
        <r>
          <rPr>
            <b/>
            <sz val="9"/>
            <color indexed="81"/>
            <rFont val="Tahoma"/>
            <family val="2"/>
          </rPr>
          <t>LA:</t>
        </r>
        <r>
          <rPr>
            <sz val="9"/>
            <color indexed="81"/>
            <rFont val="Tahoma"/>
            <family val="2"/>
          </rPr>
          <t xml:space="preserve">
Assume each site sampled biweekly 5.4 times a year for three years, so s_dur*biwkly_samp*no_year</t>
        </r>
      </text>
    </comment>
    <comment ref="M89" authorId="1">
      <text>
        <r>
          <rPr>
            <b/>
            <sz val="9"/>
            <color indexed="81"/>
            <rFont val="Tahoma"/>
            <family val="2"/>
          </rPr>
          <t>LA:</t>
        </r>
        <r>
          <rPr>
            <sz val="9"/>
            <color indexed="81"/>
            <rFont val="Tahoma"/>
            <family val="2"/>
          </rPr>
          <t xml:space="preserve">
June, 2006 to August, 2008</t>
        </r>
      </text>
    </comment>
    <comment ref="J90" authorId="1">
      <text>
        <r>
          <rPr>
            <b/>
            <sz val="9"/>
            <color indexed="81"/>
            <rFont val="Tahoma"/>
            <family val="2"/>
          </rPr>
          <t>LA:</t>
        </r>
        <r>
          <rPr>
            <sz val="9"/>
            <color indexed="81"/>
            <rFont val="Tahoma"/>
            <family val="2"/>
          </rPr>
          <t xml:space="preserve">
10 mins per quadrat
</t>
        </r>
      </text>
    </comment>
    <comment ref="K90" authorId="1">
      <text>
        <r>
          <rPr>
            <b/>
            <sz val="9"/>
            <color indexed="81"/>
            <rFont val="Tahoma"/>
            <family val="2"/>
          </rPr>
          <t>LA:</t>
        </r>
        <r>
          <rPr>
            <sz val="9"/>
            <color indexed="81"/>
            <rFont val="Tahoma"/>
            <family val="2"/>
          </rPr>
          <t xml:space="preserve">
assume sampling for % cover &amp; vegetation height, and bare ground shrub done roughly a year apart</t>
        </r>
      </text>
    </comment>
    <comment ref="L90" authorId="1">
      <text>
        <r>
          <rPr>
            <b/>
            <sz val="9"/>
            <color indexed="81"/>
            <rFont val="Tahoma"/>
            <family val="2"/>
          </rPr>
          <t>LA:</t>
        </r>
        <r>
          <rPr>
            <sz val="9"/>
            <color indexed="81"/>
            <rFont val="Tahoma"/>
            <family val="2"/>
          </rPr>
          <t xml:space="preserve">
samp_duration X sampled twice in 2006 &amp; 2008</t>
        </r>
      </text>
    </comment>
    <comment ref="M90" authorId="1">
      <text>
        <r>
          <rPr>
            <b/>
            <sz val="9"/>
            <color indexed="81"/>
            <rFont val="Tahoma"/>
            <family val="2"/>
          </rPr>
          <t>LA:</t>
        </r>
        <r>
          <rPr>
            <sz val="9"/>
            <color indexed="81"/>
            <rFont val="Tahoma"/>
            <family val="2"/>
          </rPr>
          <t xml:space="preserve">
June, 2006 to August, 2008</t>
        </r>
      </text>
    </comment>
    <comment ref="H96" authorId="3">
      <text>
        <r>
          <rPr>
            <sz val="10"/>
            <color rgb="FF000000"/>
            <rFont val="Arial"/>
          </rPr>
          <t xml:space="preserve">Average
</t>
        </r>
      </text>
    </comment>
    <comment ref="H97" authorId="3">
      <text>
        <r>
          <rPr>
            <sz val="10"/>
            <color rgb="FF000000"/>
            <rFont val="Arial"/>
          </rPr>
          <t xml:space="preserve">Average
</t>
        </r>
      </text>
    </comment>
    <comment ref="H98" authorId="3">
      <text>
        <r>
          <rPr>
            <sz val="10"/>
            <color rgb="FF000000"/>
            <rFont val="Arial"/>
          </rPr>
          <t xml:space="preserve">Average
</t>
        </r>
      </text>
    </comment>
    <comment ref="H104" authorId="3">
      <text>
        <r>
          <rPr>
            <sz val="10"/>
            <color rgb="FF000000"/>
            <rFont val="Arial"/>
          </rPr>
          <t xml:space="preserve">Best assumption made
</t>
        </r>
      </text>
    </comment>
    <comment ref="G105" authorId="3">
      <text>
        <r>
          <rPr>
            <sz val="10"/>
            <color rgb="FF000000"/>
            <rFont val="Arial"/>
          </rPr>
          <t xml:space="preserve">Based on the assumption that Lysimeter is 2ft in diameter
</t>
        </r>
      </text>
    </comment>
    <comment ref="H105" authorId="3">
      <text>
        <r>
          <rPr>
            <sz val="10"/>
            <color rgb="FF000000"/>
            <rFont val="Arial"/>
          </rPr>
          <t xml:space="preserve">Best assumption made
</t>
        </r>
      </text>
    </comment>
    <comment ref="G106" authorId="3">
      <text>
        <r>
          <rPr>
            <sz val="10"/>
            <color rgb="FF000000"/>
            <rFont val="Arial"/>
          </rPr>
          <t>Assuming a dip net has a radius of 1 ft.</t>
        </r>
      </text>
    </comment>
    <comment ref="H106" authorId="3">
      <text>
        <r>
          <rPr>
            <sz val="10"/>
            <color rgb="FF000000"/>
            <rFont val="Arial"/>
          </rPr>
          <t>Assuming 5 samples were taken in the lake per day</t>
        </r>
      </text>
    </comment>
    <comment ref="H107" authorId="3">
      <text>
        <r>
          <rPr>
            <sz val="10"/>
            <color rgb="FF000000"/>
            <rFont val="Arial"/>
          </rPr>
          <t xml:space="preserve">Assuming 20 angling samples per day
</t>
        </r>
      </text>
    </comment>
    <comment ref="G108" authorId="3">
      <text>
        <r>
          <rPr>
            <sz val="10"/>
            <color rgb="FF000000"/>
            <rFont val="Arial"/>
          </rPr>
          <t>Assuming mangrove roots have a 10 meter radius around the trunk (http://www.mangrove.at/rhizophora-mangle_red-mangrove.html)</t>
        </r>
      </text>
    </comment>
    <comment ref="G117" authorId="3">
      <text>
        <r>
          <rPr>
            <sz val="10"/>
            <color rgb="FF000000"/>
            <rFont val="Arial"/>
          </rPr>
          <t>Assuming the range of electrofishing was 15x5 ft</t>
        </r>
      </text>
    </comment>
    <comment ref="F119" authorId="3">
      <text>
        <r>
          <rPr>
            <sz val="10"/>
            <color rgb="FF000000"/>
            <rFont val="Arial"/>
          </rPr>
          <t xml:space="preserve">WOCE AR01
</t>
        </r>
      </text>
    </comment>
    <comment ref="H119" authorId="3">
      <text>
        <r>
          <rPr>
            <sz val="10"/>
            <color rgb="FF000000"/>
            <rFont val="Arial"/>
          </rPr>
          <t>36 ten liter sample bottles were attached to 150 conductivity temperature depth hydropgrahic stations</t>
        </r>
      </text>
    </comment>
    <comment ref="R119" authorId="3">
      <text>
        <r>
          <rPr>
            <sz val="10"/>
            <color rgb="FF000000"/>
            <rFont val="Arial"/>
          </rPr>
          <t xml:space="preserve">I used this report to extract further information. DOI not provided in report.
</t>
        </r>
      </text>
    </comment>
    <comment ref="F120" authorId="3">
      <text>
        <r>
          <rPr>
            <sz val="10"/>
            <color rgb="FF000000"/>
            <rFont val="Arial"/>
          </rPr>
          <t xml:space="preserve">WOCE A14
</t>
        </r>
      </text>
    </comment>
    <comment ref="H120" authorId="3">
      <text>
        <r>
          <rPr>
            <sz val="10"/>
            <color rgb="FF000000"/>
            <rFont val="Arial"/>
          </rPr>
          <t>8 liter Niskin bottles were used at 107 sampling stations.</t>
        </r>
      </text>
    </comment>
    <comment ref="F121" authorId="3">
      <text>
        <r>
          <rPr>
            <sz val="10"/>
            <color rgb="FF000000"/>
            <rFont val="Arial"/>
          </rPr>
          <t xml:space="preserve">NSeas/Knorr
</t>
        </r>
      </text>
    </comment>
    <comment ref="H121" authorId="3">
      <text>
        <r>
          <rPr>
            <sz val="10"/>
            <color rgb="FF000000"/>
            <rFont val="Arial"/>
          </rPr>
          <t>10 8 liter Niskin bottles used at an estimated 140 sample stations.</t>
        </r>
      </text>
    </comment>
    <comment ref="R121" authorId="3">
      <text>
        <r>
          <rPr>
            <sz val="10"/>
            <color rgb="FF000000"/>
            <rFont val="Arial"/>
          </rPr>
          <t>http://cchdo.ucsd.edu/data/7444/a5repeat.pdf</t>
        </r>
      </text>
    </comment>
    <comment ref="F122" authorId="3">
      <text>
        <r>
          <rPr>
            <sz val="10"/>
            <color rgb="FF000000"/>
            <rFont val="Arial"/>
          </rPr>
          <t>CLIVAR A16N</t>
        </r>
      </text>
    </comment>
    <comment ref="R122" authorId="3">
      <text>
        <r>
          <rPr>
            <sz val="10"/>
            <color rgb="FF000000"/>
            <rFont val="Arial"/>
          </rPr>
          <t xml:space="preserve">No DOI available
</t>
        </r>
      </text>
    </comment>
    <comment ref="G124" authorId="3">
      <text>
        <r>
          <rPr>
            <sz val="10"/>
            <color rgb="FF000000"/>
            <rFont val="Arial"/>
          </rPr>
          <t>Assuming transects were 300 X 100</t>
        </r>
      </text>
    </comment>
    <comment ref="G128" authorId="3">
      <text>
        <r>
          <rPr>
            <sz val="10"/>
            <color rgb="FF000000"/>
            <rFont val="Arial"/>
          </rPr>
          <t>Best estimate made</t>
        </r>
      </text>
    </comment>
    <comment ref="M129" authorId="3">
      <text>
        <r>
          <rPr>
            <sz val="10"/>
            <color rgb="FF000000"/>
            <rFont val="Arial"/>
          </rPr>
          <t xml:space="preserve">Best estimate made
</t>
        </r>
      </text>
    </comment>
    <comment ref="M130" authorId="3">
      <text>
        <r>
          <rPr>
            <sz val="10"/>
            <color rgb="FF000000"/>
            <rFont val="Arial"/>
          </rPr>
          <t xml:space="preserve">Best estimate made
</t>
        </r>
      </text>
    </comment>
    <comment ref="H134" authorId="3">
      <text>
        <r>
          <rPr>
            <sz val="10"/>
            <color rgb="FF000000"/>
            <rFont val="Arial"/>
          </rPr>
          <t xml:space="preserve">Assuming imagery was taken in the four nature reserves
</t>
        </r>
      </text>
    </comment>
    <comment ref="M135" authorId="3">
      <text>
        <r>
          <rPr>
            <sz val="10"/>
            <color rgb="FF000000"/>
            <rFont val="Arial"/>
          </rPr>
          <t xml:space="preserve">Best estimate made
</t>
        </r>
      </text>
    </comment>
    <comment ref="G142" authorId="3">
      <text>
        <r>
          <rPr>
            <sz val="10"/>
            <color rgb="FF000000"/>
            <rFont val="Arial"/>
          </rPr>
          <t xml:space="preserve">Best-assumption made- very crude estimate
</t>
        </r>
      </text>
    </comment>
    <comment ref="J142" authorId="3">
      <text>
        <r>
          <rPr>
            <sz val="10"/>
            <color rgb="FF000000"/>
            <rFont val="Arial"/>
          </rPr>
          <t xml:space="preserve">assuming single sample took 1 hour to complete
</t>
        </r>
      </text>
    </comment>
    <comment ref="G144" authorId="3">
      <text>
        <r>
          <rPr>
            <sz val="10"/>
            <color rgb="FF000000"/>
            <rFont val="Arial"/>
          </rPr>
          <t xml:space="preserve">Assuming average plant patch size to be 5m by 5m
</t>
        </r>
      </text>
    </comment>
    <comment ref="J144" authorId="3">
      <text>
        <r>
          <rPr>
            <sz val="10"/>
            <color rgb="FF000000"/>
            <rFont val="Arial"/>
          </rPr>
          <t xml:space="preserve">Assuming collection took half a day
</t>
        </r>
      </text>
    </comment>
    <comment ref="K144" authorId="3">
      <text>
        <r>
          <rPr>
            <sz val="10"/>
            <color rgb="FF000000"/>
            <rFont val="Arial"/>
          </rPr>
          <t xml:space="preserve">Best assumption made
</t>
        </r>
      </text>
    </comment>
    <comment ref="M150" authorId="3">
      <text>
        <r>
          <rPr>
            <sz val="10"/>
            <color rgb="FF000000"/>
            <rFont val="Arial"/>
          </rPr>
          <t xml:space="preserve">Best estimate made
</t>
        </r>
      </text>
    </comment>
    <comment ref="G155" authorId="4">
      <text>
        <r>
          <rPr>
            <b/>
            <sz val="9"/>
            <color indexed="81"/>
            <rFont val="Tahoma"/>
            <family val="2"/>
          </rPr>
          <t>Jonathan:</t>
        </r>
        <r>
          <rPr>
            <sz val="9"/>
            <color indexed="81"/>
            <rFont val="Tahoma"/>
            <family val="2"/>
          </rPr>
          <t xml:space="preserve">
Soil datalogger - we'll say 10cm by 10cm</t>
        </r>
      </text>
    </comment>
    <comment ref="H155" authorId="4">
      <text>
        <r>
          <rPr>
            <b/>
            <sz val="9"/>
            <color indexed="81"/>
            <rFont val="Tahoma"/>
            <family val="2"/>
          </rPr>
          <t>Jonathan:</t>
        </r>
        <r>
          <rPr>
            <sz val="9"/>
            <color indexed="81"/>
            <rFont val="Tahoma"/>
            <family val="2"/>
          </rPr>
          <t xml:space="preserve">
5 dataloggers, 2 sites</t>
        </r>
      </text>
    </comment>
    <comment ref="J155" authorId="4">
      <text>
        <r>
          <rPr>
            <b/>
            <sz val="9"/>
            <color indexed="81"/>
            <rFont val="Tahoma"/>
            <family val="2"/>
          </rPr>
          <t>Jonathan:</t>
        </r>
        <r>
          <rPr>
            <sz val="9"/>
            <color indexed="81"/>
            <rFont val="Tahoma"/>
            <family val="2"/>
          </rPr>
          <t xml:space="preserve">
Assume 1 second to take the sample</t>
        </r>
      </text>
    </comment>
    <comment ref="K155" authorId="4">
      <text>
        <r>
          <rPr>
            <b/>
            <sz val="9"/>
            <color indexed="81"/>
            <rFont val="Tahoma"/>
            <family val="2"/>
          </rPr>
          <t>Jonathan:</t>
        </r>
        <r>
          <rPr>
            <sz val="9"/>
            <color indexed="81"/>
            <rFont val="Tahoma"/>
            <family val="2"/>
          </rPr>
          <t xml:space="preserve">
every 4 hours</t>
        </r>
      </text>
    </comment>
    <comment ref="L155" authorId="4">
      <text>
        <r>
          <rPr>
            <b/>
            <sz val="9"/>
            <color indexed="81"/>
            <rFont val="Tahoma"/>
            <family val="2"/>
          </rPr>
          <t>Jonathan:</t>
        </r>
        <r>
          <rPr>
            <sz val="9"/>
            <color indexed="81"/>
            <rFont val="Tahoma"/>
            <family val="2"/>
          </rPr>
          <t xml:space="preserve">
1 second per obs, 6 obs per day (every 4 hrs), 30 days of data per month, 2 months per year, 6 years</t>
        </r>
      </text>
    </comment>
    <comment ref="M155" authorId="4">
      <text>
        <r>
          <rPr>
            <b/>
            <sz val="9"/>
            <color indexed="81"/>
            <rFont val="Tahoma"/>
            <family val="2"/>
          </rPr>
          <t>Jonathan:</t>
        </r>
        <r>
          <rPr>
            <sz val="9"/>
            <color indexed="81"/>
            <rFont val="Tahoma"/>
            <family val="2"/>
          </rPr>
          <t xml:space="preserve">
assume 15 october 2005 to 15 april 2010, because they said they sampled in october and april between 2005 and 2010</t>
        </r>
      </text>
    </comment>
    <comment ref="G156" authorId="4">
      <text>
        <r>
          <rPr>
            <b/>
            <sz val="9"/>
            <color indexed="81"/>
            <rFont val="Tahoma"/>
            <family val="2"/>
          </rPr>
          <t>Jonathan:</t>
        </r>
        <r>
          <rPr>
            <sz val="9"/>
            <color indexed="81"/>
            <rFont val="Tahoma"/>
            <family val="2"/>
          </rPr>
          <t xml:space="preserve">
Photography from a 10m tower
</t>
        </r>
      </text>
    </comment>
    <comment ref="J156" authorId="4">
      <text>
        <r>
          <rPr>
            <b/>
            <sz val="9"/>
            <color indexed="81"/>
            <rFont val="Tahoma"/>
            <family val="2"/>
          </rPr>
          <t>Jonathan:
Continue to assume 1 second</t>
        </r>
      </text>
    </comment>
    <comment ref="K156" authorId="4">
      <text>
        <r>
          <rPr>
            <b/>
            <sz val="9"/>
            <color indexed="81"/>
            <rFont val="Tahoma"/>
            <family val="2"/>
          </rPr>
          <t>Jonathan:</t>
        </r>
        <r>
          <rPr>
            <sz val="9"/>
            <color indexed="81"/>
            <rFont val="Tahoma"/>
            <family val="2"/>
          </rPr>
          <t xml:space="preserve">
Study says the photos were taken daily at solar noon
</t>
        </r>
      </text>
    </comment>
    <comment ref="L156" authorId="4">
      <text>
        <r>
          <rPr>
            <b/>
            <sz val="9"/>
            <color indexed="81"/>
            <rFont val="Tahoma"/>
            <family val="2"/>
          </rPr>
          <t>Jonathan:</t>
        </r>
        <r>
          <rPr>
            <sz val="9"/>
            <color indexed="81"/>
            <rFont val="Tahoma"/>
            <family val="2"/>
          </rPr>
          <t xml:space="preserve">
1 second per sample, 1 sample per day, 365.25 days per year, 3 years
</t>
        </r>
      </text>
    </comment>
    <comment ref="M156" authorId="4">
      <text>
        <r>
          <rPr>
            <b/>
            <sz val="9"/>
            <color indexed="81"/>
            <rFont val="Tahoma"/>
            <family val="2"/>
          </rPr>
          <t>Jonathan:</t>
        </r>
        <r>
          <rPr>
            <sz val="9"/>
            <color indexed="81"/>
            <rFont val="Tahoma"/>
            <family val="2"/>
          </rPr>
          <t xml:space="preserve">
Only says that it was from spring to fall from 2007 to 2010. I don't know exactly how to interpret that, so I went with 365*3
</t>
        </r>
      </text>
    </comment>
    <comment ref="G157" authorId="4">
      <text>
        <r>
          <rPr>
            <b/>
            <sz val="9"/>
            <color indexed="81"/>
            <rFont val="Tahoma"/>
            <family val="2"/>
          </rPr>
          <t>Jonathan:</t>
        </r>
        <r>
          <rPr>
            <sz val="9"/>
            <color indexed="81"/>
            <rFont val="Tahoma"/>
            <family val="2"/>
          </rPr>
          <t xml:space="preserve">
Animal surveys - they don't say how many traps were deployed. We'll say it's a 8cm by 8 cm opening with 10 traps per site
</t>
        </r>
      </text>
    </comment>
    <comment ref="J157" authorId="4">
      <text>
        <r>
          <rPr>
            <b/>
            <sz val="9"/>
            <color indexed="81"/>
            <rFont val="Tahoma"/>
            <family val="2"/>
          </rPr>
          <t>Jonathan:</t>
        </r>
        <r>
          <rPr>
            <sz val="9"/>
            <color indexed="81"/>
            <rFont val="Tahoma"/>
            <family val="2"/>
          </rPr>
          <t xml:space="preserve">
Assume letting traps stay for 9 hours
</t>
        </r>
      </text>
    </comment>
    <comment ref="K157" authorId="4">
      <text>
        <r>
          <rPr>
            <b/>
            <sz val="9"/>
            <color indexed="81"/>
            <rFont val="Tahoma"/>
            <family val="2"/>
          </rPr>
          <t>Jonathan:</t>
        </r>
        <r>
          <rPr>
            <sz val="9"/>
            <color indexed="81"/>
            <rFont val="Tahoma"/>
            <family val="2"/>
          </rPr>
          <t xml:space="preserve">
Every 9 months averaging 6 and 12
</t>
        </r>
      </text>
    </comment>
    <comment ref="L157" authorId="4">
      <text>
        <r>
          <rPr>
            <b/>
            <sz val="9"/>
            <color indexed="81"/>
            <rFont val="Tahoma"/>
            <family val="2"/>
          </rPr>
          <t xml:space="preserve">Jonathan:
Early morning to mid afternoon, so we'll assume 6am to 3pm, and this is every 6-12 months (average to 9)  from 1997 to 2010. </t>
        </r>
      </text>
    </comment>
    <comment ref="M157" authorId="4">
      <text>
        <r>
          <rPr>
            <b/>
            <sz val="9"/>
            <color indexed="81"/>
            <rFont val="Tahoma"/>
            <family val="2"/>
          </rPr>
          <t>Jonathan:</t>
        </r>
        <r>
          <rPr>
            <sz val="9"/>
            <color indexed="81"/>
            <rFont val="Tahoma"/>
            <family val="2"/>
          </rPr>
          <t xml:space="preserve">
Went from 1997 to 2010.</t>
        </r>
      </text>
    </comment>
    <comment ref="O157" authorId="4">
      <text>
        <r>
          <rPr>
            <b/>
            <sz val="9"/>
            <color indexed="81"/>
            <rFont val="Tahoma"/>
            <family val="2"/>
          </rPr>
          <t>Jonathan:</t>
        </r>
        <r>
          <rPr>
            <sz val="9"/>
            <color indexed="81"/>
            <rFont val="Tahoma"/>
            <family val="2"/>
          </rPr>
          <t xml:space="preserve">
flag - they measure multiple measures of the squirrels</t>
        </r>
      </text>
    </comment>
    <comment ref="G158" authorId="4">
      <text>
        <r>
          <rPr>
            <b/>
            <sz val="9"/>
            <color indexed="81"/>
            <rFont val="Tahoma"/>
            <family val="2"/>
          </rPr>
          <t>Jonathan:</t>
        </r>
        <r>
          <rPr>
            <sz val="9"/>
            <color indexed="81"/>
            <rFont val="Tahoma"/>
            <family val="2"/>
          </rPr>
          <t xml:space="preserve">
Unit of measure is the individual squirrel, which we'll say is 15 cm by 5 cm
</t>
        </r>
      </text>
    </comment>
    <comment ref="H158" authorId="4">
      <text>
        <r>
          <rPr>
            <b/>
            <sz val="9"/>
            <color indexed="81"/>
            <rFont val="Tahoma"/>
            <family val="2"/>
          </rPr>
          <t>Jonathan:</t>
        </r>
        <r>
          <rPr>
            <sz val="9"/>
            <color indexed="81"/>
            <rFont val="Tahoma"/>
            <family val="2"/>
          </rPr>
          <t xml:space="preserve">
204 loggers installed
</t>
        </r>
      </text>
    </comment>
    <comment ref="J158" authorId="4">
      <text>
        <r>
          <rPr>
            <b/>
            <sz val="9"/>
            <color indexed="81"/>
            <rFont val="Tahoma"/>
            <family val="2"/>
          </rPr>
          <t>Jonathan:</t>
        </r>
        <r>
          <rPr>
            <sz val="9"/>
            <color indexed="81"/>
            <rFont val="Tahoma"/>
            <family val="2"/>
          </rPr>
          <t xml:space="preserve">
20 minutes per sample
</t>
        </r>
      </text>
    </comment>
    <comment ref="L158" authorId="4">
      <text>
        <r>
          <rPr>
            <b/>
            <sz val="9"/>
            <color indexed="81"/>
            <rFont val="Tahoma"/>
            <family val="2"/>
          </rPr>
          <t>Jonathan:</t>
        </r>
        <r>
          <rPr>
            <sz val="9"/>
            <color indexed="81"/>
            <rFont val="Tahoma"/>
            <family val="2"/>
          </rPr>
          <t xml:space="preserve">
They said that these were run for up to 18 months, but they seemed to be taking them out earlier if recpatured (6-12 months). Reassign to 12 month average
</t>
        </r>
      </text>
    </comment>
    <comment ref="M158" authorId="4">
      <text>
        <r>
          <rPr>
            <b/>
            <sz val="9"/>
            <color indexed="81"/>
            <rFont val="Tahoma"/>
            <family val="2"/>
          </rPr>
          <t>Jonathan:</t>
        </r>
        <r>
          <rPr>
            <sz val="9"/>
            <color indexed="81"/>
            <rFont val="Tahoma"/>
            <family val="2"/>
          </rPr>
          <t xml:space="preserve">
Began in Fall 1997, ended in Spring 2010. Calculate as being 1 October 1994 to 1 April 2010.
</t>
        </r>
      </text>
    </comment>
    <comment ref="G161" authorId="4">
      <text>
        <r>
          <rPr>
            <b/>
            <sz val="9"/>
            <color indexed="81"/>
            <rFont val="Tahoma"/>
            <family val="2"/>
          </rPr>
          <t>Jonathan:</t>
        </r>
        <r>
          <rPr>
            <sz val="9"/>
            <color indexed="81"/>
            <rFont val="Tahoma"/>
            <family val="2"/>
          </rPr>
          <t xml:space="preserve">
Tree Core, assume 1cm diameter </t>
        </r>
      </text>
    </comment>
    <comment ref="H161" authorId="4">
      <text>
        <r>
          <rPr>
            <b/>
            <sz val="9"/>
            <color indexed="81"/>
            <rFont val="Tahoma"/>
            <family val="2"/>
          </rPr>
          <t>Jonathan:</t>
        </r>
        <r>
          <rPr>
            <sz val="9"/>
            <color indexed="81"/>
            <rFont val="Tahoma"/>
            <family val="2"/>
          </rPr>
          <t xml:space="preserve">
100 points at 2 locations</t>
        </r>
      </text>
    </comment>
    <comment ref="J161" authorId="4">
      <text>
        <r>
          <rPr>
            <b/>
            <sz val="9"/>
            <color indexed="81"/>
            <rFont val="Tahoma"/>
            <family val="2"/>
          </rPr>
          <t>Jonathan:</t>
        </r>
        <r>
          <rPr>
            <sz val="9"/>
            <color indexed="81"/>
            <rFont val="Tahoma"/>
            <family val="2"/>
          </rPr>
          <t xml:space="preserve">
we’ll say it took 10 minutes
</t>
        </r>
      </text>
    </comment>
    <comment ref="K161" authorId="4">
      <text>
        <r>
          <rPr>
            <b/>
            <sz val="9"/>
            <color indexed="81"/>
            <rFont val="Tahoma"/>
            <family val="2"/>
          </rPr>
          <t>Jonathan:</t>
        </r>
        <r>
          <rPr>
            <sz val="9"/>
            <color indexed="81"/>
            <rFont val="Tahoma"/>
            <family val="2"/>
          </rPr>
          <t xml:space="preserve">
This is hard - they sampled 100 in February and 100 in August in two very different locations. The time between samples was probably less than a day in February and August, but it changes when you try to include everything. I'm going to say it's 181 days, same as study span./
</t>
        </r>
      </text>
    </comment>
    <comment ref="L161" authorId="4">
      <text>
        <r>
          <rPr>
            <b/>
            <sz val="9"/>
            <color indexed="81"/>
            <rFont val="Tahoma"/>
            <family val="2"/>
          </rPr>
          <t>Jonathan:
multiple samp duration by number of sites</t>
        </r>
      </text>
    </comment>
    <comment ref="M161" authorId="4">
      <text>
        <r>
          <rPr>
            <b/>
            <sz val="9"/>
            <color indexed="81"/>
            <rFont val="Tahoma"/>
            <family val="2"/>
          </rPr>
          <t>Jonathan:</t>
        </r>
        <r>
          <rPr>
            <sz val="9"/>
            <color indexed="81"/>
            <rFont val="Tahoma"/>
            <family val="2"/>
          </rPr>
          <t xml:space="preserve">
Number of days between 15 feb and 15 aug
</t>
        </r>
      </text>
    </comment>
    <comment ref="G162" authorId="4">
      <text>
        <r>
          <rPr>
            <b/>
            <sz val="9"/>
            <color indexed="81"/>
            <rFont val="Tahoma"/>
            <family val="2"/>
          </rPr>
          <t>Jonathan:</t>
        </r>
        <r>
          <rPr>
            <sz val="9"/>
            <color indexed="81"/>
            <rFont val="Tahoma"/>
            <family val="2"/>
          </rPr>
          <t xml:space="preserve">
GPS Point for elevation, we'll say it was a 1m^2 area measurement. </t>
        </r>
      </text>
    </comment>
    <comment ref="J162" authorId="4">
      <text>
        <r>
          <rPr>
            <b/>
            <sz val="9"/>
            <color indexed="81"/>
            <rFont val="Tahoma"/>
            <family val="2"/>
          </rPr>
          <t>Jonathan:</t>
        </r>
        <r>
          <rPr>
            <sz val="9"/>
            <color indexed="81"/>
            <rFont val="Tahoma"/>
            <family val="2"/>
          </rPr>
          <t xml:space="preserve">
We'll say half a minute because they averaged multiple measurements</t>
        </r>
      </text>
    </comment>
    <comment ref="G163" authorId="4">
      <text>
        <r>
          <rPr>
            <b/>
            <sz val="9"/>
            <color indexed="81"/>
            <rFont val="Tahoma"/>
            <family val="2"/>
          </rPr>
          <t>Jonathan:</t>
        </r>
        <r>
          <rPr>
            <sz val="9"/>
            <color indexed="81"/>
            <rFont val="Tahoma"/>
            <family val="2"/>
          </rPr>
          <t xml:space="preserve">
Hemispherical Photography, we'll say the hemisphere goes to 50m</t>
        </r>
      </text>
    </comment>
    <comment ref="J163" authorId="4">
      <text>
        <r>
          <rPr>
            <b/>
            <sz val="9"/>
            <color indexed="81"/>
            <rFont val="Tahoma"/>
            <family val="2"/>
          </rPr>
          <t>Jonathan:</t>
        </r>
        <r>
          <rPr>
            <sz val="9"/>
            <color indexed="81"/>
            <rFont val="Tahoma"/>
            <family val="2"/>
          </rPr>
          <t xml:space="preserve">
One second to press the button
</t>
        </r>
      </text>
    </comment>
    <comment ref="G164" authorId="4">
      <text>
        <r>
          <rPr>
            <b/>
            <sz val="9"/>
            <color indexed="81"/>
            <rFont val="Tahoma"/>
            <family val="2"/>
          </rPr>
          <t>Jonathan:</t>
        </r>
        <r>
          <rPr>
            <sz val="9"/>
            <color indexed="81"/>
            <rFont val="Tahoma"/>
            <family val="2"/>
          </rPr>
          <t xml:space="preserve">
DBH, calling the average tree DBH at 0.2m</t>
        </r>
      </text>
    </comment>
    <comment ref="J164" authorId="4">
      <text>
        <r>
          <rPr>
            <b/>
            <sz val="9"/>
            <color indexed="81"/>
            <rFont val="Tahoma"/>
            <family val="2"/>
          </rPr>
          <t>Jonathan:</t>
        </r>
        <r>
          <rPr>
            <sz val="9"/>
            <color indexed="81"/>
            <rFont val="Tahoma"/>
            <family val="2"/>
          </rPr>
          <t xml:space="preserve">
DBH and DCH are going to take half a minute if moving at a clip</t>
        </r>
      </text>
    </comment>
    <comment ref="G165" authorId="4">
      <text>
        <r>
          <rPr>
            <b/>
            <sz val="9"/>
            <color indexed="81"/>
            <rFont val="Tahoma"/>
            <family val="2"/>
          </rPr>
          <t>Jonathan:</t>
        </r>
        <r>
          <rPr>
            <sz val="9"/>
            <color indexed="81"/>
            <rFont val="Tahoma"/>
            <family val="2"/>
          </rPr>
          <t xml:space="preserve">
"DCH" - diameter at core height. This was taken at 0.2m from the ground, so it's a bit bigger. Assume 0.5 dbh
</t>
        </r>
      </text>
    </comment>
    <comment ref="G167" authorId="4">
      <text>
        <r>
          <rPr>
            <b/>
            <sz val="9"/>
            <color indexed="81"/>
            <rFont val="Tahoma"/>
            <family val="2"/>
          </rPr>
          <t>Jonathan:</t>
        </r>
        <r>
          <rPr>
            <sz val="9"/>
            <color indexed="81"/>
            <rFont val="Tahoma"/>
            <family val="2"/>
          </rPr>
          <t xml:space="preserve">
leaf level LiCOR stuff -assume leaf is 10cm x 12
</t>
        </r>
      </text>
    </comment>
    <comment ref="H167" authorId="4">
      <text>
        <r>
          <rPr>
            <b/>
            <sz val="9"/>
            <color indexed="81"/>
            <rFont val="Tahoma"/>
            <family val="2"/>
          </rPr>
          <t>Jonathan:</t>
        </r>
        <r>
          <rPr>
            <sz val="9"/>
            <color indexed="81"/>
            <rFont val="Tahoma"/>
            <family val="2"/>
          </rPr>
          <t xml:space="preserve">
30 occasions, 3 trees per occasion</t>
        </r>
      </text>
    </comment>
    <comment ref="J167" authorId="4">
      <text>
        <r>
          <rPr>
            <b/>
            <sz val="9"/>
            <color indexed="81"/>
            <rFont val="Tahoma"/>
            <family val="2"/>
          </rPr>
          <t>Jonathan:</t>
        </r>
        <r>
          <rPr>
            <sz val="9"/>
            <color indexed="81"/>
            <rFont val="Tahoma"/>
            <family val="2"/>
          </rPr>
          <t xml:space="preserve">
We'll say a licor measurement takes 1 hour, because they are impossible to use. </t>
        </r>
      </text>
    </comment>
    <comment ref="K167" authorId="4">
      <text>
        <r>
          <rPr>
            <b/>
            <sz val="9"/>
            <color indexed="81"/>
            <rFont val="Tahoma"/>
            <family val="2"/>
          </rPr>
          <t>Jonathan:</t>
        </r>
        <r>
          <rPr>
            <sz val="9"/>
            <color indexed="81"/>
            <rFont val="Tahoma"/>
            <family val="2"/>
          </rPr>
          <t xml:space="preserve">
Says every second week, which I interpret as every other week.</t>
        </r>
      </text>
    </comment>
    <comment ref="M167" authorId="4">
      <text>
        <r>
          <rPr>
            <b/>
            <sz val="9"/>
            <color indexed="81"/>
            <rFont val="Tahoma"/>
            <family val="2"/>
          </rPr>
          <t>Jonathan:</t>
        </r>
        <r>
          <rPr>
            <sz val="9"/>
            <color indexed="81"/>
            <rFont val="Tahoma"/>
            <family val="2"/>
          </rPr>
          <t xml:space="preserve">
Calculate as between May 15 2005 and Oct 15 2006</t>
        </r>
      </text>
    </comment>
    <comment ref="G168" authorId="4">
      <text>
        <r>
          <rPr>
            <b/>
            <sz val="9"/>
            <color indexed="81"/>
            <rFont val="Tahoma"/>
            <family val="2"/>
          </rPr>
          <t>Jonathan:</t>
        </r>
        <r>
          <rPr>
            <sz val="9"/>
            <color indexed="81"/>
            <rFont val="Tahoma"/>
            <family val="2"/>
          </rPr>
          <t xml:space="preserve">
leaf level LiCOR stuff -assume leaf is 10cm x 12
</t>
        </r>
      </text>
    </comment>
    <comment ref="H168" authorId="4">
      <text>
        <r>
          <rPr>
            <b/>
            <sz val="9"/>
            <color indexed="81"/>
            <rFont val="Tahoma"/>
            <family val="2"/>
          </rPr>
          <t>Jonathan:</t>
        </r>
        <r>
          <rPr>
            <sz val="9"/>
            <color indexed="81"/>
            <rFont val="Tahoma"/>
            <family val="2"/>
          </rPr>
          <t xml:space="preserve">
30 occasions, 3 trees per occasion</t>
        </r>
      </text>
    </comment>
    <comment ref="J168" authorId="4">
      <text>
        <r>
          <rPr>
            <b/>
            <sz val="9"/>
            <color indexed="81"/>
            <rFont val="Tahoma"/>
            <family val="2"/>
          </rPr>
          <t>Jonathan:
was extracting info for enzymatic activity. Hard to say what this is exactly or how long it would take</t>
        </r>
      </text>
    </comment>
    <comment ref="K168" authorId="4">
      <text>
        <r>
          <rPr>
            <b/>
            <sz val="9"/>
            <color indexed="81"/>
            <rFont val="Tahoma"/>
            <family val="2"/>
          </rPr>
          <t>Jonathan:</t>
        </r>
        <r>
          <rPr>
            <sz val="9"/>
            <color indexed="81"/>
            <rFont val="Tahoma"/>
            <family val="2"/>
          </rPr>
          <t xml:space="preserve">
Says every second week, which I interpret as every other week.</t>
        </r>
      </text>
    </comment>
    <comment ref="M168" authorId="4">
      <text>
        <r>
          <rPr>
            <b/>
            <sz val="9"/>
            <color indexed="81"/>
            <rFont val="Tahoma"/>
            <family val="2"/>
          </rPr>
          <t>Jonathan:</t>
        </r>
        <r>
          <rPr>
            <sz val="9"/>
            <color indexed="81"/>
            <rFont val="Tahoma"/>
            <family val="2"/>
          </rPr>
          <t xml:space="preserve">
Calculate as between May 15 2005 and Oct 15 2006</t>
        </r>
      </text>
    </comment>
    <comment ref="G169" authorId="5">
      <text>
        <r>
          <rPr>
            <b/>
            <sz val="9"/>
            <color indexed="81"/>
            <rFont val="Tahoma"/>
            <family val="2"/>
          </rPr>
          <t>Jonathan Choi:</t>
        </r>
        <r>
          <rPr>
            <sz val="9"/>
            <color indexed="81"/>
            <rFont val="Tahoma"/>
            <family val="2"/>
          </rPr>
          <t xml:space="preserve">
seagrassnet protocol</t>
        </r>
      </text>
    </comment>
    <comment ref="J169" authorId="5">
      <text>
        <r>
          <rPr>
            <b/>
            <sz val="9"/>
            <color indexed="81"/>
            <rFont val="Tahoma"/>
            <family val="2"/>
          </rPr>
          <t>Jonathan Choi:</t>
        </r>
        <r>
          <rPr>
            <sz val="9"/>
            <color indexed="81"/>
            <rFont val="Tahoma"/>
            <family val="2"/>
          </rPr>
          <t xml:space="preserve">
Assume 0.5 hours to do the entire protocol per site</t>
        </r>
      </text>
    </comment>
    <comment ref="K169" authorId="5">
      <text>
        <r>
          <rPr>
            <b/>
            <sz val="9"/>
            <color indexed="81"/>
            <rFont val="Tahoma"/>
            <family val="2"/>
          </rPr>
          <t>Jonathan Choi:</t>
        </r>
        <r>
          <rPr>
            <sz val="9"/>
            <color indexed="81"/>
            <rFont val="Tahoma"/>
            <family val="2"/>
          </rPr>
          <t xml:space="preserve">
Each individual site was probably sampled every 2 years. So 365 * 2. A transect might only take a day though.
</t>
        </r>
      </text>
    </comment>
    <comment ref="M169" authorId="5">
      <text>
        <r>
          <rPr>
            <b/>
            <sz val="9"/>
            <color indexed="81"/>
            <rFont val="Tahoma"/>
            <family val="2"/>
          </rPr>
          <t>Jonathan Choi:</t>
        </r>
        <r>
          <rPr>
            <sz val="9"/>
            <color indexed="81"/>
            <rFont val="Tahoma"/>
            <family val="2"/>
          </rPr>
          <t xml:space="preserve">
Surveys conducted in 2001, 2003, 2005, so 365 * 4 years between 2001 and 2005.</t>
        </r>
      </text>
    </comment>
    <comment ref="G170" authorId="5">
      <text>
        <r>
          <rPr>
            <b/>
            <sz val="9"/>
            <color indexed="81"/>
            <rFont val="Tahoma"/>
            <family val="2"/>
          </rPr>
          <t>Jonathan Choi:</t>
        </r>
        <r>
          <rPr>
            <sz val="9"/>
            <color indexed="81"/>
            <rFont val="Tahoma"/>
            <family val="2"/>
          </rPr>
          <t xml:space="preserve">
biomass core
</t>
        </r>
      </text>
    </comment>
    <comment ref="J170" authorId="5">
      <text>
        <r>
          <rPr>
            <b/>
            <sz val="9"/>
            <color indexed="81"/>
            <rFont val="Tahoma"/>
            <family val="2"/>
          </rPr>
          <t>Jonathan Choi:</t>
        </r>
        <r>
          <rPr>
            <sz val="9"/>
            <color indexed="81"/>
            <rFont val="Tahoma"/>
            <family val="2"/>
          </rPr>
          <t xml:space="preserve">
15 minutes per site</t>
        </r>
      </text>
    </comment>
    <comment ref="K170" authorId="5">
      <text>
        <r>
          <rPr>
            <b/>
            <sz val="9"/>
            <color indexed="81"/>
            <rFont val="Tahoma"/>
            <family val="2"/>
          </rPr>
          <t>Jonathan Choi:</t>
        </r>
        <r>
          <rPr>
            <sz val="9"/>
            <color indexed="81"/>
            <rFont val="Tahoma"/>
            <family val="2"/>
          </rPr>
          <t xml:space="preserve">
Each individual site was probably sampled every 2 years. So 365 * 2. A transect might only take a day though.
</t>
        </r>
      </text>
    </comment>
    <comment ref="M170" authorId="5">
      <text>
        <r>
          <rPr>
            <b/>
            <sz val="9"/>
            <color indexed="81"/>
            <rFont val="Tahoma"/>
            <family val="2"/>
          </rPr>
          <t>Jonathan Choi:</t>
        </r>
        <r>
          <rPr>
            <sz val="9"/>
            <color indexed="81"/>
            <rFont val="Tahoma"/>
            <family val="2"/>
          </rPr>
          <t xml:space="preserve">
Surveys conducted in 2001, 2003, 2005, so 365 * 4 years between 2001 and 2005.</t>
        </r>
      </text>
    </comment>
    <comment ref="G171" authorId="5">
      <text>
        <r>
          <rPr>
            <b/>
            <sz val="9"/>
            <color indexed="81"/>
            <rFont val="Tahoma"/>
            <family val="2"/>
          </rPr>
          <t>Jonathan Choi:</t>
        </r>
        <r>
          <rPr>
            <sz val="9"/>
            <color indexed="81"/>
            <rFont val="Tahoma"/>
            <family val="2"/>
          </rPr>
          <t xml:space="preserve">
2cm diameter, sediment cores
</t>
        </r>
      </text>
    </comment>
    <comment ref="J171" authorId="5">
      <text>
        <r>
          <rPr>
            <b/>
            <sz val="9"/>
            <color indexed="81"/>
            <rFont val="Tahoma"/>
            <family val="2"/>
          </rPr>
          <t>Jonathan Choi:</t>
        </r>
        <r>
          <rPr>
            <sz val="9"/>
            <color indexed="81"/>
            <rFont val="Tahoma"/>
            <family val="2"/>
          </rPr>
          <t xml:space="preserve">
2 minutes to get the core</t>
        </r>
      </text>
    </comment>
    <comment ref="K171" authorId="5">
      <text>
        <r>
          <rPr>
            <b/>
            <sz val="9"/>
            <color indexed="81"/>
            <rFont val="Tahoma"/>
            <family val="2"/>
          </rPr>
          <t>Jonathan Choi:</t>
        </r>
        <r>
          <rPr>
            <sz val="9"/>
            <color indexed="81"/>
            <rFont val="Tahoma"/>
            <family val="2"/>
          </rPr>
          <t xml:space="preserve">
Each individual site was probably sampled every 2 years. So 365 * 2. A transect might only take a day though.
</t>
        </r>
      </text>
    </comment>
    <comment ref="M171" authorId="5">
      <text>
        <r>
          <rPr>
            <b/>
            <sz val="9"/>
            <color indexed="81"/>
            <rFont val="Tahoma"/>
            <family val="2"/>
          </rPr>
          <t>Jonathan Choi:</t>
        </r>
        <r>
          <rPr>
            <sz val="9"/>
            <color indexed="81"/>
            <rFont val="Tahoma"/>
            <family val="2"/>
          </rPr>
          <t xml:space="preserve">
Surveys conducted in 2001, 2003, 2005, so 365 * 4 years between 2001 and 2005.</t>
        </r>
      </text>
    </comment>
    <comment ref="G172" authorId="5">
      <text>
        <r>
          <rPr>
            <b/>
            <sz val="9"/>
            <color indexed="81"/>
            <rFont val="Tahoma"/>
            <family val="2"/>
          </rPr>
          <t>Jonathan Choi:</t>
        </r>
        <r>
          <rPr>
            <sz val="9"/>
            <color indexed="81"/>
            <rFont val="Tahoma"/>
            <family val="2"/>
          </rPr>
          <t xml:space="preserve">
Temperature logger, so probably very small</t>
        </r>
      </text>
    </comment>
    <comment ref="J172" authorId="4">
      <text>
        <r>
          <rPr>
            <b/>
            <sz val="9"/>
            <color indexed="81"/>
            <rFont val="Tahoma"/>
            <family val="2"/>
          </rPr>
          <t>Jonathan:</t>
        </r>
        <r>
          <rPr>
            <sz val="9"/>
            <color indexed="81"/>
            <rFont val="Tahoma"/>
            <family val="2"/>
          </rPr>
          <t xml:space="preserve">
One second to press the button
</t>
        </r>
      </text>
    </comment>
    <comment ref="K172" authorId="5">
      <text>
        <r>
          <rPr>
            <b/>
            <sz val="9"/>
            <color indexed="81"/>
            <rFont val="Tahoma"/>
            <family val="2"/>
          </rPr>
          <t>Jonathan Choi:</t>
        </r>
        <r>
          <rPr>
            <sz val="9"/>
            <color indexed="81"/>
            <rFont val="Tahoma"/>
            <family val="2"/>
          </rPr>
          <t xml:space="preserve">
samples every 90 minutes</t>
        </r>
      </text>
    </comment>
    <comment ref="M172" authorId="5">
      <text>
        <r>
          <rPr>
            <b/>
            <sz val="9"/>
            <color indexed="81"/>
            <rFont val="Tahoma"/>
            <family val="2"/>
          </rPr>
          <t>Jonathan Choi:</t>
        </r>
        <r>
          <rPr>
            <sz val="9"/>
            <color indexed="81"/>
            <rFont val="Tahoma"/>
            <family val="2"/>
          </rPr>
          <t xml:space="preserve">
first sensor was deployed in 2001</t>
        </r>
      </text>
    </comment>
    <comment ref="G173" authorId="5">
      <text>
        <r>
          <rPr>
            <b/>
            <sz val="9"/>
            <color indexed="81"/>
            <rFont val="Tahoma"/>
            <family val="2"/>
          </rPr>
          <t>Jonathan Choi:</t>
        </r>
        <r>
          <rPr>
            <sz val="9"/>
            <color indexed="81"/>
            <rFont val="Tahoma"/>
            <family val="2"/>
          </rPr>
          <t xml:space="preserve">
Temperature logger, so probably very small. Second site was deployed much later</t>
        </r>
      </text>
    </comment>
    <comment ref="M173" authorId="5">
      <text>
        <r>
          <rPr>
            <b/>
            <sz val="9"/>
            <color indexed="81"/>
            <rFont val="Tahoma"/>
            <family val="2"/>
          </rPr>
          <t>Jonathan Choi:</t>
        </r>
        <r>
          <rPr>
            <sz val="9"/>
            <color indexed="81"/>
            <rFont val="Tahoma"/>
            <family val="2"/>
          </rPr>
          <t xml:space="preserve">
second sensor deployed in 2004. Study end in 2005.</t>
        </r>
      </text>
    </comment>
    <comment ref="G174" authorId="5">
      <text>
        <r>
          <rPr>
            <b/>
            <sz val="9"/>
            <color indexed="81"/>
            <rFont val="Tahoma"/>
            <family val="2"/>
          </rPr>
          <t>Jonathan Choi:</t>
        </r>
        <r>
          <rPr>
            <sz val="9"/>
            <color indexed="81"/>
            <rFont val="Tahoma"/>
            <family val="2"/>
          </rPr>
          <t xml:space="preserve">
Estimate this is the size of the light logger
</t>
        </r>
      </text>
    </comment>
    <comment ref="H174" authorId="5">
      <text>
        <r>
          <rPr>
            <b/>
            <sz val="9"/>
            <color indexed="81"/>
            <rFont val="Tahoma"/>
            <family val="2"/>
          </rPr>
          <t>Jonathan Choi:</t>
        </r>
        <r>
          <rPr>
            <sz val="9"/>
            <color indexed="81"/>
            <rFont val="Tahoma"/>
            <family val="2"/>
          </rPr>
          <t xml:space="preserve">
one set established in 2001
</t>
        </r>
      </text>
    </comment>
    <comment ref="J174" authorId="5">
      <text>
        <r>
          <rPr>
            <b/>
            <sz val="9"/>
            <color indexed="81"/>
            <rFont val="Tahoma"/>
            <family val="2"/>
          </rPr>
          <t>Jonathan Choi:</t>
        </r>
        <r>
          <rPr>
            <sz val="9"/>
            <color indexed="81"/>
            <rFont val="Tahoma"/>
            <family val="2"/>
          </rPr>
          <t xml:space="preserve">
time it takes for sensor to make reading</t>
        </r>
      </text>
    </comment>
    <comment ref="K174" authorId="5">
      <text>
        <r>
          <rPr>
            <b/>
            <sz val="9"/>
            <color indexed="81"/>
            <rFont val="Tahoma"/>
            <family val="2"/>
          </rPr>
          <t>Jonathan Choi:</t>
        </r>
        <r>
          <rPr>
            <sz val="9"/>
            <color indexed="81"/>
            <rFont val="Tahoma"/>
            <family val="2"/>
          </rPr>
          <t xml:space="preserve">
For 2 weeks every quarter.
</t>
        </r>
      </text>
    </comment>
    <comment ref="M174" authorId="5">
      <text>
        <r>
          <rPr>
            <b/>
            <sz val="9"/>
            <color indexed="81"/>
            <rFont val="Tahoma"/>
            <family val="2"/>
          </rPr>
          <t>Jonathan Choi:</t>
        </r>
        <r>
          <rPr>
            <sz val="9"/>
            <color indexed="81"/>
            <rFont val="Tahoma"/>
            <family val="2"/>
          </rPr>
          <t xml:space="preserve">
first sensor was deployed in 2001</t>
        </r>
      </text>
    </comment>
    <comment ref="G175" authorId="5">
      <text>
        <r>
          <rPr>
            <b/>
            <sz val="9"/>
            <color indexed="81"/>
            <rFont val="Tahoma"/>
            <family val="2"/>
          </rPr>
          <t>Jonathan Choi:</t>
        </r>
        <r>
          <rPr>
            <sz val="9"/>
            <color indexed="81"/>
            <rFont val="Tahoma"/>
            <family val="2"/>
          </rPr>
          <t xml:space="preserve">
Estimate this is the size of the light logger
</t>
        </r>
      </text>
    </comment>
    <comment ref="H175" authorId="5">
      <text>
        <r>
          <rPr>
            <b/>
            <sz val="9"/>
            <color indexed="81"/>
            <rFont val="Tahoma"/>
            <family val="2"/>
          </rPr>
          <t>Jonathan Choi:</t>
        </r>
        <r>
          <rPr>
            <sz val="9"/>
            <color indexed="81"/>
            <rFont val="Tahoma"/>
            <family val="2"/>
          </rPr>
          <t xml:space="preserve">
second set established in 2004
</t>
        </r>
      </text>
    </comment>
    <comment ref="M175" authorId="5">
      <text>
        <r>
          <rPr>
            <b/>
            <sz val="9"/>
            <color indexed="81"/>
            <rFont val="Tahoma"/>
            <family val="2"/>
          </rPr>
          <t>Jonathan Choi:</t>
        </r>
        <r>
          <rPr>
            <sz val="9"/>
            <color indexed="81"/>
            <rFont val="Tahoma"/>
            <family val="2"/>
          </rPr>
          <t xml:space="preserve">
second sensor deployed in 2004. Study end in 2005.</t>
        </r>
      </text>
    </comment>
    <comment ref="G179" authorId="5">
      <text>
        <r>
          <rPr>
            <b/>
            <sz val="9"/>
            <color indexed="81"/>
            <rFont val="Tahoma"/>
            <family val="2"/>
          </rPr>
          <t>Jonathan Choi:</t>
        </r>
        <r>
          <rPr>
            <sz val="9"/>
            <color indexed="81"/>
            <rFont val="Tahoma"/>
            <family val="2"/>
          </rPr>
          <t xml:space="preserve">
This is just the process of finding them and then monitoring them. They looked within an area this big. </t>
        </r>
      </text>
    </comment>
    <comment ref="J179" authorId="5">
      <text>
        <r>
          <rPr>
            <b/>
            <sz val="9"/>
            <color indexed="81"/>
            <rFont val="Tahoma"/>
            <family val="2"/>
          </rPr>
          <t>Jonathan Choi:</t>
        </r>
        <r>
          <rPr>
            <sz val="9"/>
            <color indexed="81"/>
            <rFont val="Tahoma"/>
            <family val="2"/>
          </rPr>
          <t xml:space="preserve">
Assume 20 nests per site, 0.5 hrs per nest</t>
        </r>
      </text>
    </comment>
    <comment ref="K179" authorId="5">
      <text>
        <r>
          <rPr>
            <b/>
            <sz val="9"/>
            <color indexed="81"/>
            <rFont val="Tahoma"/>
            <family val="2"/>
          </rPr>
          <t>Jonathan Choi:</t>
        </r>
        <r>
          <rPr>
            <sz val="9"/>
            <color indexed="81"/>
            <rFont val="Tahoma"/>
            <family val="2"/>
          </rPr>
          <t xml:space="preserve">
Each nest was surveyed every 2 to 3 days for 3 months for 3 years.
</t>
        </r>
      </text>
    </comment>
    <comment ref="L179" authorId="5">
      <text>
        <r>
          <rPr>
            <b/>
            <sz val="9"/>
            <color indexed="81"/>
            <rFont val="Tahoma"/>
            <family val="2"/>
          </rPr>
          <t>Jonathan Choi:</t>
        </r>
        <r>
          <rPr>
            <sz val="9"/>
            <color indexed="81"/>
            <rFont val="Tahoma"/>
            <family val="2"/>
          </rPr>
          <t xml:space="preserve">
Again this is for observing the success or failure of each individual nest
</t>
        </r>
      </text>
    </comment>
    <comment ref="M179" authorId="5">
      <text>
        <r>
          <rPr>
            <b/>
            <sz val="9"/>
            <color indexed="81"/>
            <rFont val="Tahoma"/>
            <family val="2"/>
          </rPr>
          <t>Jonathan Choi:</t>
        </r>
        <r>
          <rPr>
            <sz val="9"/>
            <color indexed="81"/>
            <rFont val="Tahoma"/>
            <family val="2"/>
          </rPr>
          <t xml:space="preserve">
May 2002 to August 2005.
</t>
        </r>
      </text>
    </comment>
    <comment ref="G180" authorId="5">
      <text>
        <r>
          <rPr>
            <b/>
            <sz val="9"/>
            <color indexed="81"/>
            <rFont val="Tahoma"/>
            <family val="2"/>
          </rPr>
          <t>Jonathan:
Assessing their characteristics</t>
        </r>
      </text>
    </comment>
    <comment ref="H180" authorId="5">
      <text>
        <r>
          <rPr>
            <b/>
            <sz val="9"/>
            <color indexed="81"/>
            <rFont val="Tahoma"/>
            <family val="2"/>
          </rPr>
          <t>Jonathan Choi:</t>
        </r>
        <r>
          <rPr>
            <sz val="9"/>
            <color indexed="81"/>
            <rFont val="Tahoma"/>
            <family val="2"/>
          </rPr>
          <t xml:space="preserve">
Used 326 independent nests and assessed their characteristics</t>
        </r>
      </text>
    </comment>
    <comment ref="J180" authorId="5">
      <text>
        <r>
          <rPr>
            <b/>
            <sz val="9"/>
            <color indexed="81"/>
            <rFont val="Tahoma"/>
            <family val="2"/>
          </rPr>
          <t>Jonathan Choi:</t>
        </r>
        <r>
          <rPr>
            <sz val="9"/>
            <color indexed="81"/>
            <rFont val="Tahoma"/>
            <family val="2"/>
          </rPr>
          <t xml:space="preserve">
estimate it takes 1 hour to find and analyze each nest</t>
        </r>
      </text>
    </comment>
    <comment ref="K180" authorId="5">
      <text>
        <r>
          <rPr>
            <b/>
            <sz val="9"/>
            <color indexed="81"/>
            <rFont val="Tahoma"/>
            <family val="2"/>
          </rPr>
          <t>Jonathan Choi:</t>
        </r>
        <r>
          <rPr>
            <sz val="9"/>
            <color indexed="81"/>
            <rFont val="Tahoma"/>
            <family val="2"/>
          </rPr>
          <t xml:space="preserve">
There was no resampling of nests</t>
        </r>
      </text>
    </comment>
    <comment ref="M180" authorId="5">
      <text>
        <r>
          <rPr>
            <b/>
            <sz val="9"/>
            <color indexed="81"/>
            <rFont val="Tahoma"/>
            <family val="2"/>
          </rPr>
          <t>Jonathan Choi:</t>
        </r>
        <r>
          <rPr>
            <sz val="9"/>
            <color indexed="81"/>
            <rFont val="Tahoma"/>
            <family val="2"/>
          </rPr>
          <t xml:space="preserve">
May 2002 to August 2005.
</t>
        </r>
      </text>
    </comment>
    <comment ref="D186" authorId="5">
      <text>
        <r>
          <rPr>
            <b/>
            <sz val="9"/>
            <color indexed="81"/>
            <rFont val="Tahoma"/>
            <family val="2"/>
          </rPr>
          <t>Jonathan Choi:</t>
        </r>
        <r>
          <rPr>
            <sz val="9"/>
            <color indexed="81"/>
            <rFont val="Tahoma"/>
            <family val="2"/>
          </rPr>
          <t xml:space="preserve">
Actually a computer program</t>
        </r>
      </text>
    </comment>
    <comment ref="G188" authorId="5">
      <text>
        <r>
          <rPr>
            <b/>
            <sz val="9"/>
            <color indexed="81"/>
            <rFont val="Tahoma"/>
            <family val="2"/>
          </rPr>
          <t>Jonathan Choi:</t>
        </r>
        <r>
          <rPr>
            <sz val="9"/>
            <color indexed="81"/>
            <rFont val="Tahoma"/>
            <family val="2"/>
          </rPr>
          <t xml:space="preserve">
Estimate for the size of a set of roe deer antlers</t>
        </r>
      </text>
    </comment>
    <comment ref="H188" authorId="5">
      <text>
        <r>
          <rPr>
            <b/>
            <sz val="9"/>
            <color indexed="81"/>
            <rFont val="Tahoma"/>
            <family val="2"/>
          </rPr>
          <t>Jonathan Choi:</t>
        </r>
        <r>
          <rPr>
            <sz val="9"/>
            <color indexed="81"/>
            <rFont val="Tahoma"/>
            <family val="2"/>
          </rPr>
          <t xml:space="preserve">
number of deer surveyed</t>
        </r>
      </text>
    </comment>
    <comment ref="J188" authorId="5">
      <text>
        <r>
          <rPr>
            <b/>
            <sz val="9"/>
            <color indexed="81"/>
            <rFont val="Tahoma"/>
            <family val="2"/>
          </rPr>
          <t>Jonathan Choi:</t>
        </r>
        <r>
          <rPr>
            <sz val="9"/>
            <color indexed="81"/>
            <rFont val="Tahoma"/>
            <family val="2"/>
          </rPr>
          <t xml:space="preserve">
Capture, mark, release methods. Assume 1 hour per animal for antlers
</t>
        </r>
      </text>
    </comment>
    <comment ref="K188" authorId="5">
      <text>
        <r>
          <rPr>
            <b/>
            <sz val="9"/>
            <color indexed="81"/>
            <rFont val="Tahoma"/>
            <family val="2"/>
          </rPr>
          <t>Jonathan Choi:</t>
        </r>
        <r>
          <rPr>
            <sz val="9"/>
            <color indexed="81"/>
            <rFont val="Tahoma"/>
            <family val="2"/>
          </rPr>
          <t xml:space="preserve">
Study took data for one animal from january to march. Assuyme january 1 and march 30, then the avg amount of time between 2 days.</t>
        </r>
      </text>
    </comment>
    <comment ref="L188" authorId="5">
      <text>
        <r>
          <rPr>
            <b/>
            <sz val="9"/>
            <color indexed="81"/>
            <rFont val="Tahoma"/>
            <family val="2"/>
          </rPr>
          <t>Jonathan Choi:</t>
        </r>
        <r>
          <rPr>
            <sz val="9"/>
            <color indexed="81"/>
            <rFont val="Tahoma"/>
            <family val="2"/>
          </rPr>
          <t xml:space="preserve">
Take samp duration and multiply by the reported number of observations.</t>
        </r>
      </text>
    </comment>
    <comment ref="M188" authorId="5">
      <text>
        <r>
          <rPr>
            <b/>
            <sz val="9"/>
            <color indexed="81"/>
            <rFont val="Tahoma"/>
            <family val="2"/>
          </rPr>
          <t>Jonathan Choi:</t>
        </r>
        <r>
          <rPr>
            <sz val="9"/>
            <color indexed="81"/>
            <rFont val="Tahoma"/>
            <family val="2"/>
          </rPr>
          <t xml:space="preserve">
Study had 16 years of demographic data</t>
        </r>
      </text>
    </comment>
    <comment ref="G189" authorId="5">
      <text>
        <r>
          <rPr>
            <b/>
            <sz val="9"/>
            <color indexed="81"/>
            <rFont val="Tahoma"/>
            <family val="2"/>
          </rPr>
          <t>Jonathan Choi:</t>
        </r>
        <r>
          <rPr>
            <sz val="9"/>
            <color indexed="81"/>
            <rFont val="Tahoma"/>
            <family val="2"/>
          </rPr>
          <t xml:space="preserve">
Body mass estiamte.
1 m by 1m?</t>
        </r>
      </text>
    </comment>
    <comment ref="H189" authorId="5">
      <text>
        <r>
          <rPr>
            <b/>
            <sz val="9"/>
            <color indexed="81"/>
            <rFont val="Tahoma"/>
            <family val="2"/>
          </rPr>
          <t>Jonathan Choi:</t>
        </r>
        <r>
          <rPr>
            <sz val="9"/>
            <color indexed="81"/>
            <rFont val="Tahoma"/>
            <family val="2"/>
          </rPr>
          <t xml:space="preserve">
number of deer surveyed</t>
        </r>
      </text>
    </comment>
    <comment ref="J189" authorId="5">
      <text>
        <r>
          <rPr>
            <b/>
            <sz val="9"/>
            <color indexed="81"/>
            <rFont val="Tahoma"/>
            <family val="2"/>
          </rPr>
          <t>Jonathan Choi:</t>
        </r>
        <r>
          <rPr>
            <sz val="9"/>
            <color indexed="81"/>
            <rFont val="Tahoma"/>
            <family val="2"/>
          </rPr>
          <t xml:space="preserve">
Capture, mark, release methods. Assume 2 hours per animal
</t>
        </r>
      </text>
    </comment>
    <comment ref="G190" authorId="5">
      <text>
        <r>
          <rPr>
            <b/>
            <sz val="9"/>
            <color indexed="81"/>
            <rFont val="Tahoma"/>
            <family val="2"/>
          </rPr>
          <t>Jonathan Choi:</t>
        </r>
        <r>
          <rPr>
            <sz val="9"/>
            <color indexed="81"/>
            <rFont val="Tahoma"/>
            <family val="2"/>
          </rPr>
          <t xml:space="preserve">
Climatic Data from govt agencies. Not sure how they got climatic data, so we'll assume they took from an instrumentation tower at each park.</t>
        </r>
      </text>
    </comment>
    <comment ref="J190" authorId="4">
      <text>
        <r>
          <rPr>
            <b/>
            <sz val="9"/>
            <color indexed="81"/>
            <rFont val="Tahoma"/>
            <family val="2"/>
          </rPr>
          <t>Jonathan:</t>
        </r>
        <r>
          <rPr>
            <sz val="9"/>
            <color indexed="81"/>
            <rFont val="Tahoma"/>
            <family val="2"/>
          </rPr>
          <t xml:space="preserve">
Assume 1 second to take the sample</t>
        </r>
      </text>
    </comment>
    <comment ref="K190" authorId="5">
      <text>
        <r>
          <rPr>
            <b/>
            <sz val="9"/>
            <color indexed="81"/>
            <rFont val="Tahoma"/>
            <family val="2"/>
          </rPr>
          <t>Assume its from a monitoring station that takes data once a month?</t>
        </r>
      </text>
    </comment>
    <comment ref="L190" authorId="5">
      <text>
        <r>
          <rPr>
            <b/>
            <sz val="9"/>
            <color indexed="81"/>
            <rFont val="Tahoma"/>
            <family val="2"/>
          </rPr>
          <t>Jonathan Choi:</t>
        </r>
        <r>
          <rPr>
            <sz val="9"/>
            <color indexed="81"/>
            <rFont val="Tahoma"/>
            <family val="2"/>
          </rPr>
          <t xml:space="preserve">
assume 1 second to sample for 90 days
</t>
        </r>
      </text>
    </comment>
    <comment ref="M190" authorId="5">
      <text>
        <r>
          <rPr>
            <b/>
            <sz val="9"/>
            <color indexed="81"/>
            <rFont val="Tahoma"/>
            <family val="2"/>
          </rPr>
          <t>Jonathan Choi:</t>
        </r>
        <r>
          <rPr>
            <sz val="9"/>
            <color indexed="81"/>
            <rFont val="Tahoma"/>
            <family val="2"/>
          </rPr>
          <t xml:space="preserve">
Index was computed from data from june to august. Assume june 1 to august 30.</t>
        </r>
      </text>
    </comment>
    <comment ref="G193" authorId="5">
      <text>
        <r>
          <rPr>
            <b/>
            <sz val="9"/>
            <color indexed="81"/>
            <rFont val="Tahoma"/>
            <family val="2"/>
          </rPr>
          <t>Jonathan Choi:</t>
        </r>
        <r>
          <rPr>
            <sz val="9"/>
            <color indexed="81"/>
            <rFont val="Tahoma"/>
            <family val="2"/>
          </rPr>
          <t xml:space="preserve">
Resource availability. Seemed to have asked a acorn grower for when their mast seasons were. Acorn grower had "multiple sites" in Southern Sweden. Assume 10 500m^2 sites?</t>
        </r>
      </text>
    </comment>
    <comment ref="J193" authorId="5">
      <text>
        <r>
          <rPr>
            <b/>
            <sz val="9"/>
            <color indexed="81"/>
            <rFont val="Tahoma"/>
            <family val="2"/>
          </rPr>
          <t>Jonathan Choi:</t>
        </r>
        <r>
          <rPr>
            <sz val="9"/>
            <color indexed="81"/>
            <rFont val="Tahoma"/>
            <family val="2"/>
          </rPr>
          <t xml:space="preserve">
Assume they went hiking for a couple hours in each spot to determine resource availability?</t>
        </r>
      </text>
    </comment>
    <comment ref="K193" authorId="5">
      <text>
        <r>
          <rPr>
            <b/>
            <sz val="9"/>
            <color indexed="81"/>
            <rFont val="Tahoma"/>
            <family val="2"/>
          </rPr>
          <t>Jonathan Choi:</t>
        </r>
        <r>
          <rPr>
            <sz val="9"/>
            <color indexed="81"/>
            <rFont val="Tahoma"/>
            <family val="2"/>
          </rPr>
          <t xml:space="preserve">
Assume this was a once per year deal</t>
        </r>
      </text>
    </comment>
    <comment ref="L193" authorId="5">
      <text>
        <r>
          <rPr>
            <b/>
            <sz val="9"/>
            <color indexed="81"/>
            <rFont val="Tahoma"/>
            <family val="2"/>
          </rPr>
          <t>Jonathan Choi:</t>
        </r>
        <r>
          <rPr>
            <sz val="9"/>
            <color indexed="81"/>
            <rFont val="Tahoma"/>
            <family val="2"/>
          </rPr>
          <t xml:space="preserve">
Multiply by 16 because 16 years</t>
        </r>
      </text>
    </comment>
    <comment ref="M193" authorId="5">
      <text>
        <r>
          <rPr>
            <b/>
            <sz val="9"/>
            <color indexed="81"/>
            <rFont val="Tahoma"/>
            <family val="2"/>
          </rPr>
          <t>Jonathan Choi:</t>
        </r>
        <r>
          <rPr>
            <sz val="9"/>
            <color indexed="81"/>
            <rFont val="Tahoma"/>
            <family val="2"/>
          </rPr>
          <t xml:space="preserve">
Study had 16 years of demographic data</t>
        </r>
      </text>
    </comment>
    <comment ref="G194" authorId="5">
      <text>
        <r>
          <rPr>
            <b/>
            <sz val="9"/>
            <color indexed="81"/>
            <rFont val="Tahoma"/>
            <family val="2"/>
          </rPr>
          <t>Jonathan Choi:</t>
        </r>
        <r>
          <rPr>
            <sz val="9"/>
            <color indexed="81"/>
            <rFont val="Tahoma"/>
            <family val="2"/>
          </rPr>
          <t xml:space="preserve">
Resource availability in Sweden. Very ambiguous, left to "various locations in Sweden"</t>
        </r>
      </text>
    </comment>
    <comment ref="J194" authorId="5">
      <text>
        <r>
          <rPr>
            <b/>
            <sz val="9"/>
            <color indexed="81"/>
            <rFont val="Tahoma"/>
            <family val="2"/>
          </rPr>
          <t>Jonathan Choi:</t>
        </r>
        <r>
          <rPr>
            <sz val="9"/>
            <color indexed="81"/>
            <rFont val="Tahoma"/>
            <family val="2"/>
          </rPr>
          <t xml:space="preserve">
Assume they went hiking for a couple hours in each spot to determine resource availability?</t>
        </r>
      </text>
    </comment>
    <comment ref="K194" authorId="5">
      <text>
        <r>
          <rPr>
            <b/>
            <sz val="9"/>
            <color indexed="81"/>
            <rFont val="Tahoma"/>
            <family val="2"/>
          </rPr>
          <t>Jonathan Choi:</t>
        </r>
        <r>
          <rPr>
            <sz val="9"/>
            <color indexed="81"/>
            <rFont val="Tahoma"/>
            <family val="2"/>
          </rPr>
          <t xml:space="preserve">
Assume this was a once per year deal</t>
        </r>
      </text>
    </comment>
    <comment ref="L194" authorId="5">
      <text>
        <r>
          <rPr>
            <b/>
            <sz val="9"/>
            <color indexed="81"/>
            <rFont val="Tahoma"/>
            <family val="2"/>
          </rPr>
          <t>Jonathan Choi:</t>
        </r>
        <r>
          <rPr>
            <sz val="9"/>
            <color indexed="81"/>
            <rFont val="Tahoma"/>
            <family val="2"/>
          </rPr>
          <t xml:space="preserve">
Multiply by 16 because 16 years</t>
        </r>
      </text>
    </comment>
    <comment ref="M194" authorId="5">
      <text>
        <r>
          <rPr>
            <b/>
            <sz val="9"/>
            <color indexed="81"/>
            <rFont val="Tahoma"/>
            <family val="2"/>
          </rPr>
          <t>Jonathan Choi:</t>
        </r>
        <r>
          <rPr>
            <sz val="9"/>
            <color indexed="81"/>
            <rFont val="Tahoma"/>
            <family val="2"/>
          </rPr>
          <t xml:space="preserve">
Study had 16 years of demographic data</t>
        </r>
      </text>
    </comment>
    <comment ref="G196" authorId="5">
      <text>
        <r>
          <rPr>
            <b/>
            <sz val="9"/>
            <color indexed="81"/>
            <rFont val="Tahoma"/>
            <family val="2"/>
          </rPr>
          <t>Jonathan Choi:</t>
        </r>
        <r>
          <rPr>
            <sz val="9"/>
            <color indexed="81"/>
            <rFont val="Tahoma"/>
            <family val="2"/>
          </rPr>
          <t xml:space="preserve">
They said transects were between 10 and 100 m with no info on width. Assume 5m width, 55m length</t>
        </r>
      </text>
    </comment>
    <comment ref="H196" authorId="5">
      <text>
        <r>
          <rPr>
            <b/>
            <sz val="9"/>
            <color indexed="81"/>
            <rFont val="Tahoma"/>
            <family val="2"/>
          </rPr>
          <t>Jonathan Choi:</t>
        </r>
        <r>
          <rPr>
            <sz val="9"/>
            <color indexed="81"/>
            <rFont val="Tahoma"/>
            <family val="2"/>
          </rPr>
          <t xml:space="preserve">
36 sites, 6 transects per site, 60 quadrats per transect</t>
        </r>
      </text>
    </comment>
    <comment ref="J196" authorId="5">
      <text>
        <r>
          <rPr>
            <b/>
            <sz val="9"/>
            <color indexed="81"/>
            <rFont val="Tahoma"/>
            <family val="2"/>
          </rPr>
          <t>Jonathan Choi:</t>
        </r>
        <r>
          <rPr>
            <sz val="9"/>
            <color indexed="81"/>
            <rFont val="Tahoma"/>
            <family val="2"/>
          </rPr>
          <t xml:space="preserve">
Assume 15 minutes per 0.5 m^2 quadrat
</t>
        </r>
      </text>
    </comment>
    <comment ref="K196" authorId="5">
      <text>
        <r>
          <rPr>
            <b/>
            <sz val="9"/>
            <color indexed="81"/>
            <rFont val="Tahoma"/>
            <family val="2"/>
          </rPr>
          <t>Jonathan Choi:</t>
        </r>
        <r>
          <rPr>
            <sz val="9"/>
            <color indexed="81"/>
            <rFont val="Tahoma"/>
            <family val="2"/>
          </rPr>
          <t xml:space="preserve">
No repeat sampling</t>
        </r>
      </text>
    </comment>
    <comment ref="G197" authorId="5">
      <text>
        <r>
          <rPr>
            <b/>
            <sz val="9"/>
            <color indexed="81"/>
            <rFont val="Tahoma"/>
            <family val="2"/>
          </rPr>
          <t>Jonathan Choi:</t>
        </r>
        <r>
          <rPr>
            <sz val="9"/>
            <color indexed="81"/>
            <rFont val="Tahoma"/>
            <family val="2"/>
          </rPr>
          <t xml:space="preserve">
agb and litter</t>
        </r>
      </text>
    </comment>
    <comment ref="H197" authorId="5">
      <text>
        <r>
          <rPr>
            <b/>
            <sz val="9"/>
            <color indexed="81"/>
            <rFont val="Tahoma"/>
            <family val="2"/>
          </rPr>
          <t>Jonathan Choi:</t>
        </r>
        <r>
          <rPr>
            <sz val="9"/>
            <color indexed="81"/>
            <rFont val="Tahoma"/>
            <family val="2"/>
          </rPr>
          <t xml:space="preserve">
36 sites, 6 transects, 2 samplings per transecyt</t>
        </r>
      </text>
    </comment>
    <comment ref="J197" authorId="5">
      <text>
        <r>
          <rPr>
            <b/>
            <sz val="9"/>
            <color indexed="81"/>
            <rFont val="Tahoma"/>
            <family val="2"/>
          </rPr>
          <t>Jonathan Choi:</t>
        </r>
        <r>
          <rPr>
            <sz val="9"/>
            <color indexed="81"/>
            <rFont val="Tahoma"/>
            <family val="2"/>
          </rPr>
          <t xml:space="preserve">
Assume 15 minutes per 0.5 m^2 quadrat
</t>
        </r>
      </text>
    </comment>
    <comment ref="K197" authorId="5">
      <text>
        <r>
          <rPr>
            <b/>
            <sz val="9"/>
            <color indexed="81"/>
            <rFont val="Tahoma"/>
            <family val="2"/>
          </rPr>
          <t>Jonathan Choi:</t>
        </r>
        <r>
          <rPr>
            <sz val="9"/>
            <color indexed="81"/>
            <rFont val="Tahoma"/>
            <family val="2"/>
          </rPr>
          <t xml:space="preserve">
No repeat sampling</t>
        </r>
      </text>
    </comment>
    <comment ref="G198" authorId="5">
      <text>
        <r>
          <rPr>
            <b/>
            <sz val="9"/>
            <color indexed="81"/>
            <rFont val="Tahoma"/>
            <family val="2"/>
          </rPr>
          <t>Jonathan Choi:</t>
        </r>
        <r>
          <rPr>
            <sz val="9"/>
            <color indexed="81"/>
            <rFont val="Tahoma"/>
            <family val="2"/>
          </rPr>
          <t xml:space="preserve">
bulk density. Assume 0.05m radius corer
</t>
        </r>
      </text>
    </comment>
    <comment ref="J198" authorId="5">
      <text>
        <r>
          <rPr>
            <b/>
            <sz val="9"/>
            <color indexed="81"/>
            <rFont val="Tahoma"/>
            <family val="2"/>
          </rPr>
          <t>Jonathan Choi:</t>
        </r>
        <r>
          <rPr>
            <sz val="9"/>
            <color indexed="81"/>
            <rFont val="Tahoma"/>
            <family val="2"/>
          </rPr>
          <t xml:space="preserve">
15 minutes to take the core. Soil was pretty boggy in the wetlands.</t>
        </r>
      </text>
    </comment>
    <comment ref="K198" authorId="5">
      <text>
        <r>
          <rPr>
            <b/>
            <sz val="9"/>
            <color indexed="81"/>
            <rFont val="Tahoma"/>
            <family val="2"/>
          </rPr>
          <t>Jonathan Choi:</t>
        </r>
        <r>
          <rPr>
            <sz val="9"/>
            <color indexed="81"/>
            <rFont val="Tahoma"/>
            <family val="2"/>
          </rPr>
          <t xml:space="preserve">
No repeat sampling</t>
        </r>
      </text>
    </comment>
    <comment ref="G199" authorId="5">
      <text>
        <r>
          <rPr>
            <b/>
            <sz val="9"/>
            <color indexed="81"/>
            <rFont val="Tahoma"/>
            <family val="2"/>
          </rPr>
          <t>Jonathan Choi:</t>
        </r>
        <r>
          <rPr>
            <sz val="9"/>
            <color indexed="81"/>
            <rFont val="Tahoma"/>
            <family val="2"/>
          </rPr>
          <t xml:space="preserve">
Percent cover at each of the corners to the veg quadrat. Assume 0.01m radius corer
</t>
        </r>
      </text>
    </comment>
    <comment ref="H199" authorId="5">
      <text>
        <r>
          <rPr>
            <b/>
            <sz val="9"/>
            <color indexed="81"/>
            <rFont val="Tahoma"/>
            <family val="2"/>
          </rPr>
          <t>Jonathan Choi:</t>
        </r>
        <r>
          <rPr>
            <sz val="9"/>
            <color indexed="81"/>
            <rFont val="Tahoma"/>
            <family val="2"/>
          </rPr>
          <t xml:space="preserve">
36 sites, 6 transects per site, 60 quadrats per transect, 4 corners per transect</t>
        </r>
      </text>
    </comment>
    <comment ref="J199" authorId="5">
      <text>
        <r>
          <rPr>
            <b/>
            <sz val="9"/>
            <color indexed="81"/>
            <rFont val="Tahoma"/>
            <family val="2"/>
          </rPr>
          <t>Jonathan Choi:</t>
        </r>
        <r>
          <rPr>
            <sz val="9"/>
            <color indexed="81"/>
            <rFont val="Tahoma"/>
            <family val="2"/>
          </rPr>
          <t xml:space="preserve">
4 seconds to look at the 4 corners?</t>
        </r>
      </text>
    </comment>
    <comment ref="K199" authorId="5">
      <text>
        <r>
          <rPr>
            <b/>
            <sz val="9"/>
            <color indexed="81"/>
            <rFont val="Tahoma"/>
            <family val="2"/>
          </rPr>
          <t>Jonathan Choi:</t>
        </r>
        <r>
          <rPr>
            <sz val="9"/>
            <color indexed="81"/>
            <rFont val="Tahoma"/>
            <family val="2"/>
          </rPr>
          <t xml:space="preserve">
No repeat sampling</t>
        </r>
      </text>
    </comment>
    <comment ref="G203" authorId="5">
      <text>
        <r>
          <rPr>
            <b/>
            <sz val="9"/>
            <color indexed="81"/>
            <rFont val="Tahoma"/>
            <family val="2"/>
          </rPr>
          <t>Jonathan Choi:</t>
        </r>
        <r>
          <rPr>
            <sz val="9"/>
            <color indexed="81"/>
            <rFont val="Tahoma"/>
            <family val="2"/>
          </rPr>
          <t xml:space="preserve">
Actual collection of shells. 10x10m sampling area
</t>
        </r>
      </text>
    </comment>
    <comment ref="H203" authorId="5">
      <text>
        <r>
          <rPr>
            <b/>
            <sz val="9"/>
            <color indexed="81"/>
            <rFont val="Tahoma"/>
            <family val="2"/>
          </rPr>
          <t>Jonathan Choi:</t>
        </r>
        <r>
          <rPr>
            <sz val="9"/>
            <color indexed="81"/>
            <rFont val="Tahoma"/>
            <family val="2"/>
          </rPr>
          <t xml:space="preserve">
The 1967 sampling was described as being in an area 7x8 km, but I assume the actual area sampled was similar.</t>
        </r>
      </text>
    </comment>
    <comment ref="J203" authorId="5">
      <text>
        <r>
          <rPr>
            <b/>
            <sz val="9"/>
            <color indexed="81"/>
            <rFont val="Tahoma"/>
            <family val="2"/>
          </rPr>
          <t>Jonathan Choi:</t>
        </r>
        <r>
          <rPr>
            <sz val="9"/>
            <color indexed="81"/>
            <rFont val="Tahoma"/>
            <family val="2"/>
          </rPr>
          <t xml:space="preserve">
Assume it took 1 hour to sample each 10x10 area</t>
        </r>
      </text>
    </comment>
    <comment ref="K203" authorId="5">
      <text>
        <r>
          <rPr>
            <b/>
            <sz val="9"/>
            <color indexed="81"/>
            <rFont val="Tahoma"/>
            <family val="2"/>
          </rPr>
          <t>Jonathan Choi:</t>
        </r>
        <r>
          <rPr>
            <sz val="9"/>
            <color indexed="81"/>
            <rFont val="Tahoma"/>
            <family val="2"/>
          </rPr>
          <t xml:space="preserve">
They sampled once in 1967 and again in 2010.
</t>
        </r>
      </text>
    </comment>
    <comment ref="L203" authorId="5">
      <text>
        <r>
          <rPr>
            <b/>
            <sz val="9"/>
            <color indexed="81"/>
            <rFont val="Tahoma"/>
            <family val="2"/>
          </rPr>
          <t>Jonathan Choi:</t>
        </r>
        <r>
          <rPr>
            <sz val="9"/>
            <color indexed="81"/>
            <rFont val="Tahoma"/>
            <family val="2"/>
          </rPr>
          <t xml:space="preserve">
Assume that they sampled the sdame number of sites twice. Once uin 1967, again in 2010.</t>
        </r>
      </text>
    </comment>
    <comment ref="M203" authorId="5">
      <text>
        <r>
          <rPr>
            <b/>
            <sz val="9"/>
            <color indexed="81"/>
            <rFont val="Tahoma"/>
            <family val="2"/>
          </rPr>
          <t>Jonathan Choi:</t>
        </r>
        <r>
          <rPr>
            <sz val="9"/>
            <color indexed="81"/>
            <rFont val="Tahoma"/>
            <family val="2"/>
          </rPr>
          <t xml:space="preserve">
They sampled once in 1967 and again in 2010.
</t>
        </r>
      </text>
    </comment>
    <comment ref="G204" authorId="5">
      <text>
        <r>
          <rPr>
            <b/>
            <sz val="9"/>
            <color indexed="81"/>
            <rFont val="Tahoma"/>
            <family val="2"/>
          </rPr>
          <t>Jonathan Choi:</t>
        </r>
        <r>
          <rPr>
            <sz val="9"/>
            <color indexed="81"/>
            <rFont val="Tahoma"/>
            <family val="2"/>
          </rPr>
          <t xml:space="preserve">
Scoring for color. Assume 2 cm long, 1 cm wide</t>
        </r>
      </text>
    </comment>
    <comment ref="H204" authorId="5">
      <text>
        <r>
          <rPr>
            <b/>
            <sz val="9"/>
            <color indexed="81"/>
            <rFont val="Tahoma"/>
            <family val="2"/>
          </rPr>
          <t>Jonathan Choi:</t>
        </r>
        <r>
          <rPr>
            <sz val="9"/>
            <color indexed="81"/>
            <rFont val="Tahoma"/>
            <family val="2"/>
          </rPr>
          <t xml:space="preserve">
2722 in 2010 and the rest are from the 1967 archives</t>
        </r>
      </text>
    </comment>
    <comment ref="J204" authorId="5">
      <text>
        <r>
          <rPr>
            <b/>
            <sz val="9"/>
            <color indexed="81"/>
            <rFont val="Tahoma"/>
            <family val="2"/>
          </rPr>
          <t>Jonathan Choi:</t>
        </r>
        <r>
          <rPr>
            <sz val="9"/>
            <color indexed="81"/>
            <rFont val="Tahoma"/>
            <family val="2"/>
          </rPr>
          <t xml:space="preserve">
Assume it took 1 minute per snail</t>
        </r>
      </text>
    </comment>
    <comment ref="K204" authorId="5">
      <text>
        <r>
          <rPr>
            <b/>
            <sz val="9"/>
            <color indexed="81"/>
            <rFont val="Tahoma"/>
            <family val="2"/>
          </rPr>
          <t>Jonathan Choi:</t>
        </r>
        <r>
          <rPr>
            <sz val="9"/>
            <color indexed="81"/>
            <rFont val="Tahoma"/>
            <family val="2"/>
          </rPr>
          <t xml:space="preserve">
No resampling of the snails</t>
        </r>
      </text>
    </comment>
    <comment ref="M204" authorId="5">
      <text>
        <r>
          <rPr>
            <b/>
            <sz val="9"/>
            <color indexed="81"/>
            <rFont val="Tahoma"/>
            <family val="2"/>
          </rPr>
          <t>Jonathan Choi:</t>
        </r>
        <r>
          <rPr>
            <sz val="9"/>
            <color indexed="81"/>
            <rFont val="Tahoma"/>
            <family val="2"/>
          </rPr>
          <t xml:space="preserve">
They sampled once in 1967 and again in 2010.
</t>
        </r>
      </text>
    </comment>
    <comment ref="P204" authorId="5">
      <text>
        <r>
          <rPr>
            <b/>
            <sz val="9"/>
            <color indexed="81"/>
            <rFont val="Tahoma"/>
            <family val="2"/>
          </rPr>
          <t>Jonathan Choi:</t>
        </r>
        <r>
          <rPr>
            <sz val="9"/>
            <color indexed="81"/>
            <rFont val="Tahoma"/>
            <family val="2"/>
          </rPr>
          <t xml:space="preserve">
We're saying that color is a functional trait of the snails</t>
        </r>
      </text>
    </comment>
    <comment ref="G205" authorId="5">
      <text>
        <r>
          <rPr>
            <b/>
            <sz val="9"/>
            <color indexed="81"/>
            <rFont val="Tahoma"/>
            <family val="2"/>
          </rPr>
          <t>Jonathan Choi:</t>
        </r>
        <r>
          <rPr>
            <sz val="9"/>
            <color indexed="81"/>
            <rFont val="Tahoma"/>
            <family val="2"/>
          </rPr>
          <t xml:space="preserve">
habitat change with aerial photos. Randomly guess, 5km * 5km </t>
        </r>
      </text>
    </comment>
    <comment ref="J205" authorId="5">
      <text>
        <r>
          <rPr>
            <b/>
            <sz val="9"/>
            <color indexed="81"/>
            <rFont val="Tahoma"/>
            <family val="2"/>
          </rPr>
          <t>Jonathan Choi:</t>
        </r>
        <r>
          <rPr>
            <sz val="9"/>
            <color indexed="81"/>
            <rFont val="Tahoma"/>
            <family val="2"/>
          </rPr>
          <t xml:space="preserve">
Assume it took 5 hours to do the full fly over</t>
        </r>
      </text>
    </comment>
    <comment ref="K205" authorId="5">
      <text>
        <r>
          <rPr>
            <b/>
            <sz val="9"/>
            <color indexed="81"/>
            <rFont val="Tahoma"/>
            <family val="2"/>
          </rPr>
          <t>Jonathan Choi:</t>
        </r>
        <r>
          <rPr>
            <sz val="9"/>
            <color indexed="81"/>
            <rFont val="Tahoma"/>
            <family val="2"/>
          </rPr>
          <t xml:space="preserve">
They sampled once in 1968 and again in 2010.
</t>
        </r>
      </text>
    </comment>
    <comment ref="M205" authorId="5">
      <text>
        <r>
          <rPr>
            <b/>
            <sz val="9"/>
            <color indexed="81"/>
            <rFont val="Tahoma"/>
            <family val="2"/>
          </rPr>
          <t>Jonathan Choi:</t>
        </r>
        <r>
          <rPr>
            <sz val="9"/>
            <color indexed="81"/>
            <rFont val="Tahoma"/>
            <family val="2"/>
          </rPr>
          <t xml:space="preserve">
They sampled once in 1968 and again in 2010.
</t>
        </r>
      </text>
    </comment>
    <comment ref="G206" authorId="5">
      <text>
        <r>
          <rPr>
            <b/>
            <sz val="9"/>
            <color indexed="81"/>
            <rFont val="Tahoma"/>
            <family val="2"/>
          </rPr>
          <t>Jonathan Choi:</t>
        </r>
        <r>
          <rPr>
            <sz val="9"/>
            <color indexed="81"/>
            <rFont val="Tahoma"/>
            <family val="2"/>
          </rPr>
          <t xml:space="preserve">
Weather station. 10 cm by 10cm sensor?</t>
        </r>
      </text>
    </comment>
    <comment ref="J206" authorId="5">
      <text>
        <r>
          <rPr>
            <b/>
            <sz val="9"/>
            <color indexed="81"/>
            <rFont val="Tahoma"/>
            <family val="2"/>
          </rPr>
          <t>Jonathan Choi:</t>
        </r>
        <r>
          <rPr>
            <sz val="9"/>
            <color indexed="81"/>
            <rFont val="Tahoma"/>
            <family val="2"/>
          </rPr>
          <t xml:space="preserve">
1 second for measurement to occur</t>
        </r>
      </text>
    </comment>
    <comment ref="K206" authorId="5">
      <text>
        <r>
          <rPr>
            <b/>
            <sz val="9"/>
            <color indexed="81"/>
            <rFont val="Tahoma"/>
            <family val="2"/>
          </rPr>
          <t>Jonathan Choi:</t>
        </r>
        <r>
          <rPr>
            <sz val="9"/>
            <color indexed="81"/>
            <rFont val="Tahoma"/>
            <family val="2"/>
          </rPr>
          <t xml:space="preserve">
Assume it was actually once a day (based in 1968 tech?)</t>
        </r>
      </text>
    </comment>
    <comment ref="M206" authorId="5">
      <text>
        <r>
          <rPr>
            <b/>
            <sz val="9"/>
            <color indexed="81"/>
            <rFont val="Tahoma"/>
            <family val="2"/>
          </rPr>
          <t>Jonathan Choi:</t>
        </r>
        <r>
          <rPr>
            <sz val="9"/>
            <color indexed="81"/>
            <rFont val="Tahoma"/>
            <family val="2"/>
          </rPr>
          <t xml:space="preserve">
They sampled once in 1967 and again in 2010.
</t>
        </r>
      </text>
    </comment>
    <comment ref="G208" authorId="5">
      <text>
        <r>
          <rPr>
            <b/>
            <sz val="9"/>
            <color indexed="81"/>
            <rFont val="Tahoma"/>
            <family val="2"/>
          </rPr>
          <t>Jonathan Choi:</t>
        </r>
        <r>
          <rPr>
            <sz val="9"/>
            <color indexed="81"/>
            <rFont val="Tahoma"/>
            <family val="2"/>
          </rPr>
          <t xml:space="preserve">
5cm diameter auger? This is approx. This is the only field collection done - all of the lab test were based on this sample.</t>
        </r>
      </text>
    </comment>
    <comment ref="H208" authorId="5">
      <text>
        <r>
          <rPr>
            <b/>
            <sz val="9"/>
            <color indexed="81"/>
            <rFont val="Tahoma"/>
            <family val="2"/>
          </rPr>
          <t>Jonathan Choi:</t>
        </r>
        <r>
          <rPr>
            <sz val="9"/>
            <color indexed="81"/>
            <rFont val="Tahoma"/>
            <family val="2"/>
          </rPr>
          <t xml:space="preserve">
23 samples collected</t>
        </r>
      </text>
    </comment>
    <comment ref="J208" authorId="5">
      <text>
        <r>
          <rPr>
            <b/>
            <sz val="9"/>
            <color indexed="81"/>
            <rFont val="Tahoma"/>
            <family val="2"/>
          </rPr>
          <t>Jonathan Choi:</t>
        </r>
        <r>
          <rPr>
            <sz val="9"/>
            <color indexed="81"/>
            <rFont val="Tahoma"/>
            <family val="2"/>
          </rPr>
          <t xml:space="preserve">
We'll say 15 min to take the sample because augers can be hard to use in peat soils
</t>
        </r>
      </text>
    </comment>
    <comment ref="K208" authorId="5">
      <text>
        <r>
          <rPr>
            <b/>
            <sz val="9"/>
            <color indexed="81"/>
            <rFont val="Tahoma"/>
            <family val="2"/>
          </rPr>
          <t>Jonathan Choi:</t>
        </r>
        <r>
          <rPr>
            <sz val="9"/>
            <color indexed="81"/>
            <rFont val="Tahoma"/>
            <family val="2"/>
          </rPr>
          <t xml:space="preserve">
Assume that each site was only sampled once. No indication otherwise.</t>
        </r>
      </text>
    </comment>
    <comment ref="M208" authorId="5">
      <text>
        <r>
          <rPr>
            <b/>
            <sz val="9"/>
            <color indexed="81"/>
            <rFont val="Tahoma"/>
            <family val="2"/>
          </rPr>
          <t>Jonathan Choi:</t>
        </r>
        <r>
          <rPr>
            <sz val="9"/>
            <color indexed="81"/>
            <rFont val="Tahoma"/>
            <family val="2"/>
          </rPr>
          <t xml:space="preserve">
All the sampling was done in one day?</t>
        </r>
      </text>
    </comment>
    <comment ref="G211" authorId="5">
      <text>
        <r>
          <rPr>
            <b/>
            <sz val="9"/>
            <color indexed="81"/>
            <rFont val="Tahoma"/>
            <family val="2"/>
          </rPr>
          <t>Jonathan Choi:</t>
        </r>
        <r>
          <rPr>
            <sz val="9"/>
            <color indexed="81"/>
            <rFont val="Tahoma"/>
            <family val="2"/>
          </rPr>
          <t xml:space="preserve">
size of individual animal</t>
        </r>
      </text>
    </comment>
    <comment ref="H211" authorId="5">
      <text>
        <r>
          <rPr>
            <b/>
            <sz val="9"/>
            <color indexed="81"/>
            <rFont val="Tahoma"/>
            <family val="2"/>
          </rPr>
          <t>Jonathan Choi:</t>
        </r>
        <r>
          <rPr>
            <sz val="9"/>
            <color indexed="81"/>
            <rFont val="Tahoma"/>
            <family val="2"/>
          </rPr>
          <t xml:space="preserve">
Use baseline populations</t>
        </r>
      </text>
    </comment>
    <comment ref="J211" authorId="5">
      <text>
        <r>
          <rPr>
            <b/>
            <sz val="9"/>
            <color indexed="81"/>
            <rFont val="Tahoma"/>
            <family val="2"/>
          </rPr>
          <t>Jonathan Choi:</t>
        </r>
        <r>
          <rPr>
            <sz val="9"/>
            <color indexed="81"/>
            <rFont val="Tahoma"/>
            <family val="2"/>
          </rPr>
          <t xml:space="preserve">
Assume it takes 5, 8 hour days to get enough visual estimates to create this age structured moel</t>
        </r>
      </text>
    </comment>
    <comment ref="K211" authorId="5">
      <text>
        <r>
          <rPr>
            <b/>
            <sz val="9"/>
            <color indexed="81"/>
            <rFont val="Tahoma"/>
            <family val="2"/>
          </rPr>
          <t>Jonathan Choi:</t>
        </r>
        <r>
          <rPr>
            <sz val="9"/>
            <color indexed="81"/>
            <rFont val="Tahoma"/>
            <family val="2"/>
          </rPr>
          <t xml:space="preserve">
annual survey</t>
        </r>
      </text>
    </comment>
    <comment ref="L211" authorId="5">
      <text>
        <r>
          <rPr>
            <b/>
            <sz val="9"/>
            <color indexed="81"/>
            <rFont val="Tahoma"/>
            <family val="2"/>
          </rPr>
          <t>Jonathan Choi:</t>
        </r>
        <r>
          <rPr>
            <sz val="9"/>
            <color indexed="81"/>
            <rFont val="Tahoma"/>
            <family val="2"/>
          </rPr>
          <t xml:space="preserve">
Studied ongoing for 14 years</t>
        </r>
      </text>
    </comment>
    <comment ref="M211" authorId="5">
      <text>
        <r>
          <rPr>
            <b/>
            <sz val="9"/>
            <color indexed="81"/>
            <rFont val="Tahoma"/>
            <family val="2"/>
          </rPr>
          <t>Jonathan Choi:</t>
        </r>
        <r>
          <rPr>
            <sz val="9"/>
            <color indexed="81"/>
            <rFont val="Tahoma"/>
            <family val="2"/>
          </rPr>
          <t xml:space="preserve">
Variable length study depending on where the survey occurred. </t>
        </r>
      </text>
    </comment>
    <comment ref="G212" authorId="5">
      <text>
        <r>
          <rPr>
            <b/>
            <sz val="9"/>
            <color indexed="81"/>
            <rFont val="Tahoma"/>
            <family val="2"/>
          </rPr>
          <t>Jonathan Choi:</t>
        </r>
        <r>
          <rPr>
            <sz val="9"/>
            <color indexed="81"/>
            <rFont val="Tahoma"/>
            <family val="2"/>
          </rPr>
          <t xml:space="preserve">
4 satellite images. No exact size of area was given, so estimate the size of "Chorotega region" as roughly equivalent to size of Guanacaste province</t>
        </r>
      </text>
    </comment>
    <comment ref="H212" authorId="5">
      <text>
        <r>
          <rPr>
            <b/>
            <sz val="9"/>
            <color indexed="81"/>
            <rFont val="Tahoma"/>
            <family val="2"/>
          </rPr>
          <t>Jonathan Choi:</t>
        </r>
        <r>
          <rPr>
            <sz val="9"/>
            <color indexed="81"/>
            <rFont val="Tahoma"/>
            <family val="2"/>
          </rPr>
          <t xml:space="preserve">
One site that was sampled approx 4 times. They don't provide enough info on the army flights that were conducted between 1955 and 1965.</t>
        </r>
      </text>
    </comment>
    <comment ref="J212" authorId="5">
      <text>
        <r>
          <rPr>
            <b/>
            <sz val="9"/>
            <color indexed="81"/>
            <rFont val="Tahoma"/>
            <family val="2"/>
          </rPr>
          <t>Jonathan Choi:</t>
        </r>
        <r>
          <rPr>
            <sz val="9"/>
            <color indexed="81"/>
            <rFont val="Tahoma"/>
            <family val="2"/>
          </rPr>
          <t xml:space="preserve">
Assume it took 2 hours for either all the aerial photos to be taken or for the satellites to be moved into place to take photos</t>
        </r>
      </text>
    </comment>
    <comment ref="K212" authorId="5">
      <text>
        <r>
          <rPr>
            <b/>
            <sz val="9"/>
            <color indexed="81"/>
            <rFont val="Tahoma"/>
            <family val="2"/>
          </rPr>
          <t>Jonathan Choi:</t>
        </r>
        <r>
          <rPr>
            <sz val="9"/>
            <color indexed="81"/>
            <rFont val="Tahoma"/>
            <family val="2"/>
          </rPr>
          <t xml:space="preserve">
Took all of the years of the different images and averaged the amount of time elapsed between different photos</t>
        </r>
      </text>
    </comment>
    <comment ref="M212" authorId="5">
      <text>
        <r>
          <rPr>
            <b/>
            <sz val="9"/>
            <color indexed="81"/>
            <rFont val="Tahoma"/>
            <family val="2"/>
          </rPr>
          <t>Jonathan Choi:</t>
        </r>
        <r>
          <rPr>
            <sz val="9"/>
            <color indexed="81"/>
            <rFont val="Tahoma"/>
            <family val="2"/>
          </rPr>
          <t xml:space="preserve">
4 images between 1960 and 2000</t>
        </r>
      </text>
    </comment>
    <comment ref="G213" authorId="5">
      <text>
        <r>
          <rPr>
            <b/>
            <sz val="9"/>
            <color indexed="81"/>
            <rFont val="Tahoma"/>
            <family val="2"/>
          </rPr>
          <t>Jonathan Choi:</t>
        </r>
        <r>
          <rPr>
            <sz val="9"/>
            <color indexed="81"/>
            <rFont val="Tahoma"/>
            <family val="2"/>
          </rPr>
          <t xml:space="preserve">
Used 24 12L bottles per sampling site. Say roughly each 12L bottle is equivalent to a 25m^2 area?
</t>
        </r>
      </text>
    </comment>
    <comment ref="J213" authorId="5">
      <text>
        <r>
          <rPr>
            <b/>
            <sz val="9"/>
            <color indexed="81"/>
            <rFont val="Tahoma"/>
            <family val="2"/>
          </rPr>
          <t>Jonathan Choi:</t>
        </r>
        <r>
          <rPr>
            <sz val="9"/>
            <color indexed="81"/>
            <rFont val="Tahoma"/>
            <family val="2"/>
          </rPr>
          <t xml:space="preserve">
assume 1 hour to drop all 24 12 L bottles, fill them, and hbaul them back up</t>
        </r>
      </text>
    </comment>
    <comment ref="K213" authorId="5">
      <text>
        <r>
          <rPr>
            <b/>
            <sz val="9"/>
            <color indexed="81"/>
            <rFont val="Tahoma"/>
            <family val="2"/>
          </rPr>
          <t>Jonathan Choi:</t>
        </r>
        <r>
          <rPr>
            <sz val="9"/>
            <color indexed="81"/>
            <rFont val="Tahoma"/>
            <family val="2"/>
          </rPr>
          <t xml:space="preserve">
There were 10 samples used in the analysis across a roughly 60 day period</t>
        </r>
      </text>
    </comment>
    <comment ref="M213" authorId="5">
      <text>
        <r>
          <rPr>
            <b/>
            <sz val="9"/>
            <color indexed="81"/>
            <rFont val="Tahoma"/>
            <family val="2"/>
          </rPr>
          <t>Jonathan Choi:</t>
        </r>
        <r>
          <rPr>
            <sz val="9"/>
            <color indexed="81"/>
            <rFont val="Tahoma"/>
            <family val="2"/>
          </rPr>
          <t xml:space="preserve">
Cruise was june-july 2008</t>
        </r>
      </text>
    </comment>
    <comment ref="N213" authorId="5">
      <text>
        <r>
          <rPr>
            <b/>
            <sz val="9"/>
            <color indexed="81"/>
            <rFont val="Tahoma"/>
            <family val="2"/>
          </rPr>
          <t>Jonathan Choi:</t>
        </r>
        <r>
          <rPr>
            <sz val="9"/>
            <color indexed="81"/>
            <rFont val="Tahoma"/>
            <family val="2"/>
          </rPr>
          <t xml:space="preserve">
did a fairly rigorous analysis for species</t>
        </r>
      </text>
    </comment>
    <comment ref="O213" authorId="5">
      <text>
        <r>
          <rPr>
            <b/>
            <sz val="9"/>
            <color indexed="81"/>
            <rFont val="Tahoma"/>
            <family val="2"/>
          </rPr>
          <t>Jonathan Choi:</t>
        </r>
        <r>
          <rPr>
            <sz val="9"/>
            <color indexed="81"/>
            <rFont val="Tahoma"/>
            <family val="2"/>
          </rPr>
          <t xml:space="preserve">
used various instruments to get a conductivity, depth, temperature, and flourescence</t>
        </r>
      </text>
    </comment>
    <comment ref="P213" authorId="5">
      <text>
        <r>
          <rPr>
            <b/>
            <sz val="9"/>
            <color indexed="81"/>
            <rFont val="Tahoma"/>
            <family val="2"/>
          </rPr>
          <t>Jonathan Choi:
looked at predator/prey rltns</t>
        </r>
      </text>
    </comment>
    <comment ref="G214" authorId="5">
      <text>
        <r>
          <rPr>
            <b/>
            <sz val="9"/>
            <color indexed="81"/>
            <rFont val="Tahoma"/>
            <family val="2"/>
          </rPr>
          <t>Jonathan Choi:</t>
        </r>
        <r>
          <rPr>
            <sz val="9"/>
            <color indexed="81"/>
            <rFont val="Tahoma"/>
            <family val="2"/>
          </rPr>
          <t xml:space="preserve">
Mesh tow. Looked at images, estimate about 1 m2
</t>
        </r>
      </text>
    </comment>
    <comment ref="H214" authorId="5">
      <text>
        <r>
          <rPr>
            <b/>
            <sz val="9"/>
            <color indexed="81"/>
            <rFont val="Tahoma"/>
            <family val="2"/>
          </rPr>
          <t>Jonathan Choi:</t>
        </r>
        <r>
          <rPr>
            <sz val="9"/>
            <color indexed="81"/>
            <rFont val="Tahoma"/>
            <family val="2"/>
          </rPr>
          <t xml:space="preserve">
only net sampled at 3 locations</t>
        </r>
      </text>
    </comment>
    <comment ref="J214" authorId="5">
      <text>
        <r>
          <rPr>
            <b/>
            <sz val="9"/>
            <color indexed="81"/>
            <rFont val="Tahoma"/>
            <family val="2"/>
          </rPr>
          <t>Jonathan Choi:</t>
        </r>
        <r>
          <rPr>
            <sz val="9"/>
            <color indexed="81"/>
            <rFont val="Tahoma"/>
            <family val="2"/>
          </rPr>
          <t xml:space="preserve">
No discussion of how long the plankton nets were out for. Assume 1 hour?</t>
        </r>
      </text>
    </comment>
    <comment ref="G215" authorId="5">
      <text>
        <r>
          <rPr>
            <b/>
            <sz val="9"/>
            <color indexed="81"/>
            <rFont val="Tahoma"/>
            <family val="2"/>
          </rPr>
          <t>Jonathan Choi:</t>
        </r>
        <r>
          <rPr>
            <sz val="9"/>
            <color indexed="81"/>
            <rFont val="Tahoma"/>
            <family val="2"/>
          </rPr>
          <t xml:space="preserve">
microscopy to determine actual parasitism. Rough estimate for 1/3 of a microscope slide</t>
        </r>
      </text>
    </comment>
    <comment ref="H215" authorId="5">
      <text>
        <r>
          <rPr>
            <b/>
            <sz val="9"/>
            <color indexed="81"/>
            <rFont val="Tahoma"/>
            <family val="2"/>
          </rPr>
          <t>Jonathan Choi:</t>
        </r>
        <r>
          <rPr>
            <sz val="9"/>
            <color indexed="81"/>
            <rFont val="Tahoma"/>
            <family val="2"/>
          </rPr>
          <t xml:space="preserve">
Sampled 20 random microscope fields for 106 samples. Not sure if this should actually be number of cells counted, but this seems like a more conservative estimate anyway for what we're trying to answer. 
</t>
        </r>
      </text>
    </comment>
    <comment ref="J215" authorId="5">
      <text>
        <r>
          <rPr>
            <b/>
            <sz val="9"/>
            <color indexed="81"/>
            <rFont val="Tahoma"/>
            <family val="2"/>
          </rPr>
          <t>Jonathan Choi:</t>
        </r>
        <r>
          <rPr>
            <sz val="9"/>
            <color indexed="81"/>
            <rFont val="Tahoma"/>
            <family val="2"/>
          </rPr>
          <t xml:space="preserve">
five minutes to look at each field?</t>
        </r>
      </text>
    </comment>
    <comment ref="K215" authorId="5">
      <text>
        <r>
          <rPr>
            <b/>
            <sz val="9"/>
            <color indexed="81"/>
            <rFont val="Tahoma"/>
            <family val="2"/>
          </rPr>
          <t>Jonathan Choi:</t>
        </r>
        <r>
          <rPr>
            <sz val="9"/>
            <color indexed="81"/>
            <rFont val="Tahoma"/>
            <family val="2"/>
          </rPr>
          <t xml:space="preserve">
They didn't resample the microscope fields again</t>
        </r>
      </text>
    </comment>
    <comment ref="G218" authorId="5">
      <text>
        <r>
          <rPr>
            <b/>
            <sz val="9"/>
            <color indexed="81"/>
            <rFont val="Tahoma"/>
            <family val="2"/>
          </rPr>
          <t>Jonathan Choi:</t>
        </r>
        <r>
          <rPr>
            <sz val="9"/>
            <color indexed="81"/>
            <rFont val="Tahoma"/>
            <family val="2"/>
          </rPr>
          <t xml:space="preserve">
one nest box. </t>
        </r>
      </text>
    </comment>
    <comment ref="J218" authorId="5">
      <text>
        <r>
          <rPr>
            <b/>
            <sz val="9"/>
            <color indexed="81"/>
            <rFont val="Tahoma"/>
            <family val="2"/>
          </rPr>
          <t>Jonathan Choi:</t>
        </r>
        <r>
          <rPr>
            <sz val="9"/>
            <color indexed="81"/>
            <rFont val="Tahoma"/>
            <family val="2"/>
          </rPr>
          <t xml:space="preserve">
Assume 15 min per nest box to get there, check, and band
</t>
        </r>
      </text>
    </comment>
    <comment ref="K218" authorId="5">
      <text>
        <r>
          <rPr>
            <b/>
            <sz val="9"/>
            <color indexed="81"/>
            <rFont val="Tahoma"/>
            <family val="2"/>
          </rPr>
          <t>Jonathan Choi:</t>
        </r>
        <r>
          <rPr>
            <sz val="9"/>
            <color indexed="81"/>
            <rFont val="Tahoma"/>
            <family val="2"/>
          </rPr>
          <t xml:space="preserve">
Surveyed multiple times per week during breeding season. 
</t>
        </r>
      </text>
    </comment>
    <comment ref="L218" authorId="5">
      <text>
        <r>
          <rPr>
            <b/>
            <sz val="9"/>
            <color indexed="81"/>
            <rFont val="Tahoma"/>
            <family val="2"/>
          </rPr>
          <t>Jonathan Choi:</t>
        </r>
        <r>
          <rPr>
            <sz val="9"/>
            <color indexed="81"/>
            <rFont val="Tahoma"/>
            <family val="2"/>
          </rPr>
          <t xml:space="preserve">
samp duration * number of nest boxes * 24 visits per year (see t_btwn_samp note) * 17 years</t>
        </r>
      </text>
    </comment>
    <comment ref="M218" authorId="5">
      <text>
        <r>
          <rPr>
            <b/>
            <sz val="9"/>
            <color indexed="81"/>
            <rFont val="Tahoma"/>
            <family val="2"/>
          </rPr>
          <t>Jonathan Choi:</t>
        </r>
        <r>
          <rPr>
            <sz val="9"/>
            <color indexed="81"/>
            <rFont val="Tahoma"/>
            <family val="2"/>
          </rPr>
          <t xml:space="preserve">
17 year study</t>
        </r>
      </text>
    </comment>
    <comment ref="O218" authorId="5">
      <text>
        <r>
          <rPr>
            <b/>
            <sz val="9"/>
            <color indexed="81"/>
            <rFont val="Tahoma"/>
            <family val="2"/>
          </rPr>
          <t>Jonathan Choi:</t>
        </r>
        <r>
          <rPr>
            <sz val="9"/>
            <color indexed="81"/>
            <rFont val="Tahoma"/>
            <family val="2"/>
          </rPr>
          <t xml:space="preserve">
Not very easy to classify - multigenerational demography seems to matter more than a single species demography.</t>
        </r>
      </text>
    </comment>
    <comment ref="G219" authorId="5">
      <text>
        <r>
          <rPr>
            <b/>
            <sz val="9"/>
            <color indexed="81"/>
            <rFont val="Tahoma"/>
            <family val="2"/>
          </rPr>
          <t>Jonathan Choi:</t>
        </r>
        <r>
          <rPr>
            <sz val="9"/>
            <color indexed="81"/>
            <rFont val="Tahoma"/>
            <family val="2"/>
          </rPr>
          <t xml:space="preserve">
Male forehead patch measurement. 3cm by 1cm?
</t>
        </r>
      </text>
    </comment>
    <comment ref="H219" authorId="5">
      <text>
        <r>
          <rPr>
            <b/>
            <sz val="9"/>
            <color indexed="81"/>
            <rFont val="Tahoma"/>
            <family val="2"/>
          </rPr>
          <t>Jonathan Choi:</t>
        </r>
        <r>
          <rPr>
            <sz val="9"/>
            <color indexed="81"/>
            <rFont val="Tahoma"/>
            <family val="2"/>
          </rPr>
          <t xml:space="preserve">
Says they have data from 683 males, presumably measured multiple times?</t>
        </r>
      </text>
    </comment>
    <comment ref="J219" authorId="5">
      <text>
        <r>
          <rPr>
            <b/>
            <sz val="9"/>
            <color indexed="81"/>
            <rFont val="Tahoma"/>
            <family val="2"/>
          </rPr>
          <t>Jonathan Choi:</t>
        </r>
        <r>
          <rPr>
            <sz val="9"/>
            <color indexed="81"/>
            <rFont val="Tahoma"/>
            <family val="2"/>
          </rPr>
          <t xml:space="preserve">
5 minutes per animal?</t>
        </r>
      </text>
    </comment>
    <comment ref="K219" authorId="5">
      <text>
        <r>
          <rPr>
            <b/>
            <sz val="9"/>
            <color indexed="81"/>
            <rFont val="Tahoma"/>
            <family val="2"/>
          </rPr>
          <t>Jonathan Choi:</t>
        </r>
        <r>
          <rPr>
            <sz val="9"/>
            <color indexed="81"/>
            <rFont val="Tahoma"/>
            <family val="2"/>
          </rPr>
          <t xml:space="preserve">
Surveyed multiple times per week during breeding season. 
</t>
        </r>
      </text>
    </comment>
    <comment ref="S219" authorId="5">
      <text>
        <r>
          <rPr>
            <b/>
            <sz val="9"/>
            <color indexed="81"/>
            <rFont val="Tahoma"/>
            <family val="2"/>
          </rPr>
          <t>Jonathan Choi:</t>
        </r>
        <r>
          <rPr>
            <sz val="9"/>
            <color indexed="81"/>
            <rFont val="Tahoma"/>
            <family val="2"/>
          </rPr>
          <t xml:space="preserve">
In general this study is tricky.</t>
        </r>
      </text>
    </comment>
    <comment ref="G220" authorId="5">
      <text>
        <r>
          <rPr>
            <b/>
            <sz val="9"/>
            <color indexed="81"/>
            <rFont val="Tahoma"/>
            <family val="2"/>
          </rPr>
          <t>Jonathan Choi:</t>
        </r>
        <r>
          <rPr>
            <sz val="9"/>
            <color indexed="81"/>
            <rFont val="Tahoma"/>
            <family val="2"/>
          </rPr>
          <t xml:space="preserve">
Used either gillnets or longlines. Guesttimate at being 10*20 area for net, dragged for 2km. I worry that this is an underestimate.</t>
        </r>
      </text>
    </comment>
    <comment ref="H220" authorId="5">
      <text>
        <r>
          <rPr>
            <b/>
            <sz val="9"/>
            <color indexed="81"/>
            <rFont val="Tahoma"/>
            <family val="2"/>
          </rPr>
          <t>Jonathan Choi:</t>
        </r>
        <r>
          <rPr>
            <sz val="9"/>
            <color indexed="81"/>
            <rFont val="Tahoma"/>
            <family val="2"/>
          </rPr>
          <t xml:space="preserve">
66 trips observed.</t>
        </r>
      </text>
    </comment>
    <comment ref="J220" authorId="5">
      <text>
        <r>
          <rPr>
            <b/>
            <sz val="9"/>
            <color indexed="81"/>
            <rFont val="Tahoma"/>
            <family val="2"/>
          </rPr>
          <t>Jonathan Choi:</t>
        </r>
        <r>
          <rPr>
            <sz val="9"/>
            <color indexed="81"/>
            <rFont val="Tahoma"/>
            <family val="2"/>
          </rPr>
          <t xml:space="preserve">
Each fishing trip was around 6.65 days on average. Assume monitoring occurred for 8 waking hours. This is probably an understimate.
</t>
        </r>
      </text>
    </comment>
    <comment ref="K220" authorId="5">
      <text>
        <r>
          <rPr>
            <b/>
            <sz val="9"/>
            <color indexed="81"/>
            <rFont val="Tahoma"/>
            <family val="2"/>
          </rPr>
          <t>Jonathan Choi:</t>
        </r>
        <r>
          <rPr>
            <sz val="9"/>
            <color indexed="81"/>
            <rFont val="Tahoma"/>
            <family val="2"/>
          </rPr>
          <t xml:space="preserve">
29 months / 66 trips. Produce average time assuming all trips were evenly spaced. Probably less clustered than reality.
</t>
        </r>
      </text>
    </comment>
    <comment ref="M220" authorId="5">
      <text>
        <r>
          <rPr>
            <b/>
            <sz val="9"/>
            <color indexed="81"/>
            <rFont val="Tahoma"/>
            <family val="2"/>
          </rPr>
          <t>Jonathan Choi:</t>
        </r>
        <r>
          <rPr>
            <sz val="9"/>
            <color indexed="81"/>
            <rFont val="Tahoma"/>
            <family val="2"/>
          </rPr>
          <t xml:space="preserve">
29 month study
</t>
        </r>
      </text>
    </comment>
    <comment ref="G221" authorId="5">
      <text>
        <r>
          <rPr>
            <b/>
            <sz val="9"/>
            <color indexed="81"/>
            <rFont val="Tahoma"/>
            <family val="2"/>
          </rPr>
          <t>Jonathan Choi:</t>
        </r>
        <r>
          <rPr>
            <sz val="9"/>
            <color indexed="81"/>
            <rFont val="Tahoma"/>
            <family val="2"/>
          </rPr>
          <t xml:space="preserve">
shorebased obs. 800 m^2 wharf for small fisheries?</t>
        </r>
      </text>
    </comment>
    <comment ref="J221" authorId="5">
      <text>
        <r>
          <rPr>
            <b/>
            <sz val="9"/>
            <color indexed="81"/>
            <rFont val="Tahoma"/>
            <family val="2"/>
          </rPr>
          <t>Jonathan Choi:</t>
        </r>
        <r>
          <rPr>
            <sz val="9"/>
            <color indexed="81"/>
            <rFont val="Tahoma"/>
            <family val="2"/>
          </rPr>
          <t xml:space="preserve">
assume 2 hours at beginning of day and at end of day to interview</t>
        </r>
      </text>
    </comment>
    <comment ref="K221" authorId="5">
      <text>
        <r>
          <rPr>
            <b/>
            <sz val="9"/>
            <color indexed="81"/>
            <rFont val="Tahoma"/>
            <family val="2"/>
          </rPr>
          <t>Jonathan Choi:</t>
        </r>
        <r>
          <rPr>
            <sz val="9"/>
            <color indexed="81"/>
            <rFont val="Tahoma"/>
            <family val="2"/>
          </rPr>
          <t xml:space="preserve">
daily surveys</t>
        </r>
      </text>
    </comment>
    <comment ref="M221" authorId="5">
      <text>
        <r>
          <rPr>
            <b/>
            <sz val="9"/>
            <color indexed="81"/>
            <rFont val="Tahoma"/>
            <family val="2"/>
          </rPr>
          <t>Jonathan Choi:</t>
        </r>
        <r>
          <rPr>
            <sz val="9"/>
            <color indexed="81"/>
            <rFont val="Tahoma"/>
            <family val="2"/>
          </rPr>
          <t xml:space="preserve">
7.5 years of data collecting from Sept 2001 to March 2008.
</t>
        </r>
      </text>
    </comment>
    <comment ref="G222" authorId="5">
      <text>
        <r>
          <rPr>
            <b/>
            <sz val="9"/>
            <color indexed="81"/>
            <rFont val="Tahoma"/>
            <family val="2"/>
          </rPr>
          <t>Jonathan Choi:</t>
        </r>
        <r>
          <rPr>
            <sz val="9"/>
            <color indexed="81"/>
            <rFont val="Tahoma"/>
            <family val="2"/>
          </rPr>
          <t xml:space="preserve">
Interpolation of growing season data. From a different study; unavailable electronically from Princeton. Assume each monitoring site captured the area within 1m^2 of it directly.</t>
        </r>
      </text>
    </comment>
    <comment ref="H222" authorId="5">
      <text>
        <r>
          <rPr>
            <b/>
            <sz val="9"/>
            <color indexed="81"/>
            <rFont val="Tahoma"/>
            <family val="2"/>
          </rPr>
          <t>Jonathan Choi:</t>
        </r>
        <r>
          <rPr>
            <sz val="9"/>
            <color indexed="81"/>
            <rFont val="Tahoma"/>
            <family val="2"/>
          </rPr>
          <t xml:space="preserve">
Assume there are 500 stations??</t>
        </r>
      </text>
    </comment>
    <comment ref="J222" authorId="5">
      <text>
        <r>
          <rPr>
            <b/>
            <sz val="9"/>
            <color indexed="81"/>
            <rFont val="Tahoma"/>
            <family val="2"/>
          </rPr>
          <t>Jonathan Choi:</t>
        </r>
        <r>
          <rPr>
            <sz val="9"/>
            <color indexed="81"/>
            <rFont val="Tahoma"/>
            <family val="2"/>
          </rPr>
          <t xml:space="preserve">
assume 1 second to take measurement.</t>
        </r>
      </text>
    </comment>
    <comment ref="K222" authorId="5">
      <text>
        <r>
          <rPr>
            <b/>
            <sz val="9"/>
            <color indexed="81"/>
            <rFont val="Tahoma"/>
            <family val="2"/>
          </rPr>
          <t>Jonathan Choi:</t>
        </r>
        <r>
          <rPr>
            <sz val="9"/>
            <color indexed="81"/>
            <rFont val="Tahoma"/>
            <family val="2"/>
          </rPr>
          <t xml:space="preserve">
assume sampling everyday</t>
        </r>
      </text>
    </comment>
    <comment ref="L222" authorId="5">
      <text>
        <r>
          <rPr>
            <b/>
            <sz val="9"/>
            <color indexed="81"/>
            <rFont val="Tahoma"/>
            <family val="2"/>
          </rPr>
          <t>Jonathan Choi:</t>
        </r>
        <r>
          <rPr>
            <sz val="9"/>
            <color indexed="81"/>
            <rFont val="Tahoma"/>
            <family val="2"/>
          </rPr>
          <t xml:space="preserve">
data collection for 10 years.</t>
        </r>
      </text>
    </comment>
    <comment ref="M222" authorId="5">
      <text>
        <r>
          <rPr>
            <b/>
            <sz val="9"/>
            <color indexed="81"/>
            <rFont val="Tahoma"/>
            <family val="2"/>
          </rPr>
          <t>Jonathan Choi:</t>
        </r>
        <r>
          <rPr>
            <sz val="9"/>
            <color indexed="81"/>
            <rFont val="Tahoma"/>
            <family val="2"/>
          </rPr>
          <t xml:space="preserve">
10 year study, with 3 years in between 5year periods. </t>
        </r>
      </text>
    </comment>
    <comment ref="F223" authorId="5">
      <text>
        <r>
          <rPr>
            <b/>
            <sz val="9"/>
            <color indexed="81"/>
            <rFont val="Tahoma"/>
            <family val="2"/>
          </rPr>
          <t>Jonathan Choi:</t>
        </r>
        <r>
          <rPr>
            <sz val="9"/>
            <color indexed="81"/>
            <rFont val="Tahoma"/>
            <family val="2"/>
          </rPr>
          <t xml:space="preserve">
Survey methodology found in other paper
</t>
        </r>
      </text>
    </comment>
    <comment ref="G223" authorId="5">
      <text>
        <r>
          <rPr>
            <b/>
            <sz val="9"/>
            <color indexed="81"/>
            <rFont val="Tahoma"/>
            <family val="2"/>
          </rPr>
          <t>Jonathan Choi:</t>
        </r>
        <r>
          <rPr>
            <sz val="9"/>
            <color indexed="81"/>
            <rFont val="Tahoma"/>
            <family val="2"/>
          </rPr>
          <t xml:space="preserve">
10km^2 quadrats.</t>
        </r>
      </text>
    </comment>
    <comment ref="H223" authorId="5">
      <text>
        <r>
          <rPr>
            <b/>
            <sz val="9"/>
            <color indexed="81"/>
            <rFont val="Tahoma"/>
            <family val="2"/>
          </rPr>
          <t>Jonathan Choi:</t>
        </r>
        <r>
          <rPr>
            <sz val="9"/>
            <color indexed="81"/>
            <rFont val="Tahoma"/>
            <family val="2"/>
          </rPr>
          <t xml:space="preserve">
Average number of quadrats sampled per year</t>
        </r>
      </text>
    </comment>
    <comment ref="J223" authorId="5">
      <text>
        <r>
          <rPr>
            <b/>
            <sz val="9"/>
            <color indexed="81"/>
            <rFont val="Tahoma"/>
            <family val="2"/>
          </rPr>
          <t>Jonathan Choi:</t>
        </r>
        <r>
          <rPr>
            <sz val="9"/>
            <color indexed="81"/>
            <rFont val="Tahoma"/>
            <family val="2"/>
          </rPr>
          <t xml:space="preserve">
10 days, 2 hrs per day, I believe in quick succession per year. I counted this as one observation each.</t>
        </r>
      </text>
    </comment>
    <comment ref="K223" authorId="5">
      <text>
        <r>
          <rPr>
            <b/>
            <sz val="9"/>
            <color indexed="81"/>
            <rFont val="Tahoma"/>
            <family val="2"/>
          </rPr>
          <t>Jonathan Choi:</t>
        </r>
        <r>
          <rPr>
            <sz val="9"/>
            <color indexed="81"/>
            <rFont val="Tahoma"/>
            <family val="2"/>
          </rPr>
          <t xml:space="preserve">
Annual surveys</t>
        </r>
      </text>
    </comment>
    <comment ref="L223" authorId="5">
      <text>
        <r>
          <rPr>
            <b/>
            <sz val="9"/>
            <color indexed="81"/>
            <rFont val="Tahoma"/>
            <family val="2"/>
          </rPr>
          <t>Jonathan Choi:</t>
        </r>
        <r>
          <rPr>
            <sz val="9"/>
            <color indexed="81"/>
            <rFont val="Tahoma"/>
            <family val="2"/>
          </rPr>
          <t xml:space="preserve">
So it's 20 hrs per year, for 10 years of obs, for on average 239 sites</t>
        </r>
      </text>
    </comment>
    <comment ref="N223" authorId="5">
      <text>
        <r>
          <rPr>
            <b/>
            <sz val="9"/>
            <color indexed="81"/>
            <rFont val="Tahoma"/>
            <family val="2"/>
          </rPr>
          <t>Jonathan Choi:</t>
        </r>
        <r>
          <rPr>
            <sz val="9"/>
            <color indexed="81"/>
            <rFont val="Tahoma"/>
            <family val="2"/>
          </rPr>
          <t xml:space="preserve">
Basic survey for all Lepidopterans in a quadrat
</t>
        </r>
      </text>
    </comment>
    <comment ref="G227" authorId="5">
      <text>
        <r>
          <rPr>
            <b/>
            <sz val="9"/>
            <color indexed="81"/>
            <rFont val="Tahoma"/>
            <family val="2"/>
          </rPr>
          <t>Jonathan Choi:</t>
        </r>
        <r>
          <rPr>
            <sz val="9"/>
            <color indexed="81"/>
            <rFont val="Tahoma"/>
            <family val="2"/>
          </rPr>
          <t xml:space="preserve">
1km diameter plots</t>
        </r>
      </text>
    </comment>
    <comment ref="J227" authorId="5">
      <text>
        <r>
          <rPr>
            <b/>
            <sz val="9"/>
            <color indexed="81"/>
            <rFont val="Tahoma"/>
            <family val="2"/>
          </rPr>
          <t>Jonathan Choi:</t>
        </r>
        <r>
          <rPr>
            <sz val="9"/>
            <color indexed="81"/>
            <rFont val="Tahoma"/>
            <family val="2"/>
          </rPr>
          <t xml:space="preserve">
Assume it took 8 hours to either take aerial photos or to position satelite</t>
        </r>
      </text>
    </comment>
    <comment ref="K227" authorId="5">
      <text>
        <r>
          <rPr>
            <b/>
            <sz val="9"/>
            <color indexed="81"/>
            <rFont val="Tahoma"/>
            <family val="2"/>
          </rPr>
          <t>Jonathan Choi:</t>
        </r>
        <r>
          <rPr>
            <sz val="9"/>
            <color indexed="81"/>
            <rFont val="Tahoma"/>
            <family val="2"/>
          </rPr>
          <t xml:space="preserve">
Compared photos and grazing pressure from 1960s to 2002.
</t>
        </r>
      </text>
    </comment>
    <comment ref="M227" authorId="5">
      <text>
        <r>
          <rPr>
            <b/>
            <sz val="9"/>
            <color indexed="81"/>
            <rFont val="Tahoma"/>
            <family val="2"/>
          </rPr>
          <t>Jonathan Choi:</t>
        </r>
        <r>
          <rPr>
            <sz val="9"/>
            <color indexed="81"/>
            <rFont val="Tahoma"/>
            <family val="2"/>
          </rPr>
          <t xml:space="preserve">
Assume 1960-2002</t>
        </r>
      </text>
    </comment>
    <comment ref="F228" authorId="5">
      <text>
        <r>
          <rPr>
            <b/>
            <sz val="9"/>
            <color indexed="81"/>
            <rFont val="Tahoma"/>
            <family val="2"/>
          </rPr>
          <t>Jonathan Choi:</t>
        </r>
        <r>
          <rPr>
            <sz val="9"/>
            <color indexed="81"/>
            <rFont val="Tahoma"/>
            <family val="2"/>
          </rPr>
          <t xml:space="preserve">
Treating individual birds as a sample. Study took blood sample, tagged, took length of tail feathers, massed, weighed.
</t>
        </r>
      </text>
    </comment>
    <comment ref="G228" authorId="5">
      <text>
        <r>
          <rPr>
            <b/>
            <sz val="9"/>
            <color indexed="81"/>
            <rFont val="Tahoma"/>
            <family val="2"/>
          </rPr>
          <t>Jonathan Choi:</t>
        </r>
        <r>
          <rPr>
            <sz val="9"/>
            <color indexed="81"/>
            <rFont val="Tahoma"/>
            <family val="2"/>
          </rPr>
          <t xml:space="preserve">
Guess at the body size of a barn swallow
</t>
        </r>
      </text>
    </comment>
    <comment ref="H228" authorId="5">
      <text>
        <r>
          <rPr>
            <b/>
            <sz val="9"/>
            <color indexed="81"/>
            <rFont val="Tahoma"/>
            <family val="2"/>
          </rPr>
          <t>Jonathan Choi:</t>
        </r>
        <r>
          <rPr>
            <sz val="9"/>
            <color indexed="81"/>
            <rFont val="Tahoma"/>
            <family val="2"/>
          </rPr>
          <t xml:space="preserve">
These were caught the first time and sampled intensively</t>
        </r>
      </text>
    </comment>
    <comment ref="J228" authorId="5">
      <text>
        <r>
          <rPr>
            <b/>
            <sz val="9"/>
            <color indexed="81"/>
            <rFont val="Tahoma"/>
            <family val="2"/>
          </rPr>
          <t>Jonathan Choi:</t>
        </r>
        <r>
          <rPr>
            <sz val="9"/>
            <color indexed="81"/>
            <rFont val="Tahoma"/>
            <family val="2"/>
          </rPr>
          <t xml:space="preserve">
30 minutes per bird?</t>
        </r>
      </text>
    </comment>
    <comment ref="K228" authorId="5">
      <text>
        <r>
          <rPr>
            <b/>
            <sz val="9"/>
            <color indexed="81"/>
            <rFont val="Tahoma"/>
            <family val="2"/>
          </rPr>
          <t>Jonathan Choi:</t>
        </r>
        <r>
          <rPr>
            <sz val="9"/>
            <color indexed="81"/>
            <rFont val="Tahoma"/>
            <family val="2"/>
          </rPr>
          <t xml:space="preserve">
Sampled everyone once. Came back and did surviving males later.</t>
        </r>
      </text>
    </comment>
    <comment ref="M228" authorId="5">
      <text>
        <r>
          <rPr>
            <b/>
            <sz val="9"/>
            <color indexed="81"/>
            <rFont val="Tahoma"/>
            <family val="2"/>
          </rPr>
          <t>Jonathan Choi:</t>
        </r>
        <r>
          <rPr>
            <sz val="9"/>
            <color indexed="81"/>
            <rFont val="Tahoma"/>
            <family val="2"/>
          </rPr>
          <t xml:space="preserve">
April to August 2010
</t>
        </r>
      </text>
    </comment>
    <comment ref="F229" authorId="5">
      <text>
        <r>
          <rPr>
            <b/>
            <sz val="9"/>
            <color indexed="81"/>
            <rFont val="Tahoma"/>
            <family val="2"/>
          </rPr>
          <t>Jonathan Choi:</t>
        </r>
        <r>
          <rPr>
            <sz val="9"/>
            <color indexed="81"/>
            <rFont val="Tahoma"/>
            <family val="2"/>
          </rPr>
          <t xml:space="preserve">
22 Males were recaptured. Blood and mass only.</t>
        </r>
      </text>
    </comment>
    <comment ref="G229" authorId="5">
      <text>
        <r>
          <rPr>
            <b/>
            <sz val="9"/>
            <color indexed="81"/>
            <rFont val="Tahoma"/>
            <family val="2"/>
          </rPr>
          <t>Jonathan Choi:</t>
        </r>
        <r>
          <rPr>
            <sz val="9"/>
            <color indexed="81"/>
            <rFont val="Tahoma"/>
            <family val="2"/>
          </rPr>
          <t xml:space="preserve">
Guess at the body size of a barn swallow
</t>
        </r>
      </text>
    </comment>
    <comment ref="J229" authorId="5">
      <text>
        <r>
          <rPr>
            <b/>
            <sz val="9"/>
            <color indexed="81"/>
            <rFont val="Tahoma"/>
            <family val="2"/>
          </rPr>
          <t>Jonathan Choi:</t>
        </r>
        <r>
          <rPr>
            <sz val="9"/>
            <color indexed="81"/>
            <rFont val="Tahoma"/>
            <family val="2"/>
          </rPr>
          <t xml:space="preserve">
30 minutes per bird?</t>
        </r>
      </text>
    </comment>
    <comment ref="M229" authorId="5">
      <text>
        <r>
          <rPr>
            <b/>
            <sz val="9"/>
            <color indexed="81"/>
            <rFont val="Tahoma"/>
            <family val="2"/>
          </rPr>
          <t>Jonathan Choi:</t>
        </r>
        <r>
          <rPr>
            <sz val="9"/>
            <color indexed="81"/>
            <rFont val="Tahoma"/>
            <family val="2"/>
          </rPr>
          <t xml:space="preserve">
April to August 2010
</t>
        </r>
      </text>
    </comment>
    <comment ref="F230" authorId="5">
      <text>
        <r>
          <rPr>
            <b/>
            <sz val="9"/>
            <color indexed="81"/>
            <rFont val="Tahoma"/>
            <family val="2"/>
          </rPr>
          <t>Jonathan Choi:</t>
        </r>
        <r>
          <rPr>
            <sz val="9"/>
            <color indexed="81"/>
            <rFont val="Tahoma"/>
            <family val="2"/>
          </rPr>
          <t xml:space="preserve">
Observing clutches</t>
        </r>
      </text>
    </comment>
    <comment ref="G230" authorId="5">
      <text>
        <r>
          <rPr>
            <b/>
            <sz val="9"/>
            <color indexed="81"/>
            <rFont val="Tahoma"/>
            <family val="2"/>
          </rPr>
          <t>Jonathan Choi:</t>
        </r>
        <r>
          <rPr>
            <sz val="9"/>
            <color indexed="81"/>
            <rFont val="Tahoma"/>
            <family val="2"/>
          </rPr>
          <t xml:space="preserve">
estimate size for a chick</t>
        </r>
      </text>
    </comment>
    <comment ref="H230" authorId="5">
      <text>
        <r>
          <rPr>
            <b/>
            <sz val="9"/>
            <color indexed="81"/>
            <rFont val="Tahoma"/>
            <family val="2"/>
          </rPr>
          <t>Jonathan Choi:</t>
        </r>
        <r>
          <rPr>
            <sz val="9"/>
            <color indexed="81"/>
            <rFont val="Tahoma"/>
            <family val="2"/>
          </rPr>
          <t xml:space="preserve">
number of clutches. Did not state number of chicks. </t>
        </r>
      </text>
    </comment>
    <comment ref="K230" authorId="5">
      <text>
        <r>
          <rPr>
            <b/>
            <sz val="9"/>
            <color indexed="81"/>
            <rFont val="Tahoma"/>
            <family val="2"/>
          </rPr>
          <t>Jonathan Choi:</t>
        </r>
        <r>
          <rPr>
            <sz val="9"/>
            <color indexed="81"/>
            <rFont val="Tahoma"/>
            <family val="2"/>
          </rPr>
          <t xml:space="preserve">
sampled every 2 days</t>
        </r>
      </text>
    </comment>
    <comment ref="L230" authorId="5">
      <text>
        <r>
          <rPr>
            <b/>
            <sz val="9"/>
            <color indexed="81"/>
            <rFont val="Tahoma"/>
            <family val="2"/>
          </rPr>
          <t>Jonathan Choi:</t>
        </r>
        <r>
          <rPr>
            <sz val="9"/>
            <color indexed="81"/>
            <rFont val="Tahoma"/>
            <family val="2"/>
          </rPr>
          <t xml:space="preserve">
They only did this blood sampling once. Assume that checking for chicks took a negligible amount of time.</t>
        </r>
      </text>
    </comment>
    <comment ref="O230" authorId="5">
      <text>
        <r>
          <rPr>
            <b/>
            <sz val="9"/>
            <color indexed="81"/>
            <rFont val="Tahoma"/>
            <family val="2"/>
          </rPr>
          <t>Jonathan Choi:</t>
        </r>
        <r>
          <rPr>
            <sz val="9"/>
            <color indexed="81"/>
            <rFont val="Tahoma"/>
            <family val="2"/>
          </rPr>
          <t xml:space="preserve">
took blood/tissue samples from chicks/unhatched embryo to determine parents
</t>
        </r>
      </text>
    </comment>
    <comment ref="F231" authorId="5">
      <text>
        <r>
          <rPr>
            <b/>
            <sz val="9"/>
            <color indexed="81"/>
            <rFont val="Tahoma"/>
            <family val="2"/>
          </rPr>
          <t>Jonathan Choi:</t>
        </r>
        <r>
          <rPr>
            <sz val="9"/>
            <color indexed="81"/>
            <rFont val="Tahoma"/>
            <family val="2"/>
          </rPr>
          <t xml:space="preserve">
Observing clutches</t>
        </r>
      </text>
    </comment>
    <comment ref="G231" authorId="5">
      <text>
        <r>
          <rPr>
            <b/>
            <sz val="9"/>
            <color indexed="81"/>
            <rFont val="Tahoma"/>
            <family val="2"/>
          </rPr>
          <t>Jonathan Choi:</t>
        </r>
        <r>
          <rPr>
            <sz val="9"/>
            <color indexed="81"/>
            <rFont val="Tahoma"/>
            <family val="2"/>
          </rPr>
          <t xml:space="preserve">
size of nest?</t>
        </r>
      </text>
    </comment>
    <comment ref="J231" authorId="5">
      <text>
        <r>
          <rPr>
            <b/>
            <sz val="9"/>
            <color indexed="81"/>
            <rFont val="Tahoma"/>
            <family val="2"/>
          </rPr>
          <t>Jonathan Choi:</t>
        </r>
        <r>
          <rPr>
            <sz val="9"/>
            <color indexed="81"/>
            <rFont val="Tahoma"/>
            <family val="2"/>
          </rPr>
          <t xml:space="preserve">
they measured 5 hours on three different occasions
</t>
        </r>
      </text>
    </comment>
    <comment ref="L231" authorId="5">
      <text>
        <r>
          <rPr>
            <b/>
            <sz val="9"/>
            <color indexed="81"/>
            <rFont val="Tahoma"/>
            <family val="2"/>
          </rPr>
          <t>Jonathan Choi:</t>
        </r>
        <r>
          <rPr>
            <sz val="9"/>
            <color indexed="81"/>
            <rFont val="Tahoma"/>
            <family val="2"/>
          </rPr>
          <t xml:space="preserve">
They said that they spent 5 hours video taping each nest
</t>
        </r>
      </text>
    </comment>
    <comment ref="F244" authorId="5">
      <text>
        <r>
          <rPr>
            <b/>
            <sz val="9"/>
            <color indexed="81"/>
            <rFont val="Tahoma"/>
            <family val="2"/>
          </rPr>
          <t>Jonathan Choi:</t>
        </r>
        <r>
          <rPr>
            <sz val="9"/>
            <color indexed="81"/>
            <rFont val="Tahoma"/>
            <family val="2"/>
          </rPr>
          <t xml:space="preserve">
took blood samples, other measurements. Assume all of these measurements were the same res and the same number of lines as a result.</t>
        </r>
      </text>
    </comment>
    <comment ref="G244" authorId="5">
      <text>
        <r>
          <rPr>
            <b/>
            <sz val="9"/>
            <color indexed="81"/>
            <rFont val="Tahoma"/>
            <family val="2"/>
          </rPr>
          <t>Jonathan Choi:</t>
        </r>
        <r>
          <rPr>
            <sz val="9"/>
            <color indexed="81"/>
            <rFont val="Tahoma"/>
            <family val="2"/>
          </rPr>
          <t xml:space="preserve">
individual bird</t>
        </r>
      </text>
    </comment>
    <comment ref="M244" authorId="5">
      <text>
        <r>
          <rPr>
            <b/>
            <sz val="9"/>
            <color indexed="81"/>
            <rFont val="Tahoma"/>
            <family val="2"/>
          </rPr>
          <t>Jonathan Choi:</t>
        </r>
        <r>
          <rPr>
            <sz val="9"/>
            <color indexed="81"/>
            <rFont val="Tahoma"/>
            <family val="2"/>
          </rPr>
          <t xml:space="preserve">
study states 12 days</t>
        </r>
      </text>
    </comment>
    <comment ref="F248" authorId="5">
      <text>
        <r>
          <rPr>
            <b/>
            <sz val="9"/>
            <color indexed="81"/>
            <rFont val="Tahoma"/>
            <family val="2"/>
          </rPr>
          <t>Jonathan Choi:</t>
        </r>
        <r>
          <rPr>
            <sz val="9"/>
            <color indexed="81"/>
            <rFont val="Tahoma"/>
            <family val="2"/>
          </rPr>
          <t xml:space="preserve">
"Observations were made in two study areas 100 km apart, each about 60 km2 in extent."</t>
        </r>
      </text>
    </comment>
    <comment ref="J248" authorId="5">
      <text>
        <r>
          <rPr>
            <b/>
            <sz val="9"/>
            <color indexed="81"/>
            <rFont val="Tahoma"/>
            <family val="2"/>
          </rPr>
          <t>Jonathan Choi:</t>
        </r>
        <r>
          <rPr>
            <sz val="9"/>
            <color indexed="81"/>
            <rFont val="Tahoma"/>
            <family val="2"/>
          </rPr>
          <t xml:space="preserve">
They said they surveyed sometimes over the course of two months or over one month. Assume 15 days per season per site, 5 hours per day
</t>
        </r>
      </text>
    </comment>
    <comment ref="K248" authorId="5">
      <text>
        <r>
          <rPr>
            <b/>
            <sz val="9"/>
            <color indexed="81"/>
            <rFont val="Tahoma"/>
            <family val="2"/>
          </rPr>
          <t>Jonathan Choi:</t>
        </r>
        <r>
          <rPr>
            <sz val="9"/>
            <color indexed="81"/>
            <rFont val="Tahoma"/>
            <family val="2"/>
          </rPr>
          <t xml:space="preserve">
Annual census</t>
        </r>
      </text>
    </comment>
    <comment ref="L248" authorId="5">
      <text>
        <r>
          <rPr>
            <b/>
            <sz val="9"/>
            <color indexed="81"/>
            <rFont val="Tahoma"/>
            <family val="2"/>
          </rPr>
          <t>Jonathan Choi:</t>
        </r>
        <r>
          <rPr>
            <sz val="9"/>
            <color indexed="81"/>
            <rFont val="Tahoma"/>
            <family val="2"/>
          </rPr>
          <t xml:space="preserve">
15 days per site per season
</t>
        </r>
      </text>
    </comment>
    <comment ref="M248" authorId="5">
      <text>
        <r>
          <rPr>
            <b/>
            <sz val="9"/>
            <color indexed="81"/>
            <rFont val="Tahoma"/>
            <family val="2"/>
          </rPr>
          <t>Jonathan Choi:</t>
        </r>
        <r>
          <rPr>
            <sz val="9"/>
            <color indexed="81"/>
            <rFont val="Tahoma"/>
            <family val="2"/>
          </rPr>
          <t xml:space="preserve">
10 year study</t>
        </r>
      </text>
    </comment>
    <comment ref="G249" authorId="5">
      <text>
        <r>
          <rPr>
            <b/>
            <sz val="9"/>
            <color indexed="81"/>
            <rFont val="Tahoma"/>
            <family val="2"/>
          </rPr>
          <t>Jonathan Choi:</t>
        </r>
        <r>
          <rPr>
            <sz val="9"/>
            <color indexed="81"/>
            <rFont val="Tahoma"/>
            <family val="2"/>
          </rPr>
          <t xml:space="preserve">
sampled 18 areas of kruger, driving 11,500km over three months. </t>
        </r>
      </text>
    </comment>
    <comment ref="J249" authorId="5">
      <text>
        <r>
          <rPr>
            <b/>
            <sz val="9"/>
            <color indexed="81"/>
            <rFont val="Tahoma"/>
            <family val="2"/>
          </rPr>
          <t>Jonathan Choi:</t>
        </r>
        <r>
          <rPr>
            <sz val="9"/>
            <color indexed="81"/>
            <rFont val="Tahoma"/>
            <family val="2"/>
          </rPr>
          <t xml:space="preserve">
say it was 11 hours per day in the paper</t>
        </r>
      </text>
    </comment>
    <comment ref="K249" authorId="5">
      <text>
        <r>
          <rPr>
            <b/>
            <sz val="9"/>
            <color indexed="81"/>
            <rFont val="Tahoma"/>
            <family val="2"/>
          </rPr>
          <t>Jonathan Choi:</t>
        </r>
        <r>
          <rPr>
            <sz val="9"/>
            <color indexed="81"/>
            <rFont val="Tahoma"/>
            <family val="2"/>
          </rPr>
          <t xml:space="preserve">
annual survey</t>
        </r>
      </text>
    </comment>
    <comment ref="L249" authorId="5">
      <text>
        <r>
          <rPr>
            <b/>
            <sz val="9"/>
            <color indexed="81"/>
            <rFont val="Tahoma"/>
            <family val="2"/>
          </rPr>
          <t>Jonathan Choi:</t>
        </r>
        <r>
          <rPr>
            <sz val="9"/>
            <color indexed="81"/>
            <rFont val="Tahoma"/>
            <family val="2"/>
          </rPr>
          <t xml:space="preserve">
11 hours per day, 60 days per year, 13 years</t>
        </r>
      </text>
    </comment>
    <comment ref="M249" authorId="5">
      <text>
        <r>
          <rPr>
            <b/>
            <sz val="9"/>
            <color indexed="81"/>
            <rFont val="Tahoma"/>
            <family val="2"/>
          </rPr>
          <t>Jonathan Choi:</t>
        </r>
        <r>
          <rPr>
            <sz val="9"/>
            <color indexed="81"/>
            <rFont val="Tahoma"/>
            <family val="2"/>
          </rPr>
          <t xml:space="preserve">
observations for 13 years</t>
        </r>
      </text>
    </comment>
    <comment ref="G250" authorId="5">
      <text>
        <r>
          <rPr>
            <b/>
            <sz val="9"/>
            <color indexed="81"/>
            <rFont val="Tahoma"/>
            <family val="2"/>
          </rPr>
          <t>Jonathan Choi:</t>
        </r>
        <r>
          <rPr>
            <sz val="9"/>
            <color indexed="81"/>
            <rFont val="Tahoma"/>
            <family val="2"/>
          </rPr>
          <t xml:space="preserve">
sampled 18 areas of kruger, driving 11,500km over three months. </t>
        </r>
      </text>
    </comment>
    <comment ref="J250" authorId="5">
      <text>
        <r>
          <rPr>
            <b/>
            <sz val="9"/>
            <color indexed="81"/>
            <rFont val="Tahoma"/>
            <family val="2"/>
          </rPr>
          <t>Jonathan Choi:</t>
        </r>
        <r>
          <rPr>
            <sz val="9"/>
            <color indexed="81"/>
            <rFont val="Tahoma"/>
            <family val="2"/>
          </rPr>
          <t xml:space="preserve">
say it was 11 hours per day in the paper</t>
        </r>
      </text>
    </comment>
    <comment ref="K250" authorId="5">
      <text>
        <r>
          <rPr>
            <b/>
            <sz val="9"/>
            <color indexed="81"/>
            <rFont val="Tahoma"/>
            <family val="2"/>
          </rPr>
          <t>Jonathan Choi:</t>
        </r>
        <r>
          <rPr>
            <sz val="9"/>
            <color indexed="81"/>
            <rFont val="Tahoma"/>
            <family val="2"/>
          </rPr>
          <t xml:space="preserve">
4 times per annum</t>
        </r>
      </text>
    </comment>
    <comment ref="L250" authorId="5">
      <text>
        <r>
          <rPr>
            <b/>
            <sz val="9"/>
            <color indexed="81"/>
            <rFont val="Tahoma"/>
            <family val="2"/>
          </rPr>
          <t>Jonathan Choi:</t>
        </r>
        <r>
          <rPr>
            <sz val="9"/>
            <color indexed="81"/>
            <rFont val="Tahoma"/>
            <family val="2"/>
          </rPr>
          <t xml:space="preserve">
assume only 40 days instead of 60 because I think this study was wildebeast only (previous was almost all large herbivores). Cannot access original study. 
</t>
        </r>
      </text>
    </comment>
    <comment ref="M250" authorId="5">
      <text>
        <r>
          <rPr>
            <b/>
            <sz val="9"/>
            <color indexed="81"/>
            <rFont val="Tahoma"/>
            <family val="2"/>
          </rPr>
          <t>Jonathan Choi:</t>
        </r>
        <r>
          <rPr>
            <sz val="9"/>
            <color indexed="81"/>
            <rFont val="Tahoma"/>
            <family val="2"/>
          </rPr>
          <t xml:space="preserve">
1978-1983 observations</t>
        </r>
      </text>
    </comment>
    <comment ref="G251" authorId="5">
      <text>
        <r>
          <rPr>
            <b/>
            <sz val="9"/>
            <color indexed="81"/>
            <rFont val="Tahoma"/>
            <family val="2"/>
          </rPr>
          <t>Jonathan Choi:</t>
        </r>
        <r>
          <rPr>
            <sz val="9"/>
            <color indexed="81"/>
            <rFont val="Tahoma"/>
            <family val="2"/>
          </rPr>
          <t xml:space="preserve">
aerial surveys. We knew they were 800m in width. Visual estimate of around 10k long</t>
        </r>
      </text>
    </comment>
    <comment ref="H251" authorId="5">
      <text>
        <r>
          <rPr>
            <b/>
            <sz val="9"/>
            <color indexed="81"/>
            <rFont val="Tahoma"/>
            <family val="2"/>
          </rPr>
          <t>Jonathan Choi:</t>
        </r>
        <r>
          <rPr>
            <sz val="9"/>
            <color indexed="81"/>
            <rFont val="Tahoma"/>
            <family val="2"/>
          </rPr>
          <t xml:space="preserve">
they don't say and the only documents detailing this were published locally in S Africa</t>
        </r>
      </text>
    </comment>
    <comment ref="K251" authorId="5">
      <text>
        <r>
          <rPr>
            <b/>
            <sz val="9"/>
            <color indexed="81"/>
            <rFont val="Tahoma"/>
            <family val="2"/>
          </rPr>
          <t>Jonathan Choi:</t>
        </r>
        <r>
          <rPr>
            <sz val="9"/>
            <color indexed="81"/>
            <rFont val="Tahoma"/>
            <family val="2"/>
          </rPr>
          <t xml:space="preserve">
annual</t>
        </r>
      </text>
    </comment>
    <comment ref="F252" authorId="5">
      <text>
        <r>
          <rPr>
            <b/>
            <sz val="9"/>
            <color indexed="81"/>
            <rFont val="Tahoma"/>
            <family val="2"/>
          </rPr>
          <t>Jonathan Choi:</t>
        </r>
        <r>
          <rPr>
            <sz val="9"/>
            <color indexed="81"/>
            <rFont val="Tahoma"/>
            <family val="2"/>
          </rPr>
          <t xml:space="preserve">
this is age &amp; sex ratio</t>
        </r>
      </text>
    </comment>
    <comment ref="G252" authorId="5">
      <text>
        <r>
          <rPr>
            <b/>
            <sz val="9"/>
            <color indexed="81"/>
            <rFont val="Tahoma"/>
            <family val="2"/>
          </rPr>
          <t>Jonathan Choi:</t>
        </r>
        <r>
          <rPr>
            <sz val="9"/>
            <color indexed="81"/>
            <rFont val="Tahoma"/>
            <family val="2"/>
          </rPr>
          <t xml:space="preserve">
21 km transect, stopping every 1km, surveying a circle 100m in radius</t>
        </r>
      </text>
    </comment>
    <comment ref="M252" authorId="5">
      <text>
        <r>
          <rPr>
            <b/>
            <sz val="9"/>
            <color indexed="81"/>
            <rFont val="Tahoma"/>
            <family val="2"/>
          </rPr>
          <t>Jonathan Choi:</t>
        </r>
        <r>
          <rPr>
            <sz val="9"/>
            <color indexed="81"/>
            <rFont val="Tahoma"/>
            <family val="2"/>
          </rPr>
          <t xml:space="preserve">
very unclear when this car based survey began</t>
        </r>
      </text>
    </comment>
    <comment ref="G253" authorId="5">
      <text>
        <r>
          <rPr>
            <b/>
            <sz val="9"/>
            <color indexed="81"/>
            <rFont val="Tahoma"/>
            <family val="2"/>
          </rPr>
          <t>Jonathan Choi:</t>
        </r>
        <r>
          <rPr>
            <sz val="9"/>
            <color indexed="81"/>
            <rFont val="Tahoma"/>
            <family val="2"/>
          </rPr>
          <t xml:space="preserve">
Sample size as individual animals?</t>
        </r>
      </text>
    </comment>
    <comment ref="H253" authorId="5">
      <text>
        <r>
          <rPr>
            <b/>
            <sz val="9"/>
            <color indexed="81"/>
            <rFont val="Tahoma"/>
            <family val="2"/>
          </rPr>
          <t>Jonathan Choi:</t>
        </r>
        <r>
          <rPr>
            <sz val="9"/>
            <color indexed="81"/>
            <rFont val="Tahoma"/>
            <family val="2"/>
          </rPr>
          <t xml:space="preserve">
no specification of how many samples they collected. Guess at 100 per season?</t>
        </r>
      </text>
    </comment>
    <comment ref="J253" authorId="5">
      <text>
        <r>
          <rPr>
            <b/>
            <sz val="9"/>
            <color indexed="81"/>
            <rFont val="Tahoma"/>
            <family val="2"/>
          </rPr>
          <t>Jonathan Choi:</t>
        </r>
        <r>
          <rPr>
            <sz val="9"/>
            <color indexed="81"/>
            <rFont val="Tahoma"/>
            <family val="2"/>
          </rPr>
          <t xml:space="preserve">
they drove around and watched wildebeest until they pooped, and then collected the fecal samples. They don't indicate how long this took.</t>
        </r>
      </text>
    </comment>
    <comment ref="K253" authorId="5">
      <text>
        <r>
          <rPr>
            <b/>
            <sz val="9"/>
            <color indexed="81"/>
            <rFont val="Tahoma"/>
            <family val="2"/>
          </rPr>
          <t>Jonathan Choi:</t>
        </r>
        <r>
          <rPr>
            <sz val="9"/>
            <color indexed="81"/>
            <rFont val="Tahoma"/>
            <family val="2"/>
          </rPr>
          <t xml:space="preserve">
assume they didn't try to collect from them multiple times?</t>
        </r>
      </text>
    </comment>
    <comment ref="M253" authorId="5">
      <text>
        <r>
          <rPr>
            <b/>
            <sz val="9"/>
            <color indexed="81"/>
            <rFont val="Tahoma"/>
            <family val="2"/>
          </rPr>
          <t>Jonathan Choi:</t>
        </r>
        <r>
          <rPr>
            <sz val="9"/>
            <color indexed="81"/>
            <rFont val="Tahoma"/>
            <family val="2"/>
          </rPr>
          <t xml:space="preserve">
1992-94
</t>
        </r>
      </text>
    </comment>
    <comment ref="F254" authorId="5">
      <text>
        <r>
          <rPr>
            <b/>
            <sz val="9"/>
            <color indexed="81"/>
            <rFont val="Tahoma"/>
            <family val="2"/>
          </rPr>
          <t>Jonathan Choi:</t>
        </r>
        <r>
          <rPr>
            <sz val="9"/>
            <color indexed="81"/>
            <rFont val="Tahoma"/>
            <family val="2"/>
          </rPr>
          <t xml:space="preserve">
this is carcass cxounts</t>
        </r>
      </text>
    </comment>
    <comment ref="G254" authorId="5">
      <text>
        <r>
          <rPr>
            <b/>
            <sz val="9"/>
            <color indexed="81"/>
            <rFont val="Tahoma"/>
            <family val="2"/>
          </rPr>
          <t>Jonathan Choi:</t>
        </r>
        <r>
          <rPr>
            <sz val="9"/>
            <color indexed="81"/>
            <rFont val="Tahoma"/>
            <family val="2"/>
          </rPr>
          <t xml:space="preserve">
21 km transect, stopping every 1km, surveying a circle 100m in radius</t>
        </r>
      </text>
    </comment>
    <comment ref="J254" authorId="5">
      <text>
        <r>
          <rPr>
            <b/>
            <sz val="9"/>
            <color indexed="81"/>
            <rFont val="Tahoma"/>
            <family val="2"/>
          </rPr>
          <t>Jonathan Choi:</t>
        </r>
        <r>
          <rPr>
            <sz val="9"/>
            <color indexed="81"/>
            <rFont val="Tahoma"/>
            <family val="2"/>
          </rPr>
          <t xml:space="preserve">
this probably took less time</t>
        </r>
      </text>
    </comment>
    <comment ref="M254" authorId="5">
      <text>
        <r>
          <rPr>
            <b/>
            <sz val="9"/>
            <color indexed="81"/>
            <rFont val="Tahoma"/>
            <family val="2"/>
          </rPr>
          <t>Jonathan Choi:</t>
        </r>
        <r>
          <rPr>
            <sz val="9"/>
            <color indexed="81"/>
            <rFont val="Tahoma"/>
            <family val="2"/>
          </rPr>
          <t xml:space="preserve">
very unclear when this car based survey began</t>
        </r>
      </text>
    </comment>
    <comment ref="G255" authorId="5">
      <text>
        <r>
          <rPr>
            <b/>
            <sz val="9"/>
            <color indexed="81"/>
            <rFont val="Tahoma"/>
            <family val="2"/>
          </rPr>
          <t>Jonathan Choi:</t>
        </r>
        <r>
          <rPr>
            <sz val="9"/>
            <color indexed="81"/>
            <rFont val="Tahoma"/>
            <family val="2"/>
          </rPr>
          <t xml:space="preserve">
rain gauge. Assume a half meter diameter bucket</t>
        </r>
      </text>
    </comment>
    <comment ref="M255" authorId="5">
      <text>
        <r>
          <rPr>
            <b/>
            <sz val="9"/>
            <color indexed="81"/>
            <rFont val="Tahoma"/>
            <family val="2"/>
          </rPr>
          <t>Jonathan Choi:</t>
        </r>
        <r>
          <rPr>
            <sz val="9"/>
            <color indexed="81"/>
            <rFont val="Tahoma"/>
            <family val="2"/>
          </rPr>
          <t xml:space="preserve">
</t>
        </r>
      </text>
    </comment>
    <comment ref="F258" authorId="5">
      <text>
        <r>
          <rPr>
            <b/>
            <sz val="9"/>
            <color indexed="81"/>
            <rFont val="Tahoma"/>
            <family val="2"/>
          </rPr>
          <t>Jonathan Choi:</t>
        </r>
        <r>
          <rPr>
            <sz val="9"/>
            <color indexed="81"/>
            <rFont val="Tahoma"/>
            <family val="2"/>
          </rPr>
          <t xml:space="preserve">
gravity core
</t>
        </r>
      </text>
    </comment>
    <comment ref="G258" authorId="5">
      <text>
        <r>
          <rPr>
            <b/>
            <sz val="9"/>
            <color indexed="81"/>
            <rFont val="Tahoma"/>
            <family val="2"/>
          </rPr>
          <t>Jonathan Choi:</t>
        </r>
        <r>
          <rPr>
            <sz val="9"/>
            <color indexed="81"/>
            <rFont val="Tahoma"/>
            <family val="2"/>
          </rPr>
          <t xml:space="preserve">
mini-Glew corer. Assume 5cm diameter?</t>
        </r>
      </text>
    </comment>
    <comment ref="H258" authorId="5">
      <text>
        <r>
          <rPr>
            <b/>
            <sz val="9"/>
            <color indexed="81"/>
            <rFont val="Tahoma"/>
            <family val="2"/>
          </rPr>
          <t>Jonathan Choi:</t>
        </r>
        <r>
          <rPr>
            <sz val="9"/>
            <color indexed="81"/>
            <rFont val="Tahoma"/>
            <family val="2"/>
          </rPr>
          <t xml:space="preserve">
they took between 51 and 87 samples from 6 different lakes</t>
        </r>
      </text>
    </comment>
    <comment ref="K258" authorId="5">
      <text>
        <r>
          <rPr>
            <b/>
            <sz val="9"/>
            <color indexed="81"/>
            <rFont val="Tahoma"/>
            <family val="2"/>
          </rPr>
          <t>Jonathan Choi:</t>
        </r>
        <r>
          <rPr>
            <sz val="9"/>
            <color indexed="81"/>
            <rFont val="Tahoma"/>
            <family val="2"/>
          </rPr>
          <t xml:space="preserve">
"paleo"reconstruction of about 1000 years. Estimated resolution "varies from 12 to 16 years"</t>
        </r>
      </text>
    </comment>
    <comment ref="M258" authorId="5">
      <text>
        <r>
          <rPr>
            <b/>
            <sz val="9"/>
            <color indexed="81"/>
            <rFont val="Tahoma"/>
            <family val="2"/>
          </rPr>
          <t>Jonathan Choi:</t>
        </r>
        <r>
          <rPr>
            <sz val="9"/>
            <color indexed="81"/>
            <rFont val="Tahoma"/>
            <family val="2"/>
          </rPr>
          <t xml:space="preserve">
looked at data from the past 2000 years
</t>
        </r>
      </text>
    </comment>
    <comment ref="F259" authorId="5">
      <text>
        <r>
          <rPr>
            <b/>
            <sz val="9"/>
            <color indexed="81"/>
            <rFont val="Tahoma"/>
            <family val="2"/>
          </rPr>
          <t>Jonathan Choi:</t>
        </r>
        <r>
          <rPr>
            <sz val="9"/>
            <color indexed="81"/>
            <rFont val="Tahoma"/>
            <family val="2"/>
          </rPr>
          <t xml:space="preserve">
seismic profiling by driving around a lake.</t>
        </r>
      </text>
    </comment>
    <comment ref="G259" authorId="5">
      <text>
        <r>
          <rPr>
            <b/>
            <sz val="9"/>
            <color indexed="81"/>
            <rFont val="Tahoma"/>
            <family val="2"/>
          </rPr>
          <t>Jonathan Choi:</t>
        </r>
        <r>
          <rPr>
            <sz val="9"/>
            <color indexed="81"/>
            <rFont val="Tahoma"/>
            <family val="2"/>
          </rPr>
          <t xml:space="preserve">
each surveyed lake was between 17 and 78 ha. </t>
        </r>
      </text>
    </comment>
    <comment ref="J259" authorId="5">
      <text>
        <r>
          <rPr>
            <b/>
            <sz val="9"/>
            <color indexed="81"/>
            <rFont val="Tahoma"/>
            <family val="2"/>
          </rPr>
          <t>Jonathan Choi:</t>
        </r>
        <r>
          <rPr>
            <sz val="9"/>
            <color indexed="81"/>
            <rFont val="Tahoma"/>
            <family val="2"/>
          </rPr>
          <t xml:space="preserve">
assume they were able to map underwater ridges in a day on the water.</t>
        </r>
      </text>
    </comment>
    <comment ref="M259" authorId="5">
      <text>
        <r>
          <rPr>
            <b/>
            <sz val="9"/>
            <color indexed="81"/>
            <rFont val="Tahoma"/>
            <family val="2"/>
          </rPr>
          <t>Jonathan Choi:</t>
        </r>
        <r>
          <rPr>
            <sz val="9"/>
            <color indexed="81"/>
            <rFont val="Tahoma"/>
            <family val="2"/>
          </rPr>
          <t xml:space="preserve">
each sample period was just once</t>
        </r>
      </text>
    </comment>
    <comment ref="F260" authorId="5">
      <text>
        <r>
          <rPr>
            <b/>
            <sz val="9"/>
            <color indexed="81"/>
            <rFont val="Tahoma"/>
            <family val="2"/>
          </rPr>
          <t>Jonathan Choi:</t>
        </r>
        <r>
          <rPr>
            <sz val="9"/>
            <color indexed="81"/>
            <rFont val="Tahoma"/>
            <family val="2"/>
          </rPr>
          <t xml:space="preserve">
Weather stations</t>
        </r>
      </text>
    </comment>
    <comment ref="J260" authorId="5">
      <text>
        <r>
          <rPr>
            <b/>
            <sz val="9"/>
            <color indexed="81"/>
            <rFont val="Tahoma"/>
            <family val="2"/>
          </rPr>
          <t>Jonathan Choi:</t>
        </r>
        <r>
          <rPr>
            <sz val="9"/>
            <color indexed="81"/>
            <rFont val="Tahoma"/>
            <family val="2"/>
          </rPr>
          <t xml:space="preserve">
15 minutes to take the data?</t>
        </r>
      </text>
    </comment>
    <comment ref="M260" authorId="5">
      <text>
        <r>
          <rPr>
            <b/>
            <sz val="9"/>
            <color indexed="81"/>
            <rFont val="Tahoma"/>
            <family val="2"/>
          </rPr>
          <t>Jonathan Choi:</t>
        </r>
        <r>
          <rPr>
            <sz val="9"/>
            <color indexed="81"/>
            <rFont val="Tahoma"/>
            <family val="2"/>
          </rPr>
          <t xml:space="preserve">
used a bunch of old climate data</t>
        </r>
      </text>
    </comment>
    <comment ref="H266" authorId="6">
      <text>
        <r>
          <rPr>
            <b/>
            <sz val="9"/>
            <color indexed="81"/>
            <rFont val="Arial"/>
          </rPr>
          <t>Paul Elsen:</t>
        </r>
        <r>
          <rPr>
            <sz val="9"/>
            <color indexed="81"/>
            <rFont val="Arial"/>
          </rPr>
          <t xml:space="preserve">
Kopuatai bog = 16 + 4 sites; Chatham Island = (28 + 29 - 27) sites</t>
        </r>
      </text>
    </comment>
    <comment ref="J266" authorId="6">
      <text>
        <r>
          <rPr>
            <b/>
            <sz val="9"/>
            <color indexed="81"/>
            <rFont val="Arial"/>
          </rPr>
          <t>Paul Elsen:</t>
        </r>
        <r>
          <rPr>
            <sz val="9"/>
            <color indexed="81"/>
            <rFont val="Arial"/>
          </rPr>
          <t xml:space="preserve">
all 50 sites were surveyed in November 2002 and February 21 so assume 1 day per site</t>
        </r>
      </text>
    </comment>
    <comment ref="G267" authorId="6">
      <text>
        <r>
          <rPr>
            <b/>
            <sz val="9"/>
            <color indexed="81"/>
            <rFont val="Arial"/>
          </rPr>
          <t>Paul Elsen:</t>
        </r>
        <r>
          <rPr>
            <sz val="9"/>
            <color indexed="81"/>
            <rFont val="Arial"/>
          </rPr>
          <t xml:space="preserve">
assume the roots are .5 long by .1 m wide</t>
        </r>
      </text>
    </comment>
    <comment ref="I267" authorId="7">
      <text>
        <r>
          <rPr>
            <b/>
            <sz val="9"/>
            <color indexed="81"/>
            <rFont val="Arial"/>
          </rPr>
          <t>Lyndon Estes:</t>
        </r>
        <r>
          <rPr>
            <sz val="9"/>
            <color indexed="81"/>
            <rFont val="Arial"/>
          </rPr>
          <t xml:space="preserve">
Forgot to divide by 10000</t>
        </r>
      </text>
    </comment>
    <comment ref="J267" authorId="6">
      <text>
        <r>
          <rPr>
            <b/>
            <sz val="9"/>
            <color indexed="81"/>
            <rFont val="Arial"/>
          </rPr>
          <t>Paul Elsen:</t>
        </r>
        <r>
          <rPr>
            <sz val="9"/>
            <color indexed="81"/>
            <rFont val="Arial"/>
          </rPr>
          <t xml:space="preserve">
assume 1 day to sample roots at each plot</t>
        </r>
      </text>
    </comment>
    <comment ref="L267" authorId="6">
      <text>
        <r>
          <rPr>
            <b/>
            <sz val="9"/>
            <color indexed="81"/>
            <rFont val="Arial"/>
          </rPr>
          <t>Paul Elsen:</t>
        </r>
        <r>
          <rPr>
            <sz val="9"/>
            <color indexed="81"/>
            <rFont val="Arial"/>
          </rPr>
          <t xml:space="preserve">
2 root samples at each site</t>
        </r>
      </text>
    </comment>
    <comment ref="G270" authorId="6">
      <text>
        <r>
          <rPr>
            <b/>
            <sz val="9"/>
            <color indexed="81"/>
            <rFont val="Arial"/>
          </rPr>
          <t>Paul Elsen:</t>
        </r>
        <r>
          <rPr>
            <sz val="9"/>
            <color indexed="81"/>
            <rFont val="Arial"/>
          </rPr>
          <t xml:space="preserve">
average of total area for each of four areas divided by the number of prairie dog colonies (data given in hectares so converting to m2)</t>
        </r>
      </text>
    </comment>
    <comment ref="H270" authorId="6">
      <text>
        <r>
          <rPr>
            <b/>
            <sz val="9"/>
            <color indexed="81"/>
            <rFont val="Arial"/>
          </rPr>
          <t>Paul Elsen:</t>
        </r>
        <r>
          <rPr>
            <sz val="9"/>
            <color indexed="81"/>
            <rFont val="Arial"/>
          </rPr>
          <t xml:space="preserve">
treating each prairie dog colony as a site</t>
        </r>
      </text>
    </comment>
    <comment ref="I270" authorId="6">
      <text>
        <r>
          <rPr>
            <b/>
            <sz val="9"/>
            <color indexed="81"/>
            <rFont val="Arial"/>
          </rPr>
          <t>Paul Elsen:</t>
        </r>
        <r>
          <rPr>
            <sz val="9"/>
            <color indexed="81"/>
            <rFont val="Arial"/>
          </rPr>
          <t xml:space="preserve">
total hectares given for each of four study areas</t>
        </r>
      </text>
    </comment>
    <comment ref="J270" authorId="6">
      <text>
        <r>
          <rPr>
            <b/>
            <sz val="9"/>
            <color indexed="81"/>
            <rFont val="Arial"/>
          </rPr>
          <t>Paul Elsen:</t>
        </r>
        <r>
          <rPr>
            <sz val="9"/>
            <color indexed="81"/>
            <rFont val="Arial"/>
          </rPr>
          <t xml:space="preserve">
assume it takes 1 day to sruvey a prairie dog colony</t>
        </r>
      </text>
    </comment>
    <comment ref="K270" authorId="6">
      <text>
        <r>
          <rPr>
            <b/>
            <sz val="9"/>
            <color indexed="81"/>
            <rFont val="Arial"/>
          </rPr>
          <t>Paul Elsen:</t>
        </r>
        <r>
          <rPr>
            <sz val="9"/>
            <color indexed="81"/>
            <rFont val="Arial"/>
          </rPr>
          <t xml:space="preserve">
two sites surveyed 30 days apart, one surveyed 15 days apart, averaged to 25 days between</t>
        </r>
      </text>
    </comment>
    <comment ref="L270" authorId="6">
      <text>
        <r>
          <rPr>
            <b/>
            <sz val="9"/>
            <color indexed="81"/>
            <rFont val="Arial"/>
          </rPr>
          <t>Paul Elsen:</t>
        </r>
        <r>
          <rPr>
            <sz val="9"/>
            <color indexed="81"/>
            <rFont val="Arial"/>
          </rPr>
          <t xml:space="preserve">
assume average of 2.5 repeated samples (sites surveyed &gt;=2 or &gt;=3 times)</t>
        </r>
      </text>
    </comment>
    <comment ref="M270" authorId="6">
      <text>
        <r>
          <rPr>
            <b/>
            <sz val="9"/>
            <color indexed="81"/>
            <rFont val="Arial"/>
          </rPr>
          <t>Paul Elsen:</t>
        </r>
        <r>
          <rPr>
            <sz val="9"/>
            <color indexed="81"/>
            <rFont val="Arial"/>
          </rPr>
          <t xml:space="preserve">
surveyed birds from May 2003 - June 2007</t>
        </r>
      </text>
    </comment>
    <comment ref="G272" authorId="6">
      <text>
        <r>
          <rPr>
            <b/>
            <sz val="9"/>
            <color indexed="81"/>
            <rFont val="Arial"/>
          </rPr>
          <t>Paul Elsen:</t>
        </r>
        <r>
          <rPr>
            <sz val="9"/>
            <color indexed="81"/>
            <rFont val="Arial"/>
          </rPr>
          <t xml:space="preserve">
treating each market as a plot, assuming each market is 10 x 10 m</t>
        </r>
      </text>
    </comment>
    <comment ref="J272" authorId="6">
      <text>
        <r>
          <rPr>
            <b/>
            <sz val="9"/>
            <color indexed="81"/>
            <rFont val="Arial"/>
          </rPr>
          <t>Paul Elsen:</t>
        </r>
        <r>
          <rPr>
            <sz val="9"/>
            <color indexed="81"/>
            <rFont val="Arial"/>
          </rPr>
          <t xml:space="preserve">
total number of site-days given as 7594 so 7594/89 sites</t>
        </r>
      </text>
    </comment>
    <comment ref="L272" authorId="6">
      <text>
        <r>
          <rPr>
            <b/>
            <sz val="9"/>
            <color indexed="81"/>
            <rFont val="Arial"/>
          </rPr>
          <t>Paul Elsen:</t>
        </r>
        <r>
          <rPr>
            <sz val="9"/>
            <color indexed="81"/>
            <rFont val="Arial"/>
          </rPr>
          <t xml:space="preserve">
&gt; study span because many observers collecting market data simultaneously</t>
        </r>
      </text>
    </comment>
    <comment ref="M272" authorId="6">
      <text>
        <r>
          <rPr>
            <b/>
            <sz val="9"/>
            <color indexed="81"/>
            <rFont val="Arial"/>
          </rPr>
          <t>Paul Elsen:</t>
        </r>
        <r>
          <rPr>
            <sz val="9"/>
            <color indexed="81"/>
            <rFont val="Arial"/>
          </rPr>
          <t xml:space="preserve">
Aug 2002 - Jan 2003</t>
        </r>
      </text>
    </comment>
    <comment ref="G283" authorId="6">
      <text>
        <r>
          <rPr>
            <b/>
            <sz val="9"/>
            <color indexed="81"/>
            <rFont val="Arial"/>
          </rPr>
          <t>Paul Elsen:</t>
        </r>
        <r>
          <rPr>
            <sz val="9"/>
            <color indexed="81"/>
            <rFont val="Arial"/>
          </rPr>
          <t xml:space="preserve">
assume 20, 2 inch diameter wheat shoots were sampled</t>
        </r>
      </text>
    </comment>
    <comment ref="J283" authorId="6">
      <text>
        <r>
          <rPr>
            <b/>
            <sz val="9"/>
            <color indexed="81"/>
            <rFont val="Arial"/>
          </rPr>
          <t>Paul Elsen:</t>
        </r>
        <r>
          <rPr>
            <sz val="9"/>
            <color indexed="81"/>
            <rFont val="Arial"/>
          </rPr>
          <t xml:space="preserve">
assuming it takes 5 minutes to sample</t>
        </r>
      </text>
    </comment>
    <comment ref="G284" authorId="6">
      <text>
        <r>
          <rPr>
            <b/>
            <sz val="9"/>
            <color indexed="81"/>
            <rFont val="Arial"/>
          </rPr>
          <t>Paul Elsen:</t>
        </r>
        <r>
          <rPr>
            <sz val="9"/>
            <color indexed="81"/>
            <rFont val="Arial"/>
          </rPr>
          <t xml:space="preserve">
according to the Atlas they wanted &gt;= 25 point counts per 100km2 grid cell, so assumed 25. Although the point counts are unlimited radius, they divide observations between &lt;100 m and &gt;100 m so I took the radius to be 100 m</t>
        </r>
      </text>
    </comment>
    <comment ref="J284" authorId="6">
      <text>
        <r>
          <rPr>
            <b/>
            <sz val="9"/>
            <color indexed="81"/>
            <rFont val="Arial"/>
          </rPr>
          <t>Paul Elsen:</t>
        </r>
        <r>
          <rPr>
            <sz val="9"/>
            <color indexed="81"/>
            <rFont val="Arial"/>
          </rPr>
          <t xml:space="preserve">
5 minute point counts</t>
        </r>
      </text>
    </comment>
    <comment ref="K284" authorId="6">
      <text>
        <r>
          <rPr>
            <b/>
            <sz val="9"/>
            <color indexed="81"/>
            <rFont val="Arial"/>
          </rPr>
          <t>Paul Elsen:</t>
        </r>
        <r>
          <rPr>
            <sz val="9"/>
            <color indexed="81"/>
            <rFont val="Arial"/>
          </rPr>
          <t xml:space="preserve">
assuming 12 minutes between each point count as Atlas says all 25 counts should be completed within 5 hours</t>
        </r>
      </text>
    </comment>
    <comment ref="M284" authorId="6">
      <text>
        <r>
          <rPr>
            <b/>
            <sz val="9"/>
            <color indexed="81"/>
            <rFont val="Arial"/>
          </rPr>
          <t>Paul Elsen:</t>
        </r>
        <r>
          <rPr>
            <sz val="9"/>
            <color indexed="81"/>
            <rFont val="Arial"/>
          </rPr>
          <t xml:space="preserve">
Bird surveys done from 24 May to 10 July 2005</t>
        </r>
      </text>
    </comment>
    <comment ref="G285" authorId="6">
      <text>
        <r>
          <rPr>
            <b/>
            <sz val="9"/>
            <color indexed="81"/>
            <rFont val="Arial"/>
          </rPr>
          <t>Paul Elsen:</t>
        </r>
        <r>
          <rPr>
            <sz val="9"/>
            <color indexed="81"/>
            <rFont val="Arial"/>
          </rPr>
          <t xml:space="preserve">
Landsat TM = 30 x 30 m</t>
        </r>
      </text>
    </comment>
    <comment ref="H285" authorId="6">
      <text>
        <r>
          <rPr>
            <b/>
            <sz val="9"/>
            <color indexed="81"/>
            <rFont val="Arial"/>
          </rPr>
          <t>Paul Elsen:</t>
        </r>
        <r>
          <rPr>
            <sz val="9"/>
            <color indexed="81"/>
            <rFont val="Arial"/>
          </rPr>
          <t xml:space="preserve">
covered 993 10 x 10 km2 grid cells with Landsat Data</t>
        </r>
      </text>
    </comment>
    <comment ref="J285" authorId="6">
      <text>
        <r>
          <rPr>
            <b/>
            <sz val="9"/>
            <color indexed="81"/>
            <rFont val="Arial"/>
          </rPr>
          <t>Paul Elsen:</t>
        </r>
        <r>
          <rPr>
            <sz val="9"/>
            <color indexed="81"/>
            <rFont val="Arial"/>
          </rPr>
          <t xml:space="preserve">
assuming instantaneous (1 second) sampling</t>
        </r>
      </text>
    </comment>
    <comment ref="K285" authorId="6">
      <text>
        <r>
          <rPr>
            <b/>
            <sz val="9"/>
            <color indexed="81"/>
            <rFont val="Arial"/>
          </rPr>
          <t>Paul Elsen:</t>
        </r>
        <r>
          <rPr>
            <sz val="9"/>
            <color indexed="81"/>
            <rFont val="Arial"/>
          </rPr>
          <t xml:space="preserve">
assume they took the Landsat data on same date each year</t>
        </r>
      </text>
    </comment>
    <comment ref="L285" authorId="6">
      <text>
        <r>
          <rPr>
            <b/>
            <sz val="9"/>
            <color indexed="81"/>
            <rFont val="Arial"/>
          </rPr>
          <t>Paul Elsen:</t>
        </r>
        <r>
          <rPr>
            <sz val="9"/>
            <color indexed="81"/>
            <rFont val="Arial"/>
          </rPr>
          <t xml:space="preserve">
assume token 1 day</t>
        </r>
      </text>
    </comment>
    <comment ref="M285" authorId="6">
      <text>
        <r>
          <rPr>
            <b/>
            <sz val="9"/>
            <color indexed="81"/>
            <rFont val="Arial"/>
          </rPr>
          <t>Paul Elsen:</t>
        </r>
        <r>
          <rPr>
            <sz val="9"/>
            <color indexed="81"/>
            <rFont val="Arial"/>
          </rPr>
          <t xml:space="preserve">
Landsat TM data from 1999-2003</t>
        </r>
      </text>
    </comment>
    <comment ref="H286" authorId="6">
      <text>
        <r>
          <rPr>
            <b/>
            <sz val="9"/>
            <color indexed="81"/>
            <rFont val="Arial"/>
          </rPr>
          <t>Paul Elsen:</t>
        </r>
        <r>
          <rPr>
            <sz val="9"/>
            <color indexed="81"/>
            <rFont val="Arial"/>
          </rPr>
          <t xml:space="preserve">
covered 993 10 x 10 km2 grid cells with Landsat Data</t>
        </r>
      </text>
    </comment>
    <comment ref="J286" authorId="6">
      <text>
        <r>
          <rPr>
            <b/>
            <sz val="9"/>
            <color indexed="81"/>
            <rFont val="Arial"/>
          </rPr>
          <t>Paul Elsen:</t>
        </r>
        <r>
          <rPr>
            <sz val="9"/>
            <color indexed="81"/>
            <rFont val="Arial"/>
          </rPr>
          <t xml:space="preserve">
assuming instantaneous (1 second) sampling</t>
        </r>
      </text>
    </comment>
    <comment ref="L286" authorId="6">
      <text>
        <r>
          <rPr>
            <b/>
            <sz val="9"/>
            <color indexed="81"/>
            <rFont val="Arial"/>
          </rPr>
          <t>Paul Elsen:</t>
        </r>
        <r>
          <rPr>
            <sz val="9"/>
            <color indexed="81"/>
            <rFont val="Arial"/>
          </rPr>
          <t xml:space="preserve">
assume token 1 day</t>
        </r>
      </text>
    </comment>
    <comment ref="M286" authorId="6">
      <text>
        <r>
          <rPr>
            <b/>
            <sz val="9"/>
            <color indexed="81"/>
            <rFont val="Arial"/>
          </rPr>
          <t>Paul Elsen:</t>
        </r>
        <r>
          <rPr>
            <sz val="9"/>
            <color indexed="81"/>
            <rFont val="Arial"/>
          </rPr>
          <t xml:space="preserve">
assume token 1 day</t>
        </r>
      </text>
    </comment>
    <comment ref="G287" authorId="6">
      <text>
        <r>
          <rPr>
            <b/>
            <sz val="9"/>
            <color indexed="81"/>
            <rFont val="Arial"/>
          </rPr>
          <t>Paul Elsen:</t>
        </r>
        <r>
          <rPr>
            <sz val="9"/>
            <color indexed="81"/>
            <rFont val="Arial"/>
          </rPr>
          <t xml:space="preserve">
Landsat TM = 30 x 30 m</t>
        </r>
      </text>
    </comment>
    <comment ref="H287" authorId="6">
      <text>
        <r>
          <rPr>
            <b/>
            <sz val="9"/>
            <color indexed="81"/>
            <rFont val="Arial"/>
          </rPr>
          <t>Paul Elsen:</t>
        </r>
        <r>
          <rPr>
            <sz val="9"/>
            <color indexed="81"/>
            <rFont val="Arial"/>
          </rPr>
          <t xml:space="preserve">
covered 993 10 x 10 km2 grid cells with Landsat Data</t>
        </r>
      </text>
    </comment>
    <comment ref="J287" authorId="6">
      <text>
        <r>
          <rPr>
            <b/>
            <sz val="9"/>
            <color indexed="81"/>
            <rFont val="Arial"/>
          </rPr>
          <t>Paul Elsen:</t>
        </r>
        <r>
          <rPr>
            <sz val="9"/>
            <color indexed="81"/>
            <rFont val="Arial"/>
          </rPr>
          <t xml:space="preserve">
assuming instantaneous (1 second) sampling</t>
        </r>
      </text>
    </comment>
    <comment ref="L287" authorId="6">
      <text>
        <r>
          <rPr>
            <b/>
            <sz val="9"/>
            <color indexed="81"/>
            <rFont val="Arial"/>
          </rPr>
          <t>Paul Elsen:</t>
        </r>
        <r>
          <rPr>
            <sz val="9"/>
            <color indexed="81"/>
            <rFont val="Arial"/>
          </rPr>
          <t xml:space="preserve">
assume token 1 day</t>
        </r>
      </text>
    </comment>
    <comment ref="M287" authorId="6">
      <text>
        <r>
          <rPr>
            <b/>
            <sz val="9"/>
            <color indexed="81"/>
            <rFont val="Arial"/>
          </rPr>
          <t>Paul Elsen:</t>
        </r>
        <r>
          <rPr>
            <sz val="9"/>
            <color indexed="81"/>
            <rFont val="Arial"/>
          </rPr>
          <t xml:space="preserve">
assume token 1 day</t>
        </r>
      </text>
    </comment>
    <comment ref="G292" authorId="6">
      <text>
        <r>
          <rPr>
            <b/>
            <sz val="9"/>
            <color indexed="81"/>
            <rFont val="Arial"/>
          </rPr>
          <t>Paul Elsen:</t>
        </r>
        <r>
          <rPr>
            <sz val="9"/>
            <color indexed="81"/>
            <rFont val="Arial"/>
          </rPr>
          <t xml:space="preserve">
at least 8 (assumed exactly 8) samples in 2 km x 2 km quadrats</t>
        </r>
      </text>
    </comment>
    <comment ref="J292" authorId="6">
      <text>
        <r>
          <rPr>
            <b/>
            <sz val="9"/>
            <color indexed="81"/>
            <rFont val="Arial"/>
          </rPr>
          <t>Paul Elsen:</t>
        </r>
        <r>
          <rPr>
            <sz val="9"/>
            <color indexed="81"/>
            <rFont val="Arial"/>
          </rPr>
          <t xml:space="preserve">
2 hours of surveying per site</t>
        </r>
      </text>
    </comment>
    <comment ref="K292" authorId="6">
      <text>
        <r>
          <rPr>
            <b/>
            <sz val="9"/>
            <color indexed="81"/>
            <rFont val="Arial"/>
          </rPr>
          <t>Paul Elsen:</t>
        </r>
        <r>
          <rPr>
            <sz val="9"/>
            <color indexed="81"/>
            <rFont val="Arial"/>
          </rPr>
          <t xml:space="preserve">
bird surveys spaced out at least 4 weeks, so assume 28 days</t>
        </r>
      </text>
    </comment>
    <comment ref="L292" authorId="6">
      <text>
        <r>
          <rPr>
            <b/>
            <sz val="9"/>
            <color indexed="81"/>
            <rFont val="Arial"/>
          </rPr>
          <t>Paul Elsen:</t>
        </r>
        <r>
          <rPr>
            <sz val="9"/>
            <color indexed="81"/>
            <rFont val="Arial"/>
          </rPr>
          <t xml:space="preserve">
2 hour duration to at least 8 point count stations</t>
        </r>
      </text>
    </comment>
    <comment ref="M292" authorId="6">
      <text>
        <r>
          <rPr>
            <b/>
            <sz val="9"/>
            <color indexed="81"/>
            <rFont val="Arial"/>
          </rPr>
          <t>Paul Elsen:</t>
        </r>
        <r>
          <rPr>
            <sz val="9"/>
            <color indexed="81"/>
            <rFont val="Arial"/>
          </rPr>
          <t xml:space="preserve">
Bird surveys during April - July 1988-91</t>
        </r>
      </text>
    </comment>
    <comment ref="G293" authorId="6">
      <text>
        <r>
          <rPr>
            <b/>
            <sz val="9"/>
            <color indexed="81"/>
            <rFont val="Arial"/>
          </rPr>
          <t>Paul Elsen:</t>
        </r>
        <r>
          <rPr>
            <sz val="9"/>
            <color indexed="81"/>
            <rFont val="Arial"/>
          </rPr>
          <t xml:space="preserve">
38254 UK enumeration districts in 1991. Total land area of UK is 94058 square miles</t>
        </r>
      </text>
    </comment>
    <comment ref="J293" authorId="6">
      <text>
        <r>
          <rPr>
            <b/>
            <sz val="9"/>
            <color indexed="81"/>
            <rFont val="Arial"/>
          </rPr>
          <t>Paul Elsen:</t>
        </r>
        <r>
          <rPr>
            <sz val="9"/>
            <color indexed="81"/>
            <rFont val="Arial"/>
          </rPr>
          <t xml:space="preserve">
assume census took place on one day</t>
        </r>
      </text>
    </comment>
    <comment ref="M293" authorId="6">
      <text>
        <r>
          <rPr>
            <b/>
            <sz val="9"/>
            <color indexed="81"/>
            <rFont val="Arial"/>
          </rPr>
          <t>Paul Elsen:</t>
        </r>
        <r>
          <rPr>
            <sz val="9"/>
            <color indexed="81"/>
            <rFont val="Arial"/>
          </rPr>
          <t xml:space="preserve">
assume token 1 day</t>
        </r>
      </text>
    </comment>
    <comment ref="G294" authorId="6">
      <text>
        <r>
          <rPr>
            <b/>
            <sz val="9"/>
            <color indexed="81"/>
            <rFont val="Arial"/>
          </rPr>
          <t>Paul Elsen:</t>
        </r>
        <r>
          <rPr>
            <sz val="9"/>
            <color indexed="81"/>
            <rFont val="Arial"/>
          </rPr>
          <t xml:space="preserve">
assume weather station is .5 m radius instrument</t>
        </r>
      </text>
    </comment>
    <comment ref="H294" authorId="6">
      <text>
        <r>
          <rPr>
            <b/>
            <sz val="9"/>
            <color indexed="81"/>
            <rFont val="Arial"/>
          </rPr>
          <t>Paul Elsen:</t>
        </r>
        <r>
          <rPr>
            <sz val="9"/>
            <color indexed="81"/>
            <rFont val="Arial"/>
          </rPr>
          <t xml:space="preserve">
270 weather stations distributed across the UK</t>
        </r>
      </text>
    </comment>
    <comment ref="J294" authorId="6">
      <text>
        <r>
          <rPr>
            <b/>
            <sz val="9"/>
            <color indexed="81"/>
            <rFont val="Arial"/>
          </rPr>
          <t>Paul Elsen:</t>
        </r>
        <r>
          <rPr>
            <sz val="9"/>
            <color indexed="81"/>
            <rFont val="Arial"/>
          </rPr>
          <t xml:space="preserve">
assuming instantaneous (1 second) sampling</t>
        </r>
      </text>
    </comment>
    <comment ref="L294" authorId="6">
      <text>
        <r>
          <rPr>
            <b/>
            <sz val="9"/>
            <color indexed="81"/>
            <rFont val="Arial"/>
          </rPr>
          <t>Paul Elsen:</t>
        </r>
        <r>
          <rPr>
            <sz val="9"/>
            <color indexed="81"/>
            <rFont val="Arial"/>
          </rPr>
          <t xml:space="preserve">
mean monthly temperature for May, June, and July from 1961-1990</t>
        </r>
      </text>
    </comment>
    <comment ref="M294" authorId="6">
      <text>
        <r>
          <rPr>
            <b/>
            <sz val="9"/>
            <color indexed="81"/>
            <rFont val="Arial"/>
          </rPr>
          <t>Paul Elsen:</t>
        </r>
        <r>
          <rPr>
            <sz val="9"/>
            <color indexed="81"/>
            <rFont val="Arial"/>
          </rPr>
          <t xml:space="preserve">
temperature data collected from 1961-90</t>
        </r>
      </text>
    </comment>
    <comment ref="G301" authorId="6">
      <text>
        <r>
          <rPr>
            <b/>
            <sz val="9"/>
            <color indexed="81"/>
            <rFont val="Arial"/>
          </rPr>
          <t>Paul Elsen:</t>
        </r>
        <r>
          <rPr>
            <sz val="9"/>
            <color indexed="81"/>
            <rFont val="Arial"/>
          </rPr>
          <t xml:space="preserve">
196 plots were 1 x 2 m, then at another site there are two large censuses of 273 m2 and 45 m2, so took the average of all</t>
        </r>
      </text>
    </comment>
    <comment ref="M301" authorId="6">
      <text>
        <r>
          <rPr>
            <b/>
            <sz val="9"/>
            <color indexed="81"/>
            <rFont val="Arial"/>
          </rPr>
          <t>Paul Elsen:</t>
        </r>
        <r>
          <rPr>
            <sz val="9"/>
            <color indexed="81"/>
            <rFont val="Arial"/>
          </rPr>
          <t xml:space="preserve">
study from Feb 1997 to Feb 2006</t>
        </r>
      </text>
    </comment>
    <comment ref="G302" authorId="6">
      <text>
        <r>
          <rPr>
            <b/>
            <sz val="9"/>
            <color indexed="81"/>
            <rFont val="Arial"/>
          </rPr>
          <t>Paul Elsen:</t>
        </r>
        <r>
          <rPr>
            <sz val="9"/>
            <color indexed="81"/>
            <rFont val="Arial"/>
          </rPr>
          <t xml:space="preserve">
196 plots were 1 x 2 m, then at another site there are two large censuses of 273 m2 and 45 m2, so took the average of all</t>
        </r>
      </text>
    </comment>
    <comment ref="M302" authorId="6">
      <text>
        <r>
          <rPr>
            <b/>
            <sz val="9"/>
            <color indexed="81"/>
            <rFont val="Arial"/>
          </rPr>
          <t>Paul Elsen:</t>
        </r>
        <r>
          <rPr>
            <sz val="9"/>
            <color indexed="81"/>
            <rFont val="Arial"/>
          </rPr>
          <t xml:space="preserve">
study from Aug 1997 to Aug 2006</t>
        </r>
      </text>
    </comment>
    <comment ref="G303" authorId="6">
      <text>
        <r>
          <rPr>
            <b/>
            <sz val="9"/>
            <color indexed="81"/>
            <rFont val="Arial"/>
          </rPr>
          <t>Paul Elsen:</t>
        </r>
        <r>
          <rPr>
            <sz val="9"/>
            <color indexed="81"/>
            <rFont val="Arial"/>
          </rPr>
          <t xml:space="preserve">
196 plots were 1 x 2 m, then at another site there are two large censuses of 273 m2 and 45 m2, so took the average of all</t>
        </r>
      </text>
    </comment>
    <comment ref="M303" authorId="6">
      <text>
        <r>
          <rPr>
            <b/>
            <sz val="9"/>
            <color indexed="81"/>
            <rFont val="Arial"/>
          </rPr>
          <t>Paul Elsen:</t>
        </r>
        <r>
          <rPr>
            <sz val="9"/>
            <color indexed="81"/>
            <rFont val="Arial"/>
          </rPr>
          <t xml:space="preserve">
study from 1994-2000</t>
        </r>
      </text>
    </comment>
    <comment ref="G304" authorId="6">
      <text>
        <r>
          <rPr>
            <b/>
            <sz val="9"/>
            <color indexed="81"/>
            <rFont val="Arial"/>
          </rPr>
          <t>Paul Elsen:</t>
        </r>
        <r>
          <rPr>
            <sz val="9"/>
            <color indexed="81"/>
            <rFont val="Arial"/>
          </rPr>
          <t xml:space="preserve">
here the plot size is the plant, authors state &lt;50 cm tall so assumed 40 cm tall x 5 cm wide</t>
        </r>
      </text>
    </comment>
    <comment ref="M304" authorId="6">
      <text>
        <r>
          <rPr>
            <b/>
            <sz val="9"/>
            <color indexed="81"/>
            <rFont val="Arial"/>
          </rPr>
          <t>Paul Elsen:</t>
        </r>
        <r>
          <rPr>
            <sz val="9"/>
            <color indexed="81"/>
            <rFont val="Arial"/>
          </rPr>
          <t xml:space="preserve">
study from 1995-1998</t>
        </r>
      </text>
    </comment>
    <comment ref="G317" authorId="6">
      <text>
        <r>
          <rPr>
            <b/>
            <sz val="9"/>
            <color indexed="81"/>
            <rFont val="Arial"/>
          </rPr>
          <t>Paul Elsen:</t>
        </r>
        <r>
          <rPr>
            <sz val="9"/>
            <color indexed="81"/>
            <rFont val="Arial"/>
          </rPr>
          <t xml:space="preserve">
plot size is variable and is the cushion, with females averaging 1219.7 cm2 and hermaphrodites averaging 877 cm2</t>
        </r>
      </text>
    </comment>
    <comment ref="J317" authorId="6">
      <text>
        <r>
          <rPr>
            <b/>
            <sz val="9"/>
            <color indexed="81"/>
            <rFont val="Arial"/>
          </rPr>
          <t>Paul Elsen:</t>
        </r>
        <r>
          <rPr>
            <sz val="9"/>
            <color indexed="81"/>
            <rFont val="Arial"/>
          </rPr>
          <t xml:space="preserve">
60 days of study, 160 plots</t>
        </r>
      </text>
    </comment>
    <comment ref="G318" authorId="6">
      <text>
        <r>
          <rPr>
            <b/>
            <sz val="9"/>
            <color indexed="81"/>
            <rFont val="Arial"/>
          </rPr>
          <t>Paul Elsen:</t>
        </r>
        <r>
          <rPr>
            <sz val="9"/>
            <color indexed="81"/>
            <rFont val="Arial"/>
          </rPr>
          <t xml:space="preserve">
plot size is variable and is the cushion, with females averaging 1219.7 cm2 and hermaphrodites averaging 877 cm2; here there are also 80 control plots, so assuming they have the average plot size</t>
        </r>
      </text>
    </comment>
    <comment ref="H318" authorId="6">
      <text>
        <r>
          <rPr>
            <b/>
            <sz val="9"/>
            <color indexed="81"/>
            <rFont val="Arial"/>
          </rPr>
          <t>Paul Elsen:</t>
        </r>
        <r>
          <rPr>
            <sz val="9"/>
            <color indexed="81"/>
            <rFont val="Arial"/>
          </rPr>
          <t xml:space="preserve">
includes 80 additional control plots</t>
        </r>
      </text>
    </comment>
    <comment ref="G319" authorId="6">
      <text>
        <r>
          <rPr>
            <b/>
            <sz val="9"/>
            <color indexed="81"/>
            <rFont val="Arial"/>
          </rPr>
          <t>Paul Elsen:</t>
        </r>
        <r>
          <rPr>
            <sz val="9"/>
            <color indexed="81"/>
            <rFont val="Arial"/>
          </rPr>
          <t xml:space="preserve">
plot size is variable and is the cushion, with females averaging 1219.7 cm2 and hermaphrodites averaging 877 cm2</t>
        </r>
      </text>
    </comment>
    <comment ref="H319" authorId="6">
      <text>
        <r>
          <rPr>
            <b/>
            <sz val="9"/>
            <color indexed="81"/>
            <rFont val="Arial"/>
          </rPr>
          <t>Paul Elsen:</t>
        </r>
        <r>
          <rPr>
            <sz val="9"/>
            <color indexed="81"/>
            <rFont val="Arial"/>
          </rPr>
          <t xml:space="preserve">
16 females and 16 hermaphrodites at two locations</t>
        </r>
      </text>
    </comment>
    <comment ref="J319" authorId="6">
      <text>
        <r>
          <rPr>
            <b/>
            <sz val="9"/>
            <color indexed="81"/>
            <rFont val="Arial"/>
          </rPr>
          <t>Paul Elsen:</t>
        </r>
        <r>
          <rPr>
            <sz val="9"/>
            <color indexed="81"/>
            <rFont val="Arial"/>
          </rPr>
          <t xml:space="preserve">
all samples taken on Aug 10 2010</t>
        </r>
      </text>
    </comment>
    <comment ref="G320" authorId="6">
      <text>
        <r>
          <rPr>
            <b/>
            <sz val="9"/>
            <color indexed="81"/>
            <rFont val="Arial"/>
          </rPr>
          <t>Paul Elsen:</t>
        </r>
        <r>
          <rPr>
            <sz val="9"/>
            <color indexed="81"/>
            <rFont val="Arial"/>
          </rPr>
          <t xml:space="preserve">
assume leaf is 1 cm x .5 cm; 20 leaves</t>
        </r>
      </text>
    </comment>
    <comment ref="J320" authorId="6">
      <text>
        <r>
          <rPr>
            <b/>
            <sz val="9"/>
            <color indexed="81"/>
            <rFont val="Arial"/>
          </rPr>
          <t>Paul Elsen:</t>
        </r>
        <r>
          <rPr>
            <sz val="9"/>
            <color indexed="81"/>
            <rFont val="Arial"/>
          </rPr>
          <t xml:space="preserve">
all samples taken on Aug 10 2010</t>
        </r>
      </text>
    </comment>
    <comment ref="G321" authorId="6">
      <text>
        <r>
          <rPr>
            <b/>
            <sz val="9"/>
            <color indexed="81"/>
            <rFont val="Arial"/>
          </rPr>
          <t>Paul Elsen:</t>
        </r>
        <r>
          <rPr>
            <sz val="9"/>
            <color indexed="81"/>
            <rFont val="Arial"/>
          </rPr>
          <t xml:space="preserve">
assume fruit size is 2 cm x 2 cm; 3 fruits per cushion</t>
        </r>
      </text>
    </comment>
    <comment ref="J321" authorId="6">
      <text>
        <r>
          <rPr>
            <b/>
            <sz val="9"/>
            <color indexed="81"/>
            <rFont val="Arial"/>
          </rPr>
          <t>Paul Elsen:</t>
        </r>
        <r>
          <rPr>
            <sz val="9"/>
            <color indexed="81"/>
            <rFont val="Arial"/>
          </rPr>
          <t xml:space="preserve">
all samples taken on Aug 10 2010</t>
        </r>
      </text>
    </comment>
    <comment ref="G322" authorId="6">
      <text>
        <r>
          <rPr>
            <b/>
            <sz val="9"/>
            <color indexed="81"/>
            <rFont val="Arial"/>
          </rPr>
          <t>Paul Elsen:</t>
        </r>
        <r>
          <rPr>
            <sz val="9"/>
            <color indexed="81"/>
            <rFont val="Arial"/>
          </rPr>
          <t xml:space="preserve">
ibuttons are 16 mm diameter</t>
        </r>
      </text>
    </comment>
    <comment ref="J322" authorId="6">
      <text>
        <r>
          <rPr>
            <b/>
            <sz val="9"/>
            <color indexed="81"/>
            <rFont val="Arial"/>
          </rPr>
          <t>Paul Elsen:</t>
        </r>
        <r>
          <rPr>
            <sz val="9"/>
            <color indexed="81"/>
            <rFont val="Arial"/>
          </rPr>
          <t xml:space="preserve">
assuming instantaneous (1 second) sampling</t>
        </r>
      </text>
    </comment>
    <comment ref="K322" authorId="6">
      <text>
        <r>
          <rPr>
            <b/>
            <sz val="9"/>
            <color indexed="81"/>
            <rFont val="Arial"/>
          </rPr>
          <t>Paul Elsen:</t>
        </r>
        <r>
          <rPr>
            <sz val="9"/>
            <color indexed="81"/>
            <rFont val="Arial"/>
          </rPr>
          <t xml:space="preserve">
assume 5 minute automated recording interval</t>
        </r>
      </text>
    </comment>
    <comment ref="L322" authorId="6">
      <text>
        <r>
          <rPr>
            <b/>
            <sz val="9"/>
            <color indexed="81"/>
            <rFont val="Arial"/>
          </rPr>
          <t>Paul Elsen:</t>
        </r>
        <r>
          <rPr>
            <sz val="9"/>
            <color indexed="81"/>
            <rFont val="Arial"/>
          </rPr>
          <t xml:space="preserve">
12 recordings an hour for 24 hours for 60 days</t>
        </r>
      </text>
    </comment>
    <comment ref="G329" authorId="6">
      <text>
        <r>
          <rPr>
            <b/>
            <sz val="9"/>
            <color indexed="81"/>
            <rFont val="Arial"/>
          </rPr>
          <t>Paul Elsen:</t>
        </r>
        <r>
          <rPr>
            <sz val="9"/>
            <color indexed="81"/>
            <rFont val="Arial"/>
          </rPr>
          <t xml:space="preserve">
Niskin sampler sensor has 48.3 mm diameter</t>
        </r>
      </text>
    </comment>
    <comment ref="J329" authorId="6">
      <text>
        <r>
          <rPr>
            <b/>
            <sz val="9"/>
            <color indexed="81"/>
            <rFont val="Arial"/>
          </rPr>
          <t>Paul Elsen:</t>
        </r>
        <r>
          <rPr>
            <sz val="9"/>
            <color indexed="81"/>
            <rFont val="Arial"/>
          </rPr>
          <t xml:space="preserve">
assuming instantaneous (1 second) sampling</t>
        </r>
      </text>
    </comment>
    <comment ref="K329" authorId="6">
      <text>
        <r>
          <rPr>
            <b/>
            <sz val="9"/>
            <color indexed="81"/>
            <rFont val="Arial"/>
          </rPr>
          <t>Paul Elsen:</t>
        </r>
        <r>
          <rPr>
            <sz val="9"/>
            <color indexed="81"/>
            <rFont val="Arial"/>
          </rPr>
          <t xml:space="preserve">
no info given, but there are 14 recordings shown in a plot over 450 days so 450/14 ~ 32</t>
        </r>
      </text>
    </comment>
    <comment ref="M329" authorId="6">
      <text>
        <r>
          <rPr>
            <b/>
            <sz val="9"/>
            <color indexed="81"/>
            <rFont val="Arial"/>
          </rPr>
          <t>Paul Elsen:</t>
        </r>
        <r>
          <rPr>
            <sz val="9"/>
            <color indexed="81"/>
            <rFont val="Arial"/>
          </rPr>
          <t xml:space="preserve">
assume two year study; paper states "collected during 2002 and 2003"</t>
        </r>
      </text>
    </comment>
    <comment ref="G330" authorId="6">
      <text>
        <r>
          <rPr>
            <b/>
            <sz val="9"/>
            <color indexed="81"/>
            <rFont val="Arial"/>
          </rPr>
          <t>Paul Elsen:</t>
        </r>
        <r>
          <rPr>
            <sz val="9"/>
            <color indexed="81"/>
            <rFont val="Arial"/>
          </rPr>
          <t xml:space="preserve">
SeaBird SBE-9 sensor is 33 cm diameter</t>
        </r>
      </text>
    </comment>
    <comment ref="J330" authorId="6">
      <text>
        <r>
          <rPr>
            <b/>
            <sz val="9"/>
            <color indexed="81"/>
            <rFont val="Arial"/>
          </rPr>
          <t>Paul Elsen:</t>
        </r>
        <r>
          <rPr>
            <sz val="9"/>
            <color indexed="81"/>
            <rFont val="Arial"/>
          </rPr>
          <t xml:space="preserve">
assuming instantaneous (1 second) sampling</t>
        </r>
      </text>
    </comment>
    <comment ref="K330" authorId="6">
      <text>
        <r>
          <rPr>
            <b/>
            <sz val="9"/>
            <color indexed="81"/>
            <rFont val="Arial"/>
          </rPr>
          <t>Paul Elsen:</t>
        </r>
        <r>
          <rPr>
            <sz val="9"/>
            <color indexed="81"/>
            <rFont val="Arial"/>
          </rPr>
          <t xml:space="preserve">
no info given, but there are 14 recordings shown in a plot over 450 days so 450/14 ~ 32</t>
        </r>
      </text>
    </comment>
    <comment ref="M330" authorId="6">
      <text>
        <r>
          <rPr>
            <b/>
            <sz val="9"/>
            <color indexed="81"/>
            <rFont val="Arial"/>
          </rPr>
          <t>Paul Elsen:</t>
        </r>
        <r>
          <rPr>
            <sz val="9"/>
            <color indexed="81"/>
            <rFont val="Arial"/>
          </rPr>
          <t xml:space="preserve">
assume two year study; paper states "collected during 2002 and 2003"</t>
        </r>
      </text>
    </comment>
    <comment ref="G331" authorId="6">
      <text>
        <r>
          <rPr>
            <b/>
            <sz val="9"/>
            <color indexed="81"/>
            <rFont val="Arial"/>
          </rPr>
          <t>Paul Elsen:</t>
        </r>
        <r>
          <rPr>
            <sz val="9"/>
            <color indexed="81"/>
            <rFont val="Arial"/>
          </rPr>
          <t xml:space="preserve">
CARIOCA buoy sensor is 0.2 m diameter</t>
        </r>
      </text>
    </comment>
    <comment ref="J331" authorId="6">
      <text>
        <r>
          <rPr>
            <b/>
            <sz val="9"/>
            <color indexed="81"/>
            <rFont val="Arial"/>
          </rPr>
          <t>Paul Elsen:</t>
        </r>
        <r>
          <rPr>
            <sz val="9"/>
            <color indexed="81"/>
            <rFont val="Arial"/>
          </rPr>
          <t xml:space="preserve">
assuming instantaneous (1 second) sampling</t>
        </r>
      </text>
    </comment>
    <comment ref="K331" authorId="6">
      <text>
        <r>
          <rPr>
            <b/>
            <sz val="9"/>
            <color indexed="81"/>
            <rFont val="Arial"/>
          </rPr>
          <t>Paul Elsen:</t>
        </r>
        <r>
          <rPr>
            <sz val="9"/>
            <color indexed="81"/>
            <rFont val="Arial"/>
          </rPr>
          <t xml:space="preserve">
hourly samples</t>
        </r>
      </text>
    </comment>
    <comment ref="M331" authorId="6">
      <text>
        <r>
          <rPr>
            <b/>
            <sz val="9"/>
            <color indexed="81"/>
            <rFont val="Arial"/>
          </rPr>
          <t>Paul Elsen:</t>
        </r>
        <r>
          <rPr>
            <sz val="9"/>
            <color indexed="81"/>
            <rFont val="Arial"/>
          </rPr>
          <t xml:space="preserve">
recording from 16 Oct 2002 to 28 Aug 2003, with gap from 20 Jan 2003 to 26 Apr 2003</t>
        </r>
      </text>
    </comment>
    <comment ref="G332" authorId="6">
      <text>
        <r>
          <rPr>
            <b/>
            <sz val="9"/>
            <color indexed="81"/>
            <rFont val="Arial"/>
          </rPr>
          <t>Paul Elsen:</t>
        </r>
        <r>
          <rPr>
            <sz val="9"/>
            <color indexed="81"/>
            <rFont val="Arial"/>
          </rPr>
          <t xml:space="preserve">
assumed 0.5 m radius of instrument sensor</t>
        </r>
      </text>
    </comment>
    <comment ref="J332" authorId="6">
      <text>
        <r>
          <rPr>
            <b/>
            <sz val="9"/>
            <color indexed="81"/>
            <rFont val="Arial"/>
          </rPr>
          <t>Paul Elsen:</t>
        </r>
        <r>
          <rPr>
            <sz val="9"/>
            <color indexed="81"/>
            <rFont val="Arial"/>
          </rPr>
          <t xml:space="preserve">
assuming instantaneous (1 second) sampling</t>
        </r>
      </text>
    </comment>
    <comment ref="K332" authorId="6">
      <text>
        <r>
          <rPr>
            <b/>
            <sz val="9"/>
            <color indexed="81"/>
            <rFont val="Arial"/>
          </rPr>
          <t>Paul Elsen:</t>
        </r>
        <r>
          <rPr>
            <sz val="9"/>
            <color indexed="81"/>
            <rFont val="Arial"/>
          </rPr>
          <t xml:space="preserve">
hourly samples</t>
        </r>
      </text>
    </comment>
    <comment ref="M332" authorId="6">
      <text>
        <r>
          <rPr>
            <b/>
            <sz val="9"/>
            <color indexed="81"/>
            <rFont val="Arial"/>
          </rPr>
          <t>Paul Elsen:</t>
        </r>
        <r>
          <rPr>
            <sz val="9"/>
            <color indexed="81"/>
            <rFont val="Arial"/>
          </rPr>
          <t xml:space="preserve">
assumed the data collected here matched time period for the overall study, though not explicitly stated</t>
        </r>
      </text>
    </comment>
    <comment ref="G333" authorId="6">
      <text>
        <r>
          <rPr>
            <b/>
            <sz val="9"/>
            <color indexed="81"/>
            <rFont val="Arial"/>
          </rPr>
          <t>Paul Elsen:</t>
        </r>
        <r>
          <rPr>
            <sz val="9"/>
            <color indexed="81"/>
            <rFont val="Arial"/>
          </rPr>
          <t xml:space="preserve">
D. labyrinthiformis colonies average 1-2 m diameters; 8 colonies per site</t>
        </r>
      </text>
    </comment>
    <comment ref="J333" authorId="6">
      <text>
        <r>
          <rPr>
            <b/>
            <sz val="9"/>
            <color indexed="81"/>
            <rFont val="Arial"/>
          </rPr>
          <t>Paul Elsen:</t>
        </r>
        <r>
          <rPr>
            <sz val="9"/>
            <color indexed="81"/>
            <rFont val="Arial"/>
          </rPr>
          <t xml:space="preserve">
assume it took one day to take all colonies within a site to the lab and weigh</t>
        </r>
      </text>
    </comment>
    <comment ref="K333" authorId="6">
      <text>
        <r>
          <rPr>
            <b/>
            <sz val="9"/>
            <color indexed="81"/>
            <rFont val="Arial"/>
          </rPr>
          <t>Paul Elsen:</t>
        </r>
        <r>
          <rPr>
            <sz val="9"/>
            <color indexed="81"/>
            <rFont val="Arial"/>
          </rPr>
          <t xml:space="preserve">
weighed every 3 months on average</t>
        </r>
      </text>
    </comment>
    <comment ref="M333" authorId="6">
      <text>
        <r>
          <rPr>
            <b/>
            <sz val="9"/>
            <color indexed="81"/>
            <rFont val="Arial"/>
          </rPr>
          <t>Paul Elsen:</t>
        </r>
        <r>
          <rPr>
            <sz val="9"/>
            <color indexed="81"/>
            <rFont val="Arial"/>
          </rPr>
          <t xml:space="preserve">
assumed the data collected here matched time period for the overall study, though not explicitly stated</t>
        </r>
      </text>
    </comment>
    <comment ref="G334" authorId="6">
      <text>
        <r>
          <rPr>
            <b/>
            <sz val="9"/>
            <color indexed="81"/>
            <rFont val="Arial"/>
          </rPr>
          <t>Paul Elsen:</t>
        </r>
        <r>
          <rPr>
            <sz val="9"/>
            <color indexed="81"/>
            <rFont val="Arial"/>
          </rPr>
          <t xml:space="preserve">
multiple corer has 6 cm diameter</t>
        </r>
      </text>
    </comment>
    <comment ref="J334" authorId="6">
      <text>
        <r>
          <rPr>
            <b/>
            <sz val="9"/>
            <color indexed="81"/>
            <rFont val="Arial"/>
          </rPr>
          <t>Paul Elsen:</t>
        </r>
        <r>
          <rPr>
            <sz val="9"/>
            <color indexed="81"/>
            <rFont val="Arial"/>
          </rPr>
          <t xml:space="preserve">
assume 1 minute to take a core sample</t>
        </r>
      </text>
    </comment>
    <comment ref="M334" authorId="6">
      <text>
        <r>
          <rPr>
            <b/>
            <sz val="9"/>
            <color indexed="81"/>
            <rFont val="Arial"/>
          </rPr>
          <t>Paul Elsen:</t>
        </r>
        <r>
          <rPr>
            <sz val="9"/>
            <color indexed="81"/>
            <rFont val="Arial"/>
          </rPr>
          <t xml:space="preserve">
January 2009</t>
        </r>
      </text>
    </comment>
    <comment ref="G335" authorId="6">
      <text>
        <r>
          <rPr>
            <b/>
            <sz val="9"/>
            <color indexed="81"/>
            <rFont val="Arial"/>
          </rPr>
          <t>Paul Elsen:</t>
        </r>
        <r>
          <rPr>
            <sz val="9"/>
            <color indexed="81"/>
            <rFont val="Arial"/>
          </rPr>
          <t xml:space="preserve">
SeaBird SBE-43 sensor has 13 mm diameter</t>
        </r>
      </text>
    </comment>
    <comment ref="J335" authorId="6">
      <text>
        <r>
          <rPr>
            <b/>
            <sz val="9"/>
            <color indexed="81"/>
            <rFont val="Arial"/>
          </rPr>
          <t>Paul Elsen:</t>
        </r>
        <r>
          <rPr>
            <sz val="9"/>
            <color indexed="81"/>
            <rFont val="Arial"/>
          </rPr>
          <t xml:space="preserve">
assuming instantaneous (1 second) sampling</t>
        </r>
      </text>
    </comment>
    <comment ref="M335" authorId="6">
      <text>
        <r>
          <rPr>
            <b/>
            <sz val="9"/>
            <color indexed="81"/>
            <rFont val="Arial"/>
          </rPr>
          <t>Paul Elsen:</t>
        </r>
        <r>
          <rPr>
            <sz val="9"/>
            <color indexed="81"/>
            <rFont val="Arial"/>
          </rPr>
          <t xml:space="preserve">
January 2009</t>
        </r>
      </text>
    </comment>
    <comment ref="G340" authorId="6">
      <text>
        <r>
          <rPr>
            <b/>
            <sz val="9"/>
            <color indexed="81"/>
            <rFont val="Arial"/>
          </rPr>
          <t>Paul Elsen:</t>
        </r>
        <r>
          <rPr>
            <sz val="9"/>
            <color indexed="81"/>
            <rFont val="Arial"/>
          </rPr>
          <t xml:space="preserve">
assume camera sensor is 2 cm diameter</t>
        </r>
      </text>
    </comment>
    <comment ref="H340" authorId="6">
      <text>
        <r>
          <rPr>
            <b/>
            <sz val="9"/>
            <color indexed="81"/>
            <rFont val="Arial"/>
          </rPr>
          <t>Paul Elsen:</t>
        </r>
        <r>
          <rPr>
            <sz val="9"/>
            <color indexed="81"/>
            <rFont val="Arial"/>
          </rPr>
          <t xml:space="preserve">
1495 sites collected but only 1141 used for analysis after removing dark/grainy photos</t>
        </r>
      </text>
    </comment>
    <comment ref="I340" authorId="6">
      <text>
        <r>
          <rPr>
            <b/>
            <sz val="9"/>
            <color indexed="81"/>
            <rFont val="Arial"/>
          </rPr>
          <t>Paul Elsen:</t>
        </r>
        <r>
          <rPr>
            <sz val="9"/>
            <color indexed="81"/>
            <rFont val="Arial"/>
          </rPr>
          <t xml:space="preserve">
each plot sampled twice daily for 1 week</t>
        </r>
      </text>
    </comment>
    <comment ref="J340" authorId="6">
      <text>
        <r>
          <rPr>
            <b/>
            <sz val="9"/>
            <color indexed="81"/>
            <rFont val="Arial"/>
          </rPr>
          <t>Paul Elsen:</t>
        </r>
        <r>
          <rPr>
            <sz val="9"/>
            <color indexed="81"/>
            <rFont val="Arial"/>
          </rPr>
          <t xml:space="preserve">
assuming instantaneous (1 second) sampling</t>
        </r>
      </text>
    </comment>
    <comment ref="G341" authorId="6">
      <text>
        <r>
          <rPr>
            <b/>
            <sz val="9"/>
            <color indexed="81"/>
            <rFont val="Arial"/>
          </rPr>
          <t>Paul Elsen:</t>
        </r>
        <r>
          <rPr>
            <sz val="9"/>
            <color indexed="81"/>
            <rFont val="Arial"/>
          </rPr>
          <t xml:space="preserve">
500 m resolution pixel</t>
        </r>
      </text>
    </comment>
    <comment ref="H341" authorId="6">
      <text>
        <r>
          <rPr>
            <b/>
            <sz val="9"/>
            <color indexed="81"/>
            <rFont val="Arial"/>
          </rPr>
          <t>Paul Elsen:</t>
        </r>
        <r>
          <rPr>
            <sz val="9"/>
            <color indexed="81"/>
            <rFont val="Arial"/>
          </rPr>
          <t xml:space="preserve">
subset of 30 training sites</t>
        </r>
      </text>
    </comment>
    <comment ref="J341" authorId="6">
      <text>
        <r>
          <rPr>
            <b/>
            <sz val="9"/>
            <color indexed="81"/>
            <rFont val="Arial"/>
          </rPr>
          <t>Paul Elsen:</t>
        </r>
        <r>
          <rPr>
            <sz val="9"/>
            <color indexed="81"/>
            <rFont val="Arial"/>
          </rPr>
          <t xml:space="preserve">
assuming instantaneous (1 second) sampling</t>
        </r>
      </text>
    </comment>
    <comment ref="K341" authorId="6">
      <text>
        <r>
          <rPr>
            <b/>
            <sz val="9"/>
            <color indexed="81"/>
            <rFont val="Arial"/>
          </rPr>
          <t>Paul Elsen:</t>
        </r>
        <r>
          <rPr>
            <sz val="9"/>
            <color indexed="81"/>
            <rFont val="Arial"/>
          </rPr>
          <t xml:space="preserve">
daily satellite imagery</t>
        </r>
      </text>
    </comment>
    <comment ref="M341" authorId="6">
      <text>
        <r>
          <rPr>
            <b/>
            <sz val="9"/>
            <color indexed="81"/>
            <rFont val="Arial"/>
          </rPr>
          <t>Paul Elsen:</t>
        </r>
        <r>
          <rPr>
            <sz val="9"/>
            <color indexed="81"/>
            <rFont val="Arial"/>
          </rPr>
          <t xml:space="preserve">
jan 1 - dec 31 2008</t>
        </r>
      </text>
    </comment>
    <comment ref="G342" authorId="6">
      <text>
        <r>
          <rPr>
            <b/>
            <sz val="9"/>
            <color indexed="81"/>
            <rFont val="Arial"/>
          </rPr>
          <t>Paul Elsen:</t>
        </r>
        <r>
          <rPr>
            <sz val="9"/>
            <color indexed="81"/>
            <rFont val="Arial"/>
          </rPr>
          <t xml:space="preserve">
500 m resolution pixel</t>
        </r>
      </text>
    </comment>
    <comment ref="H342" authorId="6">
      <text>
        <r>
          <rPr>
            <b/>
            <sz val="9"/>
            <color indexed="81"/>
            <rFont val="Arial"/>
          </rPr>
          <t>Paul Elsen:</t>
        </r>
        <r>
          <rPr>
            <sz val="9"/>
            <color indexed="81"/>
            <rFont val="Arial"/>
          </rPr>
          <t xml:space="preserve">
subset of 30 training sites</t>
        </r>
      </text>
    </comment>
    <comment ref="J342" authorId="6">
      <text>
        <r>
          <rPr>
            <b/>
            <sz val="9"/>
            <color indexed="81"/>
            <rFont val="Arial"/>
          </rPr>
          <t>Paul Elsen:</t>
        </r>
        <r>
          <rPr>
            <sz val="9"/>
            <color indexed="81"/>
            <rFont val="Arial"/>
          </rPr>
          <t xml:space="preserve">
assuming instantaneous (1 second) sampling</t>
        </r>
      </text>
    </comment>
    <comment ref="G345" authorId="6">
      <text>
        <r>
          <rPr>
            <b/>
            <sz val="9"/>
            <color indexed="81"/>
            <rFont val="Arial"/>
          </rPr>
          <t>Paul Elsen:</t>
        </r>
        <r>
          <rPr>
            <sz val="9"/>
            <color indexed="81"/>
            <rFont val="Arial"/>
          </rPr>
          <t xml:space="preserve">
assume 3 m tall mist net, authors state total covered area was 2-4 km so assume 1.8 km long nets spaced out every 200 m = 10 nets @ 1800 m long x 3 m tall = 5400 m2</t>
        </r>
      </text>
    </comment>
    <comment ref="J345" authorId="6">
      <text>
        <r>
          <rPr>
            <b/>
            <sz val="9"/>
            <color indexed="81"/>
            <rFont val="Arial"/>
          </rPr>
          <t>Paul Elsen:</t>
        </r>
        <r>
          <rPr>
            <sz val="9"/>
            <color indexed="81"/>
            <rFont val="Arial"/>
          </rPr>
          <t xml:space="preserve">
no information given in text or references, guessing mist nets were up for 5 hours in the morning</t>
        </r>
      </text>
    </comment>
    <comment ref="K345" authorId="6">
      <text>
        <r>
          <rPr>
            <b/>
            <sz val="9"/>
            <color indexed="81"/>
            <rFont val="Arial"/>
          </rPr>
          <t>Paul Elsen:</t>
        </r>
        <r>
          <rPr>
            <sz val="9"/>
            <color indexed="81"/>
            <rFont val="Arial"/>
          </rPr>
          <t xml:space="preserve">
no info given, assuming mist nets were up every day</t>
        </r>
      </text>
    </comment>
    <comment ref="M345" authorId="6">
      <text>
        <r>
          <rPr>
            <b/>
            <sz val="9"/>
            <color indexed="81"/>
            <rFont val="Arial"/>
          </rPr>
          <t>Paul Elsen:</t>
        </r>
        <r>
          <rPr>
            <sz val="9"/>
            <color indexed="81"/>
            <rFont val="Arial"/>
          </rPr>
          <t xml:space="preserve">
date range given 2003-2008 so assume daily recording</t>
        </r>
      </text>
    </comment>
    <comment ref="G346" authorId="6">
      <text>
        <r>
          <rPr>
            <b/>
            <sz val="9"/>
            <color indexed="81"/>
            <rFont val="Arial"/>
          </rPr>
          <t>Paul Elsen:</t>
        </r>
        <r>
          <rPr>
            <sz val="9"/>
            <color indexed="81"/>
            <rFont val="Arial"/>
          </rPr>
          <t xml:space="preserve">
assume 5 mm diameter needle for extracting blood</t>
        </r>
      </text>
    </comment>
    <comment ref="J346" authorId="6">
      <text>
        <r>
          <rPr>
            <b/>
            <sz val="9"/>
            <color indexed="81"/>
            <rFont val="Arial"/>
          </rPr>
          <t>Paul Elsen:</t>
        </r>
        <r>
          <rPr>
            <sz val="9"/>
            <color indexed="81"/>
            <rFont val="Arial"/>
          </rPr>
          <t xml:space="preserve">
assume 30 seconds to extract a sample</t>
        </r>
      </text>
    </comment>
    <comment ref="M346" authorId="6">
      <text>
        <r>
          <rPr>
            <b/>
            <sz val="9"/>
            <color indexed="81"/>
            <rFont val="Arial"/>
          </rPr>
          <t>Paul Elsen:</t>
        </r>
        <r>
          <rPr>
            <sz val="9"/>
            <color indexed="81"/>
            <rFont val="Arial"/>
          </rPr>
          <t xml:space="preserve">
date range given 2003-2008 so assume daily recording</t>
        </r>
      </text>
    </comment>
    <comment ref="G347" authorId="6">
      <text>
        <r>
          <rPr>
            <b/>
            <sz val="9"/>
            <color indexed="81"/>
            <rFont val="Arial"/>
          </rPr>
          <t>Paul Elsen:</t>
        </r>
        <r>
          <rPr>
            <sz val="9"/>
            <color indexed="81"/>
            <rFont val="Arial"/>
          </rPr>
          <t xml:space="preserve">
superb fairy wren is 14 cm long and assuming 5 cm wide</t>
        </r>
      </text>
    </comment>
    <comment ref="J347" authorId="6">
      <text>
        <r>
          <rPr>
            <b/>
            <sz val="9"/>
            <color indexed="81"/>
            <rFont val="Arial"/>
          </rPr>
          <t>Paul Elsen:</t>
        </r>
        <r>
          <rPr>
            <sz val="9"/>
            <color indexed="81"/>
            <rFont val="Arial"/>
          </rPr>
          <t xml:space="preserve">
assume it takes 10 minutes to record all morphometrics</t>
        </r>
      </text>
    </comment>
    <comment ref="M347" authorId="6">
      <text>
        <r>
          <rPr>
            <b/>
            <sz val="9"/>
            <color indexed="81"/>
            <rFont val="Arial"/>
          </rPr>
          <t>Paul Elsen:</t>
        </r>
        <r>
          <rPr>
            <sz val="9"/>
            <color indexed="81"/>
            <rFont val="Arial"/>
          </rPr>
          <t xml:space="preserve">
date range given 2003-2008 so assume daily recording</t>
        </r>
      </text>
    </comment>
    <comment ref="G348" authorId="6">
      <text>
        <r>
          <rPr>
            <b/>
            <sz val="9"/>
            <color indexed="81"/>
            <rFont val="Arial"/>
          </rPr>
          <t>Paul Elsen:</t>
        </r>
        <r>
          <rPr>
            <sz val="9"/>
            <color indexed="81"/>
            <rFont val="Arial"/>
          </rPr>
          <t xml:space="preserve">
length of G. insensibilis is 1.75 (average male/female); assuming head is 1/8 body length; assuming width is 0.0005 m</t>
        </r>
      </text>
    </comment>
    <comment ref="H348" authorId="6">
      <text>
        <r>
          <rPr>
            <b/>
            <sz val="9"/>
            <color indexed="81"/>
            <rFont val="Arial"/>
          </rPr>
          <t>Paul Elsen:</t>
        </r>
        <r>
          <rPr>
            <sz val="9"/>
            <color indexed="81"/>
            <rFont val="Arial"/>
          </rPr>
          <t xml:space="preserve">
35 heads of G. insensibilis (x 2 categories); 20 head G. pulex (x 2 categories)</t>
        </r>
      </text>
    </comment>
    <comment ref="J348" authorId="6">
      <text>
        <r>
          <rPr>
            <b/>
            <sz val="9"/>
            <color indexed="81"/>
            <rFont val="Arial"/>
          </rPr>
          <t>Paul Elsen:</t>
        </r>
        <r>
          <rPr>
            <sz val="9"/>
            <color indexed="81"/>
            <rFont val="Arial"/>
          </rPr>
          <t xml:space="preserve">
assume 30 seconds to extract a sample</t>
        </r>
      </text>
    </comment>
    <comment ref="M348" authorId="6">
      <text>
        <r>
          <rPr>
            <b/>
            <sz val="9"/>
            <color indexed="81"/>
            <rFont val="Arial"/>
          </rPr>
          <t>Paul Elsen:</t>
        </r>
        <r>
          <rPr>
            <sz val="9"/>
            <color indexed="81"/>
            <rFont val="Arial"/>
          </rPr>
          <t xml:space="preserve">
July 2004</t>
        </r>
      </text>
    </comment>
    <comment ref="G349" authorId="6">
      <text>
        <r>
          <rPr>
            <b/>
            <sz val="9"/>
            <color indexed="81"/>
            <rFont val="Arial"/>
          </rPr>
          <t>Paul Elsen:</t>
        </r>
        <r>
          <rPr>
            <sz val="9"/>
            <color indexed="81"/>
            <rFont val="Arial"/>
          </rPr>
          <t xml:space="preserve">
average tree dbh is 1.3 meters</t>
        </r>
      </text>
    </comment>
    <comment ref="J349" authorId="6">
      <text>
        <r>
          <rPr>
            <b/>
            <sz val="9"/>
            <color indexed="81"/>
            <rFont val="Arial"/>
          </rPr>
          <t>Paul Elsen:</t>
        </r>
        <r>
          <rPr>
            <sz val="9"/>
            <color indexed="81"/>
            <rFont val="Arial"/>
          </rPr>
          <t xml:space="preserve">
assume it took 12 hours to survey all 171 sites (all sampling took place on first day of the month)</t>
        </r>
      </text>
    </comment>
    <comment ref="M349" authorId="6">
      <text>
        <r>
          <rPr>
            <b/>
            <sz val="9"/>
            <color indexed="81"/>
            <rFont val="Arial"/>
          </rPr>
          <t>Paul Elsen:</t>
        </r>
        <r>
          <rPr>
            <sz val="9"/>
            <color indexed="81"/>
            <rFont val="Arial"/>
          </rPr>
          <t xml:space="preserve">
started 1 March 1990 to 1 June 2000</t>
        </r>
      </text>
    </comment>
    <comment ref="G350" authorId="6">
      <text>
        <r>
          <rPr>
            <b/>
            <sz val="9"/>
            <color indexed="81"/>
            <rFont val="Arial"/>
          </rPr>
          <t>Paul Elsen:</t>
        </r>
        <r>
          <rPr>
            <sz val="9"/>
            <color indexed="81"/>
            <rFont val="Arial"/>
          </rPr>
          <t xml:space="preserve">
assume 8" diameter rain gauge</t>
        </r>
      </text>
    </comment>
    <comment ref="M350" authorId="6">
      <text>
        <r>
          <rPr>
            <b/>
            <sz val="9"/>
            <color indexed="81"/>
            <rFont val="Arial"/>
          </rPr>
          <t>Paul Elsen:</t>
        </r>
        <r>
          <rPr>
            <sz val="9"/>
            <color indexed="81"/>
            <rFont val="Arial"/>
          </rPr>
          <t xml:space="preserve">
started 1 March 1990 to 1 June 2000</t>
        </r>
      </text>
    </comment>
    <comment ref="G351" authorId="6">
      <text>
        <r>
          <rPr>
            <b/>
            <sz val="9"/>
            <color indexed="81"/>
            <rFont val="Arial"/>
          </rPr>
          <t>Paul Elsen:</t>
        </r>
        <r>
          <rPr>
            <sz val="9"/>
            <color indexed="81"/>
            <rFont val="Arial"/>
          </rPr>
          <t xml:space="preserve">
assume diameter of thermometer is 8 mm</t>
        </r>
      </text>
    </comment>
    <comment ref="J351" authorId="6">
      <text>
        <r>
          <rPr>
            <b/>
            <sz val="9"/>
            <color indexed="81"/>
            <rFont val="Arial"/>
          </rPr>
          <t>Paul Elsen:</t>
        </r>
        <r>
          <rPr>
            <sz val="9"/>
            <color indexed="81"/>
            <rFont val="Arial"/>
          </rPr>
          <t xml:space="preserve">
calculating min and max temp so sampling must have occurred all day</t>
        </r>
      </text>
    </comment>
    <comment ref="M351" authorId="6">
      <text>
        <r>
          <rPr>
            <b/>
            <sz val="9"/>
            <color indexed="81"/>
            <rFont val="Arial"/>
          </rPr>
          <t>Paul Elsen:</t>
        </r>
        <r>
          <rPr>
            <sz val="9"/>
            <color indexed="81"/>
            <rFont val="Arial"/>
          </rPr>
          <t xml:space="preserve">
didn't start recording temperature until Oct 1 1993</t>
        </r>
      </text>
    </comment>
    <comment ref="G355" authorId="6">
      <text>
        <r>
          <rPr>
            <b/>
            <sz val="9"/>
            <color indexed="81"/>
            <rFont val="Arial"/>
          </rPr>
          <t>Paul Elsen:</t>
        </r>
        <r>
          <rPr>
            <sz val="9"/>
            <color indexed="81"/>
            <rFont val="Arial"/>
          </rPr>
          <t xml:space="preserve">
assume temp/humidity/irrandiance sensor has 6" diameter</t>
        </r>
      </text>
    </comment>
    <comment ref="J355" authorId="6">
      <text>
        <r>
          <rPr>
            <b/>
            <sz val="9"/>
            <color indexed="81"/>
            <rFont val="Arial"/>
          </rPr>
          <t>Paul Elsen:</t>
        </r>
        <r>
          <rPr>
            <sz val="9"/>
            <color indexed="81"/>
            <rFont val="Arial"/>
          </rPr>
          <t xml:space="preserve">
assuming instantaneous (1 second) sampling</t>
        </r>
      </text>
    </comment>
    <comment ref="K355" authorId="6">
      <text>
        <r>
          <rPr>
            <b/>
            <sz val="9"/>
            <color indexed="81"/>
            <rFont val="Arial"/>
          </rPr>
          <t>Paul Elsen:</t>
        </r>
        <r>
          <rPr>
            <sz val="9"/>
            <color indexed="81"/>
            <rFont val="Arial"/>
          </rPr>
          <t xml:space="preserve">
all measurements recorded every 5 seconds</t>
        </r>
      </text>
    </comment>
    <comment ref="M355" authorId="6">
      <text>
        <r>
          <rPr>
            <b/>
            <sz val="9"/>
            <color indexed="81"/>
            <rFont val="Arial"/>
          </rPr>
          <t>Paul Elsen:</t>
        </r>
        <r>
          <rPr>
            <sz val="9"/>
            <color indexed="81"/>
            <rFont val="Arial"/>
          </rPr>
          <t xml:space="preserve">
started late June 2000 ended early July 2001, with one day of sampling in 2000 and 10 days of smapling in 2001</t>
        </r>
      </text>
    </comment>
    <comment ref="G356" authorId="6">
      <text>
        <r>
          <rPr>
            <b/>
            <sz val="9"/>
            <color indexed="81"/>
            <rFont val="Arial"/>
          </rPr>
          <t>Paul Elsen:</t>
        </r>
        <r>
          <rPr>
            <sz val="9"/>
            <color indexed="81"/>
            <rFont val="Arial"/>
          </rPr>
          <t xml:space="preserve">
sampled 600 mm2 of every leaf, 3 separate measurements</t>
        </r>
      </text>
    </comment>
    <comment ref="J356" authorId="6">
      <text>
        <r>
          <rPr>
            <b/>
            <sz val="9"/>
            <color indexed="81"/>
            <rFont val="Arial"/>
          </rPr>
          <t>Paul Elsen:</t>
        </r>
        <r>
          <rPr>
            <sz val="9"/>
            <color indexed="81"/>
            <rFont val="Arial"/>
          </rPr>
          <t xml:space="preserve">
took 2 minutes to take all three samples per leaf</t>
        </r>
      </text>
    </comment>
    <comment ref="K356" authorId="6">
      <text>
        <r>
          <rPr>
            <b/>
            <sz val="9"/>
            <color indexed="81"/>
            <rFont val="Arial"/>
          </rPr>
          <t>Paul Elsen:</t>
        </r>
        <r>
          <rPr>
            <sz val="9"/>
            <color indexed="81"/>
            <rFont val="Arial"/>
          </rPr>
          <t xml:space="preserve">
photosynthesis measured at hourly intervals; 36 h continuous in 2000, then 72 hours continuous in 2001; wait 5 days, 36 hours continuous = average interval of 2.2 hours</t>
        </r>
      </text>
    </comment>
    <comment ref="L356" authorId="6">
      <text>
        <r>
          <rPr>
            <b/>
            <sz val="9"/>
            <color indexed="81"/>
            <rFont val="Arial"/>
          </rPr>
          <t>Paul Elsen:</t>
        </r>
        <r>
          <rPr>
            <sz val="9"/>
            <color indexed="81"/>
            <rFont val="Arial"/>
          </rPr>
          <t xml:space="preserve">
assume 12 hours of daylight</t>
        </r>
      </text>
    </comment>
    <comment ref="M356" authorId="6">
      <text>
        <r>
          <rPr>
            <b/>
            <sz val="9"/>
            <color indexed="81"/>
            <rFont val="Arial"/>
          </rPr>
          <t>Paul Elsen:</t>
        </r>
        <r>
          <rPr>
            <sz val="9"/>
            <color indexed="81"/>
            <rFont val="Arial"/>
          </rPr>
          <t xml:space="preserve">
started late June 2000 ended early July 2001, with one day of sampling in 2000 and 10 days of smapling in 2001</t>
        </r>
      </text>
    </comment>
    <comment ref="G357" authorId="6">
      <text>
        <r>
          <rPr>
            <b/>
            <sz val="9"/>
            <color indexed="81"/>
            <rFont val="Arial"/>
          </rPr>
          <t>Paul Elsen:</t>
        </r>
        <r>
          <rPr>
            <sz val="9"/>
            <color indexed="81"/>
            <rFont val="Arial"/>
          </rPr>
          <t xml:space="preserve">
sampled 600 mm2 of every leaf, 6 separate measurements</t>
        </r>
      </text>
    </comment>
    <comment ref="J357" authorId="6">
      <text>
        <r>
          <rPr>
            <b/>
            <sz val="9"/>
            <color indexed="81"/>
            <rFont val="Arial"/>
          </rPr>
          <t>Paul Elsen:</t>
        </r>
        <r>
          <rPr>
            <sz val="9"/>
            <color indexed="81"/>
            <rFont val="Arial"/>
          </rPr>
          <t xml:space="preserve">
took 5 minutes to take all six samples per leaf</t>
        </r>
      </text>
    </comment>
    <comment ref="K357" authorId="6">
      <text>
        <r>
          <rPr>
            <b/>
            <sz val="9"/>
            <color indexed="81"/>
            <rFont val="Arial"/>
          </rPr>
          <t>Paul Elsen:</t>
        </r>
        <r>
          <rPr>
            <sz val="9"/>
            <color indexed="81"/>
            <rFont val="Arial"/>
          </rPr>
          <t xml:space="preserve">
respiration measured at 2 hour intervals; 36 h continuous in 2000, then 72 hours continuous in 2001; wait 5 days, 36 hours continuous = average interval of 4.4 hours</t>
        </r>
      </text>
    </comment>
    <comment ref="L357" authorId="6">
      <text>
        <r>
          <rPr>
            <b/>
            <sz val="9"/>
            <color indexed="81"/>
            <rFont val="Arial"/>
          </rPr>
          <t>Paul Elsen:</t>
        </r>
        <r>
          <rPr>
            <sz val="9"/>
            <color indexed="81"/>
            <rFont val="Arial"/>
          </rPr>
          <t xml:space="preserve">
assume 12 hours of night-time</t>
        </r>
      </text>
    </comment>
    <comment ref="M357" authorId="6">
      <text>
        <r>
          <rPr>
            <b/>
            <sz val="9"/>
            <color indexed="81"/>
            <rFont val="Arial"/>
          </rPr>
          <t>Paul Elsen:</t>
        </r>
        <r>
          <rPr>
            <sz val="9"/>
            <color indexed="81"/>
            <rFont val="Arial"/>
          </rPr>
          <t xml:space="preserve">
started late June 2000 ended early July 2001, with one day of sampling in 2000 and 10 days of smapling in 2001</t>
        </r>
      </text>
    </comment>
    <comment ref="T357" authorId="6">
      <text>
        <r>
          <rPr>
            <b/>
            <sz val="9"/>
            <color indexed="81"/>
            <rFont val="Arial"/>
          </rPr>
          <t>Paul Elsen:</t>
        </r>
        <r>
          <rPr>
            <sz val="9"/>
            <color indexed="81"/>
            <rFont val="Arial"/>
          </rPr>
          <t xml:space="preserve">
note that additional measurements were taken under experimental conditions, which are exluded here</t>
        </r>
      </text>
    </comment>
    <comment ref="G360" authorId="6">
      <text>
        <r>
          <rPr>
            <b/>
            <sz val="9"/>
            <color indexed="81"/>
            <rFont val="Arial"/>
          </rPr>
          <t>Paul Elsen:</t>
        </r>
        <r>
          <rPr>
            <sz val="9"/>
            <color indexed="81"/>
            <rFont val="Arial"/>
          </rPr>
          <t xml:space="preserve">
assume 10 cm pitfall trap diameter</t>
        </r>
      </text>
    </comment>
    <comment ref="M360" authorId="6">
      <text>
        <r>
          <rPr>
            <b/>
            <sz val="9"/>
            <color indexed="81"/>
            <rFont val="Arial"/>
          </rPr>
          <t>Paul Elsen:</t>
        </r>
        <r>
          <rPr>
            <sz val="9"/>
            <color indexed="81"/>
            <rFont val="Arial"/>
          </rPr>
          <t xml:space="preserve">
May-October 1996</t>
        </r>
      </text>
    </comment>
    <comment ref="G361" authorId="6">
      <text>
        <r>
          <rPr>
            <b/>
            <sz val="9"/>
            <color indexed="81"/>
            <rFont val="Arial"/>
          </rPr>
          <t>Paul Elsen:</t>
        </r>
        <r>
          <rPr>
            <sz val="9"/>
            <color indexed="81"/>
            <rFont val="Arial"/>
          </rPr>
          <t xml:space="preserve">
assume 10 cm pitfall trap diameter</t>
        </r>
      </text>
    </comment>
    <comment ref="M361" authorId="6">
      <text>
        <r>
          <rPr>
            <b/>
            <sz val="9"/>
            <color indexed="81"/>
            <rFont val="Arial"/>
          </rPr>
          <t>Paul Elsen:</t>
        </r>
        <r>
          <rPr>
            <sz val="9"/>
            <color indexed="81"/>
            <rFont val="Arial"/>
          </rPr>
          <t xml:space="preserve">
May-October 1997</t>
        </r>
      </text>
    </comment>
    <comment ref="G362" authorId="6">
      <text>
        <r>
          <rPr>
            <b/>
            <sz val="9"/>
            <color indexed="81"/>
            <rFont val="Arial"/>
          </rPr>
          <t>Paul Elsen:</t>
        </r>
        <r>
          <rPr>
            <sz val="9"/>
            <color indexed="81"/>
            <rFont val="Arial"/>
          </rPr>
          <t xml:space="preserve">
assume 10 cm pitfall trap diameter</t>
        </r>
      </text>
    </comment>
    <comment ref="J362" authorId="6">
      <text>
        <r>
          <rPr>
            <b/>
            <sz val="9"/>
            <color indexed="81"/>
            <rFont val="Arial"/>
          </rPr>
          <t>Paul Elsen:</t>
        </r>
        <r>
          <rPr>
            <sz val="9"/>
            <color indexed="81"/>
            <rFont val="Arial"/>
          </rPr>
          <t xml:space="preserve">
not stated, assuming 5 days as in 1997</t>
        </r>
      </text>
    </comment>
    <comment ref="M362" authorId="6">
      <text>
        <r>
          <rPr>
            <b/>
            <sz val="9"/>
            <color indexed="81"/>
            <rFont val="Arial"/>
          </rPr>
          <t>Paul Elsen:</t>
        </r>
        <r>
          <rPr>
            <sz val="9"/>
            <color indexed="81"/>
            <rFont val="Arial"/>
          </rPr>
          <t xml:space="preserve">
May-October 2000</t>
        </r>
      </text>
    </comment>
    <comment ref="G363" authorId="6">
      <text>
        <r>
          <rPr>
            <b/>
            <sz val="9"/>
            <color indexed="81"/>
            <rFont val="Arial"/>
          </rPr>
          <t>Paul Elsen:</t>
        </r>
        <r>
          <rPr>
            <sz val="9"/>
            <color indexed="81"/>
            <rFont val="Arial"/>
          </rPr>
          <t xml:space="preserve">
no information on what constitutes a "plot"; assuming a 5m x 5m plot since they mention that traps at field margins were placed within 5 meters of the margin</t>
        </r>
      </text>
    </comment>
    <comment ref="H363" authorId="6">
      <text>
        <r>
          <rPr>
            <b/>
            <sz val="9"/>
            <color indexed="81"/>
            <rFont val="Arial"/>
          </rPr>
          <t>Paul Elsen:</t>
        </r>
        <r>
          <rPr>
            <sz val="9"/>
            <color indexed="81"/>
            <rFont val="Arial"/>
          </rPr>
          <t xml:space="preserve">
10 different sites</t>
        </r>
      </text>
    </comment>
    <comment ref="J363" authorId="6">
      <text>
        <r>
          <rPr>
            <b/>
            <sz val="9"/>
            <color indexed="81"/>
            <rFont val="Arial"/>
          </rPr>
          <t>Paul Elsen:</t>
        </r>
        <r>
          <rPr>
            <sz val="9"/>
            <color indexed="81"/>
            <rFont val="Arial"/>
          </rPr>
          <t xml:space="preserve">
all samples were recorded during Sep 1997, so assuming it took 3 days to record each of 10 sites</t>
        </r>
      </text>
    </comment>
    <comment ref="M363" authorId="6">
      <text>
        <r>
          <rPr>
            <b/>
            <sz val="9"/>
            <color indexed="81"/>
            <rFont val="Arial"/>
          </rPr>
          <t>Paul Elsen:</t>
        </r>
        <r>
          <rPr>
            <sz val="9"/>
            <color indexed="81"/>
            <rFont val="Arial"/>
          </rPr>
          <t xml:space="preserve">
all collected during Sep 1997</t>
        </r>
      </text>
    </comment>
    <comment ref="G369" authorId="6">
      <text>
        <r>
          <rPr>
            <b/>
            <sz val="9"/>
            <color indexed="81"/>
            <rFont val="Arial"/>
          </rPr>
          <t>Paul Elsen:</t>
        </r>
        <r>
          <rPr>
            <sz val="9"/>
            <color indexed="81"/>
            <rFont val="Arial"/>
          </rPr>
          <t xml:space="preserve">
average length of fish is approximately 70 mm, assume width is 1/3 length</t>
        </r>
      </text>
    </comment>
    <comment ref="H369" authorId="6">
      <text>
        <r>
          <rPr>
            <b/>
            <sz val="9"/>
            <color indexed="81"/>
            <rFont val="Arial"/>
          </rPr>
          <t>Paul Elsen:</t>
        </r>
        <r>
          <rPr>
            <sz val="9"/>
            <color indexed="81"/>
            <rFont val="Arial"/>
          </rPr>
          <t xml:space="preserve">
799 fish surveyed in 16 sites</t>
        </r>
      </text>
    </comment>
    <comment ref="J369" authorId="6">
      <text>
        <r>
          <rPr>
            <b/>
            <sz val="9"/>
            <color indexed="81"/>
            <rFont val="Arial"/>
          </rPr>
          <t>Paul Elsen:</t>
        </r>
        <r>
          <rPr>
            <sz val="9"/>
            <color indexed="81"/>
            <rFont val="Arial"/>
          </rPr>
          <t xml:space="preserve">
assuming 5 minutes to take photograph of sample and run through statistical software to compute morphometric analyses</t>
        </r>
      </text>
    </comment>
    <comment ref="M369" authorId="6">
      <text>
        <r>
          <rPr>
            <b/>
            <sz val="9"/>
            <color indexed="81"/>
            <rFont val="Arial"/>
          </rPr>
          <t>Paul Elsen:</t>
        </r>
        <r>
          <rPr>
            <sz val="9"/>
            <color indexed="81"/>
            <rFont val="Arial"/>
          </rPr>
          <t xml:space="preserve">
no info given so assume the study spanned the time it took to record all photos</t>
        </r>
      </text>
    </comment>
    <comment ref="G373" authorId="6">
      <text>
        <r>
          <rPr>
            <b/>
            <sz val="9"/>
            <color indexed="81"/>
            <rFont val="Arial"/>
          </rPr>
          <t>Paul Elsen:</t>
        </r>
        <r>
          <rPr>
            <sz val="9"/>
            <color indexed="81"/>
            <rFont val="Arial"/>
          </rPr>
          <t xml:space="preserve">
40 cm diameter swept 180 degrees = 40 cm radius, 10 sweep samples per site</t>
        </r>
      </text>
    </comment>
    <comment ref="H373" authorId="6">
      <text>
        <r>
          <rPr>
            <b/>
            <sz val="9"/>
            <color indexed="81"/>
            <rFont val="Arial"/>
          </rPr>
          <t>Paul Elsen:</t>
        </r>
        <r>
          <rPr>
            <sz val="9"/>
            <color indexed="81"/>
            <rFont val="Arial"/>
          </rPr>
          <t xml:space="preserve">
6 hedgerows, 6 control sites</t>
        </r>
      </text>
    </comment>
    <comment ref="J373" authorId="6">
      <text>
        <r>
          <rPr>
            <b/>
            <sz val="9"/>
            <color indexed="81"/>
            <rFont val="Arial"/>
          </rPr>
          <t>Paul Elsen:</t>
        </r>
        <r>
          <rPr>
            <sz val="9"/>
            <color indexed="81"/>
            <rFont val="Arial"/>
          </rPr>
          <t xml:space="preserve">
assume 1 day to sample a site</t>
        </r>
      </text>
    </comment>
    <comment ref="K373" authorId="6">
      <text>
        <r>
          <rPr>
            <b/>
            <sz val="9"/>
            <color indexed="81"/>
            <rFont val="Arial"/>
          </rPr>
          <t>Paul Elsen:</t>
        </r>
        <r>
          <rPr>
            <sz val="9"/>
            <color indexed="81"/>
            <rFont val="Arial"/>
          </rPr>
          <t xml:space="preserve">
samples spaced out 30 days for four months, taken over two years</t>
        </r>
      </text>
    </comment>
    <comment ref="G374" authorId="6">
      <text>
        <r>
          <rPr>
            <b/>
            <sz val="9"/>
            <color indexed="81"/>
            <rFont val="Arial"/>
          </rPr>
          <t>Paul Elsen:</t>
        </r>
        <r>
          <rPr>
            <sz val="9"/>
            <color indexed="81"/>
            <rFont val="Arial"/>
          </rPr>
          <t xml:space="preserve">
sticky note 7.6 cm x 12.7 cm, 12 notes per site</t>
        </r>
      </text>
    </comment>
    <comment ref="K374" authorId="6">
      <text>
        <r>
          <rPr>
            <b/>
            <sz val="9"/>
            <color indexed="81"/>
            <rFont val="Arial"/>
          </rPr>
          <t>Paul Elsen:</t>
        </r>
        <r>
          <rPr>
            <sz val="9"/>
            <color indexed="81"/>
            <rFont val="Arial"/>
          </rPr>
          <t xml:space="preserve">
samples spaced out 30 days for four months, taken over two years</t>
        </r>
      </text>
    </comment>
    <comment ref="G375" authorId="6">
      <text>
        <r>
          <rPr>
            <b/>
            <sz val="9"/>
            <color indexed="81"/>
            <rFont val="Arial"/>
          </rPr>
          <t>Paul Elsen:</t>
        </r>
        <r>
          <rPr>
            <sz val="9"/>
            <color indexed="81"/>
            <rFont val="Arial"/>
          </rPr>
          <t xml:space="preserve">
assume a tomato leaf is 4 cm x 1 cm, 30 leaves sampled, 3 assessments per site</t>
        </r>
      </text>
    </comment>
    <comment ref="J375" authorId="6">
      <text>
        <r>
          <rPr>
            <b/>
            <sz val="9"/>
            <color indexed="81"/>
            <rFont val="Arial"/>
          </rPr>
          <t>Paul Elsen:</t>
        </r>
        <r>
          <rPr>
            <sz val="9"/>
            <color indexed="81"/>
            <rFont val="Arial"/>
          </rPr>
          <t xml:space="preserve">
assume 1 day to assess each site</t>
        </r>
      </text>
    </comment>
    <comment ref="G376" authorId="6">
      <text>
        <r>
          <rPr>
            <b/>
            <sz val="9"/>
            <color indexed="81"/>
            <rFont val="Arial"/>
          </rPr>
          <t>Paul Elsen:</t>
        </r>
        <r>
          <rPr>
            <sz val="9"/>
            <color indexed="81"/>
            <rFont val="Arial"/>
          </rPr>
          <t xml:space="preserve">
assume a tomato is 8 cm x 4 cm, 2 assessments per site</t>
        </r>
      </text>
    </comment>
    <comment ref="J376" authorId="6">
      <text>
        <r>
          <rPr>
            <b/>
            <sz val="9"/>
            <color indexed="81"/>
            <rFont val="Arial"/>
          </rPr>
          <t>Paul Elsen:</t>
        </r>
        <r>
          <rPr>
            <sz val="9"/>
            <color indexed="81"/>
            <rFont val="Arial"/>
          </rPr>
          <t xml:space="preserve">
assume 1 day to assess each site</t>
        </r>
      </text>
    </comment>
    <comment ref="H377" authorId="6">
      <text>
        <r>
          <rPr>
            <b/>
            <sz val="9"/>
            <color indexed="81"/>
            <rFont val="Arial"/>
          </rPr>
          <t>Paul Elsen:</t>
        </r>
        <r>
          <rPr>
            <sz val="9"/>
            <color indexed="81"/>
            <rFont val="Arial"/>
          </rPr>
          <t xml:space="preserve">
enough 1 x 1 m squares to cover a 1.5 km radius at 12 sites, rounded up</t>
        </r>
      </text>
    </comment>
    <comment ref="J377" authorId="6">
      <text>
        <r>
          <rPr>
            <b/>
            <sz val="9"/>
            <color indexed="81"/>
            <rFont val="Arial"/>
          </rPr>
          <t>Paul Elsen:</t>
        </r>
        <r>
          <rPr>
            <sz val="9"/>
            <color indexed="81"/>
            <rFont val="Arial"/>
          </rPr>
          <t xml:space="preserve">
assuming instantaneous (1 second) sampling</t>
        </r>
      </text>
    </comment>
    <comment ref="L377" authorId="6">
      <text>
        <r>
          <rPr>
            <b/>
            <sz val="9"/>
            <color indexed="81"/>
            <rFont val="Arial"/>
          </rPr>
          <t>Paul Elsen:</t>
        </r>
        <r>
          <rPr>
            <sz val="9"/>
            <color indexed="81"/>
            <rFont val="Arial"/>
          </rPr>
          <t xml:space="preserve">
assuming instantaneous (1 second) sampling</t>
        </r>
      </text>
    </comment>
    <comment ref="M377" authorId="6">
      <text>
        <r>
          <rPr>
            <b/>
            <sz val="9"/>
            <color indexed="81"/>
            <rFont val="Arial"/>
          </rPr>
          <t>Paul Elsen:</t>
        </r>
        <r>
          <rPr>
            <sz val="9"/>
            <color indexed="81"/>
            <rFont val="Arial"/>
          </rPr>
          <t xml:space="preserve">
assume analysis done on 1 day</t>
        </r>
      </text>
    </comment>
    <comment ref="J380" authorId="6">
      <text>
        <r>
          <rPr>
            <b/>
            <sz val="9"/>
            <color indexed="81"/>
            <rFont val="Arial"/>
          </rPr>
          <t>Paul Elsen:</t>
        </r>
        <r>
          <rPr>
            <sz val="9"/>
            <color indexed="81"/>
            <rFont val="Arial"/>
          </rPr>
          <t xml:space="preserve">
no information; assume 1 token day to sample each site</t>
        </r>
      </text>
    </comment>
    <comment ref="K380" authorId="6">
      <text>
        <r>
          <rPr>
            <b/>
            <sz val="9"/>
            <color indexed="81"/>
            <rFont val="Arial"/>
          </rPr>
          <t>Paul Elsen:</t>
        </r>
        <r>
          <rPr>
            <sz val="9"/>
            <color indexed="81"/>
            <rFont val="Arial"/>
          </rPr>
          <t xml:space="preserve">
samples taken every 2 weeks</t>
        </r>
      </text>
    </comment>
    <comment ref="L380" authorId="6">
      <text>
        <r>
          <rPr>
            <b/>
            <sz val="9"/>
            <color indexed="81"/>
            <rFont val="Arial"/>
          </rPr>
          <t>Paul Elsen:</t>
        </r>
        <r>
          <rPr>
            <sz val="9"/>
            <color indexed="81"/>
            <rFont val="Arial"/>
          </rPr>
          <t xml:space="preserve">
1 day sampling over 12 days over 2 years</t>
        </r>
      </text>
    </comment>
    <comment ref="M380" authorId="6">
      <text>
        <r>
          <rPr>
            <b/>
            <sz val="9"/>
            <color indexed="81"/>
            <rFont val="Arial"/>
          </rPr>
          <t>Paul Elsen:</t>
        </r>
        <r>
          <rPr>
            <sz val="9"/>
            <color indexed="81"/>
            <rFont val="Arial"/>
          </rPr>
          <t xml:space="preserve">
surveyed over both spring and winter growing seasons during 2001 and 2002, so assume 2 years</t>
        </r>
      </text>
    </comment>
    <comment ref="G381" authorId="6">
      <text>
        <r>
          <rPr>
            <b/>
            <sz val="9"/>
            <color indexed="81"/>
            <rFont val="Arial"/>
          </rPr>
          <t>Paul Elsen:</t>
        </r>
        <r>
          <rPr>
            <sz val="9"/>
            <color indexed="81"/>
            <rFont val="Arial"/>
          </rPr>
          <t xml:space="preserve">
one plot with total area 0.8 ha</t>
        </r>
      </text>
    </comment>
    <comment ref="J381" authorId="6">
      <text>
        <r>
          <rPr>
            <b/>
            <sz val="9"/>
            <color indexed="81"/>
            <rFont val="Arial"/>
          </rPr>
          <t>Paul Elsen:</t>
        </r>
        <r>
          <rPr>
            <sz val="9"/>
            <color indexed="81"/>
            <rFont val="Arial"/>
          </rPr>
          <t xml:space="preserve">
9:30 am - 5:30 pm</t>
        </r>
      </text>
    </comment>
    <comment ref="K381" authorId="6">
      <text>
        <r>
          <rPr>
            <b/>
            <sz val="9"/>
            <color indexed="81"/>
            <rFont val="Arial"/>
          </rPr>
          <t>Paul Elsen:</t>
        </r>
        <r>
          <rPr>
            <sz val="9"/>
            <color indexed="81"/>
            <rFont val="Arial"/>
          </rPr>
          <t xml:space="preserve">
plot resurveyed every 3-5 days, assuming average 4</t>
        </r>
      </text>
    </comment>
    <comment ref="L381" authorId="6">
      <text>
        <r>
          <rPr>
            <b/>
            <sz val="9"/>
            <color indexed="81"/>
            <rFont val="Arial"/>
          </rPr>
          <t>Paul Elsen:</t>
        </r>
        <r>
          <rPr>
            <sz val="9"/>
            <color indexed="81"/>
            <rFont val="Arial"/>
          </rPr>
          <t xml:space="preserve">
8 repeated samples</t>
        </r>
      </text>
    </comment>
    <comment ref="M381" authorId="6">
      <text>
        <r>
          <rPr>
            <b/>
            <sz val="9"/>
            <color indexed="81"/>
            <rFont val="Arial"/>
          </rPr>
          <t>Paul Elsen:</t>
        </r>
        <r>
          <rPr>
            <sz val="9"/>
            <color indexed="81"/>
            <rFont val="Arial"/>
          </rPr>
          <t xml:space="preserve">
July 20 1999 to Aug 17 1999</t>
        </r>
      </text>
    </comment>
    <comment ref="G382" authorId="6">
      <text>
        <r>
          <rPr>
            <b/>
            <sz val="9"/>
            <color indexed="81"/>
            <rFont val="Arial"/>
          </rPr>
          <t>Paul Elsen:</t>
        </r>
        <r>
          <rPr>
            <sz val="9"/>
            <color indexed="81"/>
            <rFont val="Arial"/>
          </rPr>
          <t xml:space="preserve">
assume diameter of thermometer is 8 mm</t>
        </r>
      </text>
    </comment>
    <comment ref="J382" authorId="6">
      <text>
        <r>
          <rPr>
            <b/>
            <sz val="9"/>
            <color indexed="81"/>
            <rFont val="Arial"/>
          </rPr>
          <t>Paul Elsen:</t>
        </r>
        <r>
          <rPr>
            <sz val="9"/>
            <color indexed="81"/>
            <rFont val="Arial"/>
          </rPr>
          <t xml:space="preserve">
assuming instantaneous (1 second) sampling</t>
        </r>
      </text>
    </comment>
    <comment ref="K382" authorId="6">
      <text>
        <r>
          <rPr>
            <b/>
            <sz val="9"/>
            <color indexed="81"/>
            <rFont val="Arial"/>
          </rPr>
          <t>Paul Elsen:</t>
        </r>
        <r>
          <rPr>
            <sz val="9"/>
            <color indexed="81"/>
            <rFont val="Arial"/>
          </rPr>
          <t xml:space="preserve">
26 sampling periods over 28 days</t>
        </r>
      </text>
    </comment>
    <comment ref="M382" authorId="6">
      <text>
        <r>
          <rPr>
            <b/>
            <sz val="9"/>
            <color indexed="81"/>
            <rFont val="Arial"/>
          </rPr>
          <t>Paul Elsen:</t>
        </r>
        <r>
          <rPr>
            <sz val="9"/>
            <color indexed="81"/>
            <rFont val="Arial"/>
          </rPr>
          <t xml:space="preserve">
July 20 1999 to Aug 17 1999</t>
        </r>
      </text>
    </comment>
    <comment ref="H383" authorId="7">
      <text>
        <r>
          <rPr>
            <b/>
            <sz val="9"/>
            <color indexed="81"/>
            <rFont val="Arial"/>
          </rPr>
          <t>Lyndon Estes:</t>
        </r>
        <r>
          <rPr>
            <sz val="9"/>
            <color indexed="81"/>
            <rFont val="Arial"/>
          </rPr>
          <t xml:space="preserve">
6 sample plots on 4 bogs, 4 on the intact one</t>
        </r>
      </text>
    </comment>
    <comment ref="L383" authorId="7">
      <text>
        <r>
          <rPr>
            <b/>
            <sz val="9"/>
            <color indexed="81"/>
            <rFont val="Arial"/>
          </rPr>
          <t>Lyndon Estes:</t>
        </r>
        <r>
          <rPr>
            <sz val="9"/>
            <color indexed="81"/>
            <rFont val="Arial"/>
          </rPr>
          <t xml:space="preserve">
assume average of 17.5 days between sample, and sampling season was 152 days, gives number of vists per season, times samp_duration, times n season</t>
        </r>
      </text>
    </comment>
    <comment ref="G384" authorId="7">
      <text>
        <r>
          <rPr>
            <b/>
            <sz val="9"/>
            <color indexed="81"/>
            <rFont val="Arial"/>
          </rPr>
          <t>Lyndon Estes:</t>
        </r>
        <r>
          <rPr>
            <sz val="9"/>
            <color indexed="81"/>
            <rFont val="Arial"/>
          </rPr>
          <t xml:space="preserve">
assume 10 cm radius well</t>
        </r>
      </text>
    </comment>
    <comment ref="H384" authorId="7">
      <text>
        <r>
          <rPr>
            <b/>
            <sz val="9"/>
            <color indexed="81"/>
            <rFont val="Arial"/>
          </rPr>
          <t>Lyndon Estes:</t>
        </r>
        <r>
          <rPr>
            <sz val="9"/>
            <color indexed="81"/>
            <rFont val="Arial"/>
          </rPr>
          <t xml:space="preserve">
6 sample plots on 4 bogs, 4 on the intact one</t>
        </r>
      </text>
    </comment>
    <comment ref="L384" authorId="7">
      <text>
        <r>
          <rPr>
            <b/>
            <sz val="9"/>
            <color indexed="81"/>
            <rFont val="Arial"/>
          </rPr>
          <t>Lyndon Estes:</t>
        </r>
        <r>
          <rPr>
            <sz val="9"/>
            <color indexed="81"/>
            <rFont val="Arial"/>
          </rPr>
          <t xml:space="preserve">
assume average of 17.5 days between sample, and sampling season was 152 days, gives number of vists per season, times samp_duration, times n season</t>
        </r>
      </text>
    </comment>
    <comment ref="G385" authorId="7">
      <text>
        <r>
          <rPr>
            <b/>
            <sz val="9"/>
            <color indexed="81"/>
            <rFont val="Arial"/>
          </rPr>
          <t>Lyndon Estes:</t>
        </r>
        <r>
          <rPr>
            <sz val="9"/>
            <color indexed="81"/>
            <rFont val="Arial"/>
          </rPr>
          <t xml:space="preserve">
assume 1 cm radius temp measurements</t>
        </r>
      </text>
    </comment>
    <comment ref="H385" authorId="7">
      <text>
        <r>
          <rPr>
            <b/>
            <sz val="9"/>
            <color indexed="81"/>
            <rFont val="Arial"/>
          </rPr>
          <t>Lyndon Estes:</t>
        </r>
        <r>
          <rPr>
            <sz val="9"/>
            <color indexed="81"/>
            <rFont val="Arial"/>
          </rPr>
          <t xml:space="preserve">
6 sample plots on 4 bogs, 4 on the intact one</t>
        </r>
      </text>
    </comment>
    <comment ref="L385" authorId="7">
      <text>
        <r>
          <rPr>
            <b/>
            <sz val="9"/>
            <color indexed="81"/>
            <rFont val="Arial"/>
          </rPr>
          <t>Lyndon Estes:</t>
        </r>
        <r>
          <rPr>
            <sz val="9"/>
            <color indexed="81"/>
            <rFont val="Arial"/>
          </rPr>
          <t xml:space="preserve">
assume average of 17.5 days between sample, and sampling season was 152 days, gives number of vists per season, times samp_duration, times n season</t>
        </r>
      </text>
    </comment>
    <comment ref="G386" authorId="7">
      <text>
        <r>
          <rPr>
            <b/>
            <sz val="9"/>
            <color indexed="81"/>
            <rFont val="Arial"/>
          </rPr>
          <t>Lyndon Estes:</t>
        </r>
        <r>
          <rPr>
            <sz val="9"/>
            <color indexed="81"/>
            <rFont val="Arial"/>
          </rPr>
          <t xml:space="preserve">
assume weather station is a point sample</t>
        </r>
      </text>
    </comment>
    <comment ref="K386" authorId="7">
      <text>
        <r>
          <rPr>
            <b/>
            <sz val="9"/>
            <color indexed="81"/>
            <rFont val="Arial"/>
          </rPr>
          <t>Lyndon Estes:</t>
        </r>
        <r>
          <rPr>
            <sz val="9"/>
            <color indexed="81"/>
            <rFont val="Arial"/>
          </rPr>
          <t xml:space="preserve">
assume 1/2 hour between readings</t>
        </r>
      </text>
    </comment>
    <comment ref="L386" authorId="7">
      <text>
        <r>
          <rPr>
            <b/>
            <sz val="9"/>
            <color indexed="81"/>
            <rFont val="Arial"/>
          </rPr>
          <t>Lyndon Estes:</t>
        </r>
        <r>
          <rPr>
            <sz val="9"/>
            <color indexed="81"/>
            <rFont val="Arial"/>
          </rPr>
          <t xml:space="preserve">
assume average of 17.5 days between sample, and sampling season was 152 days, gives number of vists per season, times samp_duration, times n season</t>
        </r>
      </text>
    </comment>
    <comment ref="G387" authorId="7">
      <text>
        <r>
          <rPr>
            <b/>
            <sz val="9"/>
            <color indexed="81"/>
            <rFont val="Arial"/>
          </rPr>
          <t>Lyndon Estes:</t>
        </r>
        <r>
          <rPr>
            <sz val="9"/>
            <color indexed="81"/>
            <rFont val="Arial"/>
          </rPr>
          <t xml:space="preserve">
assume 10 cm diameter core</t>
        </r>
      </text>
    </comment>
    <comment ref="J387" authorId="7">
      <text>
        <r>
          <rPr>
            <b/>
            <sz val="9"/>
            <color indexed="81"/>
            <rFont val="Arial"/>
          </rPr>
          <t>Lyndon Estes:</t>
        </r>
        <r>
          <rPr>
            <sz val="9"/>
            <color indexed="81"/>
            <rFont val="Arial"/>
          </rPr>
          <t xml:space="preserve">
4 weeks assigned because they let them sit for that long</t>
        </r>
      </text>
    </comment>
    <comment ref="G388" authorId="7">
      <text>
        <r>
          <rPr>
            <b/>
            <sz val="9"/>
            <color indexed="81"/>
            <rFont val="Arial"/>
          </rPr>
          <t>Lyndon Estes:</t>
        </r>
        <r>
          <rPr>
            <sz val="9"/>
            <color indexed="81"/>
            <rFont val="Arial"/>
          </rPr>
          <t xml:space="preserve">
assume 10 cm radius core</t>
        </r>
      </text>
    </comment>
    <comment ref="G389" authorId="7">
      <text>
        <r>
          <rPr>
            <b/>
            <sz val="9"/>
            <color indexed="81"/>
            <rFont val="Arial"/>
          </rPr>
          <t>Lyndon Estes:</t>
        </r>
        <r>
          <rPr>
            <sz val="9"/>
            <color indexed="81"/>
            <rFont val="Arial"/>
          </rPr>
          <t xml:space="preserve">
assume bird is sample resolution, with 6 cm diameter</t>
        </r>
      </text>
    </comment>
    <comment ref="H389" authorId="7">
      <text>
        <r>
          <rPr>
            <b/>
            <sz val="9"/>
            <color indexed="81"/>
            <rFont val="Arial"/>
          </rPr>
          <t>Lyndon Estes:</t>
        </r>
        <r>
          <rPr>
            <sz val="9"/>
            <color indexed="81"/>
            <rFont val="Arial"/>
          </rPr>
          <t xml:space="preserve">
I count 39 birds in results contributing to data</t>
        </r>
      </text>
    </comment>
    <comment ref="J389" authorId="7">
      <text>
        <r>
          <rPr>
            <b/>
            <sz val="9"/>
            <color indexed="81"/>
            <rFont val="Arial"/>
          </rPr>
          <t>Lyndon Estes:</t>
        </r>
        <r>
          <rPr>
            <sz val="9"/>
            <color indexed="81"/>
            <rFont val="Arial"/>
          </rPr>
          <t xml:space="preserve">
assume 5 seconds to scan channels</t>
        </r>
      </text>
    </comment>
    <comment ref="K389" authorId="7">
      <text>
        <r>
          <rPr>
            <b/>
            <sz val="9"/>
            <color indexed="81"/>
            <rFont val="Arial"/>
          </rPr>
          <t>Lyndon Estes:</t>
        </r>
        <r>
          <rPr>
            <sz val="9"/>
            <color indexed="81"/>
            <rFont val="Arial"/>
          </rPr>
          <t xml:space="preserve">
assume 1 minunte between samples</t>
        </r>
      </text>
    </comment>
    <comment ref="L389" authorId="7">
      <text>
        <r>
          <rPr>
            <b/>
            <sz val="9"/>
            <color indexed="81"/>
            <rFont val="Arial"/>
          </rPr>
          <t>Lyndon Estes:</t>
        </r>
        <r>
          <rPr>
            <sz val="9"/>
            <color indexed="81"/>
            <rFont val="Arial"/>
          </rPr>
          <t xml:space="preserve">
28/3/2016: Remove 46+41 estimate, which was more like study_span, and changed to 130 * samp_duration, because birds were observed every 30 minutes every 1 minute
</t>
        </r>
      </text>
    </comment>
    <comment ref="G390" authorId="7">
      <text>
        <r>
          <rPr>
            <b/>
            <sz val="9"/>
            <color indexed="81"/>
            <rFont val="Arial"/>
          </rPr>
          <t>Lyndon Estes:</t>
        </r>
        <r>
          <rPr>
            <sz val="9"/>
            <color indexed="81"/>
            <rFont val="Arial"/>
          </rPr>
          <t xml:space="preserve">
assume bird is sample resolution, with 6 cm diameter</t>
        </r>
      </text>
    </comment>
    <comment ref="J390" authorId="7">
      <text>
        <r>
          <rPr>
            <b/>
            <sz val="9"/>
            <color indexed="81"/>
            <rFont val="Arial"/>
          </rPr>
          <t>Lyndon Estes:</t>
        </r>
        <r>
          <rPr>
            <sz val="9"/>
            <color indexed="81"/>
            <rFont val="Arial"/>
          </rPr>
          <t xml:space="preserve">
assume 1 minute to draw blood</t>
        </r>
      </text>
    </comment>
    <comment ref="K390" authorId="7">
      <text>
        <r>
          <rPr>
            <b/>
            <sz val="9"/>
            <color indexed="81"/>
            <rFont val="Arial"/>
          </rPr>
          <t>Lyndon Estes:</t>
        </r>
        <r>
          <rPr>
            <sz val="9"/>
            <color indexed="81"/>
            <rFont val="Arial"/>
          </rPr>
          <t xml:space="preserve">
assume 1 minunte between samples</t>
        </r>
      </text>
    </comment>
    <comment ref="G391" authorId="7">
      <text>
        <r>
          <rPr>
            <b/>
            <sz val="9"/>
            <color indexed="81"/>
            <rFont val="Arial"/>
          </rPr>
          <t>Lyndon Estes:</t>
        </r>
        <r>
          <rPr>
            <sz val="9"/>
            <color indexed="81"/>
            <rFont val="Arial"/>
          </rPr>
          <t xml:space="preserve">
assume 1.5 m long snake on average of 20 cm width
</t>
        </r>
      </text>
    </comment>
    <comment ref="J391" authorId="7">
      <text>
        <r>
          <rPr>
            <b/>
            <sz val="9"/>
            <color indexed="81"/>
            <rFont val="Arial"/>
          </rPr>
          <t>Lyndon Estes:</t>
        </r>
        <r>
          <rPr>
            <sz val="9"/>
            <color indexed="81"/>
            <rFont val="Arial"/>
          </rPr>
          <t xml:space="preserve">
caught at night, released next morning</t>
        </r>
      </text>
    </comment>
    <comment ref="L391" authorId="7">
      <text>
        <r>
          <rPr>
            <b/>
            <sz val="9"/>
            <color indexed="81"/>
            <rFont val="Arial"/>
          </rPr>
          <t>Lyndon Estes:</t>
        </r>
        <r>
          <rPr>
            <sz val="9"/>
            <color indexed="81"/>
            <rFont val="Arial"/>
          </rPr>
          <t xml:space="preserve">
Study duration only as long as time to sample one python</t>
        </r>
      </text>
    </comment>
    <comment ref="M391" authorId="7">
      <text>
        <r>
          <rPr>
            <b/>
            <sz val="9"/>
            <color indexed="81"/>
            <rFont val="Arial"/>
          </rPr>
          <t>Lyndon Estes:</t>
        </r>
        <r>
          <rPr>
            <sz val="9"/>
            <color indexed="81"/>
            <rFont val="Arial"/>
          </rPr>
          <t xml:space="preserve">
2001-2003</t>
        </r>
      </text>
    </comment>
    <comment ref="G392" authorId="7">
      <text>
        <r>
          <rPr>
            <b/>
            <sz val="9"/>
            <color indexed="81"/>
            <rFont val="Arial"/>
          </rPr>
          <t>Lyndon Estes:</t>
        </r>
        <r>
          <rPr>
            <sz val="9"/>
            <color indexed="81"/>
            <rFont val="Arial"/>
          </rPr>
          <t xml:space="preserve">
assume 1.5 m long snake on average of 20 cm width
</t>
        </r>
      </text>
    </comment>
    <comment ref="J392" authorId="7">
      <text>
        <r>
          <rPr>
            <b/>
            <sz val="9"/>
            <color indexed="81"/>
            <rFont val="Arial"/>
          </rPr>
          <t>Lyndon Estes:</t>
        </r>
        <r>
          <rPr>
            <sz val="9"/>
            <color indexed="81"/>
            <rFont val="Arial"/>
          </rPr>
          <t xml:space="preserve">
caught at night, released next morning</t>
        </r>
      </text>
    </comment>
    <comment ref="L392" authorId="7">
      <text>
        <r>
          <rPr>
            <b/>
            <sz val="9"/>
            <color indexed="81"/>
            <rFont val="Arial"/>
          </rPr>
          <t>Lyndon Estes:</t>
        </r>
        <r>
          <rPr>
            <sz val="9"/>
            <color indexed="81"/>
            <rFont val="Arial"/>
          </rPr>
          <t xml:space="preserve">
Study duration only as long as time to sample one python, and these were sampled twice</t>
        </r>
      </text>
    </comment>
    <comment ref="M392" authorId="7">
      <text>
        <r>
          <rPr>
            <b/>
            <sz val="9"/>
            <color indexed="81"/>
            <rFont val="Arial"/>
          </rPr>
          <t>Lyndon Estes:</t>
        </r>
        <r>
          <rPr>
            <sz val="9"/>
            <color indexed="81"/>
            <rFont val="Arial"/>
          </rPr>
          <t xml:space="preserve">
2001-2003</t>
        </r>
      </text>
    </comment>
    <comment ref="G393" authorId="7">
      <text>
        <r>
          <rPr>
            <b/>
            <sz val="9"/>
            <color indexed="81"/>
            <rFont val="Arial"/>
          </rPr>
          <t>Lyndon Estes:</t>
        </r>
        <r>
          <rPr>
            <sz val="9"/>
            <color indexed="81"/>
            <rFont val="Arial"/>
          </rPr>
          <t xml:space="preserve">
assume 1.5 m long snake on average of 20 cm width
</t>
        </r>
      </text>
    </comment>
    <comment ref="J393" authorId="7">
      <text>
        <r>
          <rPr>
            <b/>
            <sz val="9"/>
            <color indexed="81"/>
            <rFont val="Arial"/>
          </rPr>
          <t>Lyndon Estes:</t>
        </r>
        <r>
          <rPr>
            <sz val="9"/>
            <color indexed="81"/>
            <rFont val="Arial"/>
          </rPr>
          <t xml:space="preserve">
caught at night, released next morning</t>
        </r>
      </text>
    </comment>
    <comment ref="K393" authorId="7">
      <text>
        <r>
          <rPr>
            <b/>
            <sz val="9"/>
            <color indexed="81"/>
            <rFont val="Arial"/>
          </rPr>
          <t>Lyndon Estes:</t>
        </r>
        <r>
          <rPr>
            <sz val="9"/>
            <color indexed="81"/>
            <rFont val="Arial"/>
          </rPr>
          <t xml:space="preserve">
sampled twice within a month. Assume 15 days between sample
</t>
        </r>
      </text>
    </comment>
    <comment ref="L393" authorId="7">
      <text>
        <r>
          <rPr>
            <b/>
            <sz val="9"/>
            <color indexed="81"/>
            <rFont val="Arial"/>
          </rPr>
          <t>Lyndon Estes:</t>
        </r>
        <r>
          <rPr>
            <sz val="9"/>
            <color indexed="81"/>
            <rFont val="Arial"/>
          </rPr>
          <t xml:space="preserve">
Study duration only as long as time to sample one python, and these were sampled twice</t>
        </r>
      </text>
    </comment>
    <comment ref="M393" authorId="7">
      <text>
        <r>
          <rPr>
            <b/>
            <sz val="9"/>
            <color indexed="81"/>
            <rFont val="Arial"/>
          </rPr>
          <t>Lyndon Estes:</t>
        </r>
        <r>
          <rPr>
            <sz val="9"/>
            <color indexed="81"/>
            <rFont val="Arial"/>
          </rPr>
          <t xml:space="preserve">
2001-2003</t>
        </r>
      </text>
    </comment>
    <comment ref="G395" authorId="7">
      <text>
        <r>
          <rPr>
            <b/>
            <sz val="9"/>
            <color indexed="81"/>
            <rFont val="Arial"/>
          </rPr>
          <t>Lyndon Estes:</t>
        </r>
        <r>
          <rPr>
            <sz val="9"/>
            <color indexed="81"/>
            <rFont val="Arial"/>
          </rPr>
          <t xml:space="preserve">
assume mean prey size of 0.5 m long and 0.2 m wide
</t>
        </r>
      </text>
    </comment>
    <comment ref="J395" authorId="7">
      <text>
        <r>
          <rPr>
            <b/>
            <sz val="9"/>
            <color indexed="81"/>
            <rFont val="Arial"/>
          </rPr>
          <t>Lyndon Estes:</t>
        </r>
        <r>
          <rPr>
            <sz val="9"/>
            <color indexed="81"/>
            <rFont val="Arial"/>
          </rPr>
          <t xml:space="preserve">
Assume average of 1 day to capture animal</t>
        </r>
      </text>
    </comment>
    <comment ref="K395" authorId="7">
      <text>
        <r>
          <rPr>
            <b/>
            <sz val="9"/>
            <color indexed="81"/>
            <rFont val="Arial"/>
          </rPr>
          <t>Lyndon Estes:</t>
        </r>
        <r>
          <rPr>
            <sz val="9"/>
            <color indexed="81"/>
            <rFont val="Arial"/>
          </rPr>
          <t xml:space="preserve">
Treating each hunted animal as discrete sample</t>
        </r>
      </text>
    </comment>
    <comment ref="G396" authorId="7">
      <text>
        <r>
          <rPr>
            <b/>
            <sz val="9"/>
            <color indexed="81"/>
            <rFont val="Arial"/>
          </rPr>
          <t>Lyndon Estes:</t>
        </r>
        <r>
          <rPr>
            <sz val="9"/>
            <color indexed="81"/>
            <rFont val="Arial"/>
          </rPr>
          <t xml:space="preserve">
assume weather station and range rain gauge have 0.5 m diameter</t>
        </r>
      </text>
    </comment>
    <comment ref="G397" authorId="7">
      <text>
        <r>
          <rPr>
            <b/>
            <sz val="9"/>
            <color indexed="81"/>
            <rFont val="Arial"/>
          </rPr>
          <t>Lyndon Estes:</t>
        </r>
        <r>
          <rPr>
            <sz val="9"/>
            <color indexed="81"/>
            <rFont val="Arial"/>
          </rPr>
          <t xml:space="preserve">
Assume that runoff is from whole catchment, thus gauge gives resolution</t>
        </r>
      </text>
    </comment>
    <comment ref="L397" authorId="7">
      <text>
        <r>
          <rPr>
            <b/>
            <sz val="9"/>
            <color indexed="81"/>
            <rFont val="Arial"/>
          </rPr>
          <t>Lyndon Estes:</t>
        </r>
        <r>
          <rPr>
            <sz val="9"/>
            <color indexed="81"/>
            <rFont val="Arial"/>
          </rPr>
          <t xml:space="preserve">
assume each discharge reading is 1 second, happens every 15 minutes per day over 11 years</t>
        </r>
      </text>
    </comment>
    <comment ref="G398" authorId="7">
      <text>
        <r>
          <rPr>
            <b/>
            <sz val="9"/>
            <color indexed="81"/>
            <rFont val="Arial"/>
          </rPr>
          <t>Lyndon Estes:</t>
        </r>
        <r>
          <rPr>
            <sz val="9"/>
            <color indexed="81"/>
            <rFont val="Arial"/>
          </rPr>
          <t xml:space="preserve">
assume sampler for sediments is 5 cm diameter</t>
        </r>
      </text>
    </comment>
    <comment ref="L398" authorId="7">
      <text>
        <r>
          <rPr>
            <b/>
            <sz val="9"/>
            <color indexed="81"/>
            <rFont val="Arial"/>
          </rPr>
          <t>Lyndon Estes:</t>
        </r>
        <r>
          <rPr>
            <sz val="9"/>
            <color indexed="81"/>
            <rFont val="Arial"/>
          </rPr>
          <t xml:space="preserve">
assume each discharge reading is 1 second, happens every 15 minutes per day over 11 years</t>
        </r>
      </text>
    </comment>
    <comment ref="G402" authorId="7">
      <text>
        <r>
          <rPr>
            <b/>
            <sz val="9"/>
            <color indexed="81"/>
            <rFont val="Arial"/>
          </rPr>
          <t>Lyndon Estes:</t>
        </r>
        <r>
          <rPr>
            <sz val="9"/>
            <color indexed="81"/>
            <rFont val="Arial"/>
          </rPr>
          <t xml:space="preserve">
Assume grasses occupy 20X20 cm area</t>
        </r>
      </text>
    </comment>
    <comment ref="H402" authorId="7">
      <text>
        <r>
          <rPr>
            <b/>
            <sz val="9"/>
            <color indexed="81"/>
            <rFont val="Arial"/>
          </rPr>
          <t>Lyndon Estes:</t>
        </r>
        <r>
          <rPr>
            <sz val="9"/>
            <color indexed="81"/>
            <rFont val="Arial"/>
          </rPr>
          <t xml:space="preserve">
assume n_sites reflect number of plant of each species sampled (18 for one species, 10 for the other)</t>
        </r>
      </text>
    </comment>
    <comment ref="J402" authorId="7">
      <text>
        <r>
          <rPr>
            <b/>
            <sz val="9"/>
            <color indexed="81"/>
            <rFont val="Arial"/>
          </rPr>
          <t>Lyndon Estes:</t>
        </r>
        <r>
          <rPr>
            <sz val="9"/>
            <color indexed="81"/>
            <rFont val="Arial"/>
          </rPr>
          <t xml:space="preserve">
Assume 1 minute to collect each plant</t>
        </r>
      </text>
    </comment>
    <comment ref="L402" authorId="7">
      <text>
        <r>
          <rPr>
            <b/>
            <sz val="9"/>
            <color indexed="81"/>
            <rFont val="Arial"/>
          </rPr>
          <t>Lyndon Estes:</t>
        </r>
        <r>
          <rPr>
            <sz val="9"/>
            <color indexed="81"/>
            <rFont val="Arial"/>
          </rPr>
          <t xml:space="preserve">
Assume 1 minute to collect each plant, so this is study duration</t>
        </r>
      </text>
    </comment>
    <comment ref="M402" authorId="7">
      <text>
        <r>
          <rPr>
            <b/>
            <sz val="9"/>
            <color indexed="81"/>
            <rFont val="Arial"/>
          </rPr>
          <t>Lyndon Estes:</t>
        </r>
        <r>
          <rPr>
            <sz val="9"/>
            <color indexed="81"/>
            <rFont val="Arial"/>
          </rPr>
          <t xml:space="preserve">
fieldwork done in May, 2006, thus assume 31 days</t>
        </r>
      </text>
    </comment>
    <comment ref="J403" authorId="7">
      <text>
        <r>
          <rPr>
            <b/>
            <sz val="9"/>
            <color indexed="81"/>
            <rFont val="Arial"/>
          </rPr>
          <t>Lyndon Estes:</t>
        </r>
        <r>
          <rPr>
            <sz val="9"/>
            <color indexed="81"/>
            <rFont val="Arial"/>
          </rPr>
          <t xml:space="preserve">
assume it takes  two hours to do one biomass sample</t>
        </r>
      </text>
    </comment>
    <comment ref="M403" authorId="7">
      <text>
        <r>
          <rPr>
            <b/>
            <sz val="9"/>
            <color indexed="81"/>
            <rFont val="Arial"/>
          </rPr>
          <t>Lyndon Estes:</t>
        </r>
        <r>
          <rPr>
            <sz val="9"/>
            <color indexed="81"/>
            <rFont val="Arial"/>
          </rPr>
          <t xml:space="preserve">
fieldwork done in May, 2006, thus assume 31 days</t>
        </r>
      </text>
    </comment>
    <comment ref="J404" authorId="7">
      <text>
        <r>
          <rPr>
            <b/>
            <sz val="9"/>
            <color indexed="81"/>
            <rFont val="Arial"/>
          </rPr>
          <t>Lyndon Estes:</t>
        </r>
        <r>
          <rPr>
            <sz val="9"/>
            <color indexed="81"/>
            <rFont val="Arial"/>
          </rPr>
          <t xml:space="preserve">
assume it takes 5 minutes to estimate areal cover</t>
        </r>
      </text>
    </comment>
    <comment ref="G405" authorId="7">
      <text>
        <r>
          <rPr>
            <b/>
            <sz val="9"/>
            <color indexed="81"/>
            <rFont val="Arial"/>
          </rPr>
          <t>Lyndon Estes:</t>
        </r>
        <r>
          <rPr>
            <sz val="9"/>
            <color indexed="81"/>
            <rFont val="Arial"/>
          </rPr>
          <t xml:space="preserve">
assume 10 cm diameter core</t>
        </r>
      </text>
    </comment>
    <comment ref="J405" authorId="7">
      <text>
        <r>
          <rPr>
            <b/>
            <sz val="9"/>
            <color indexed="81"/>
            <rFont val="Arial"/>
          </rPr>
          <t>Lyndon Estes:</t>
        </r>
        <r>
          <rPr>
            <sz val="9"/>
            <color indexed="81"/>
            <rFont val="Arial"/>
          </rPr>
          <t xml:space="preserve">
assume it takes  10 minutes to collect soil core</t>
        </r>
      </text>
    </comment>
    <comment ref="L405" authorId="7">
      <text>
        <r>
          <rPr>
            <b/>
            <sz val="9"/>
            <color indexed="81"/>
            <rFont val="Arial"/>
          </rPr>
          <t>Lyndon Estes:</t>
        </r>
        <r>
          <rPr>
            <sz val="9"/>
            <color indexed="81"/>
            <rFont val="Arial"/>
          </rPr>
          <t xml:space="preserve">
assume it takes  10 minutes to collect soil core</t>
        </r>
      </text>
    </comment>
    <comment ref="G407" authorId="7">
      <text>
        <r>
          <rPr>
            <b/>
            <sz val="9"/>
            <color indexed="81"/>
            <rFont val="Arial"/>
          </rPr>
          <t>Lyndon Estes:</t>
        </r>
        <r>
          <rPr>
            <sz val="9"/>
            <color indexed="81"/>
            <rFont val="Arial"/>
          </rPr>
          <t xml:space="preserve">
assume 10 cm diameter core, and 5 samples per field in bed and in furrow, thus 10
</t>
        </r>
      </text>
    </comment>
    <comment ref="H407" authorId="7">
      <text>
        <r>
          <rPr>
            <b/>
            <sz val="9"/>
            <color indexed="81"/>
            <rFont val="Arial"/>
          </rPr>
          <t>Lyndon Estes:</t>
        </r>
        <r>
          <rPr>
            <sz val="9"/>
            <color indexed="81"/>
            <rFont val="Arial"/>
          </rPr>
          <t xml:space="preserve">
5 major soil types and 3 farmers' fields per type</t>
        </r>
      </text>
    </comment>
    <comment ref="J407" authorId="7">
      <text>
        <r>
          <rPr>
            <b/>
            <sz val="9"/>
            <color indexed="81"/>
            <rFont val="Arial"/>
          </rPr>
          <t>Lyndon Estes:</t>
        </r>
        <r>
          <rPr>
            <sz val="9"/>
            <color indexed="81"/>
            <rFont val="Arial"/>
          </rPr>
          <t xml:space="preserve">
assume it takes  10 minutes to collect soil core, and 10 cores per sample</t>
        </r>
      </text>
    </comment>
    <comment ref="M407" authorId="7">
      <text>
        <r>
          <rPr>
            <b/>
            <sz val="9"/>
            <color indexed="81"/>
            <rFont val="Arial"/>
          </rPr>
          <t>Lyndon Estes:</t>
        </r>
        <r>
          <rPr>
            <sz val="9"/>
            <color indexed="81"/>
            <rFont val="Arial"/>
          </rPr>
          <t xml:space="preserve">
Seems like simulation was for a single growing season</t>
        </r>
      </text>
    </comment>
    <comment ref="G408" authorId="7">
      <text>
        <r>
          <rPr>
            <b/>
            <sz val="9"/>
            <color indexed="81"/>
            <rFont val="Arial"/>
          </rPr>
          <t>Lyndon Estes:</t>
        </r>
        <r>
          <rPr>
            <sz val="9"/>
            <color indexed="81"/>
            <rFont val="Arial"/>
          </rPr>
          <t xml:space="preserve">
assume weather station and range rain gauge have 0.5 m diameter</t>
        </r>
      </text>
    </comment>
    <comment ref="J408" authorId="7">
      <text>
        <r>
          <rPr>
            <b/>
            <sz val="9"/>
            <color indexed="81"/>
            <rFont val="Arial"/>
          </rPr>
          <t>Lyndon Estes:</t>
        </r>
        <r>
          <rPr>
            <sz val="9"/>
            <color indexed="81"/>
            <rFont val="Arial"/>
          </rPr>
          <t xml:space="preserve">
Assume weather stations make continuous measurements, and record was for 180 days of simulation period</t>
        </r>
      </text>
    </comment>
    <comment ref="L408" authorId="7">
      <text>
        <r>
          <rPr>
            <b/>
            <sz val="9"/>
            <color indexed="81"/>
            <rFont val="Arial"/>
          </rPr>
          <t>Lyndon Estes:</t>
        </r>
        <r>
          <rPr>
            <sz val="9"/>
            <color indexed="81"/>
            <rFont val="Arial"/>
          </rPr>
          <t xml:space="preserve">
Assume weather stations make continuous measurements, and record was for 180 days of simulation period</t>
        </r>
      </text>
    </comment>
    <comment ref="M408" authorId="7">
      <text>
        <r>
          <rPr>
            <b/>
            <sz val="9"/>
            <color indexed="81"/>
            <rFont val="Arial"/>
          </rPr>
          <t>Lyndon Estes:</t>
        </r>
        <r>
          <rPr>
            <sz val="9"/>
            <color indexed="81"/>
            <rFont val="Arial"/>
          </rPr>
          <t xml:space="preserve">
Assume weather stations make continuous measurements, and record was for 180 days of simulation period</t>
        </r>
      </text>
    </comment>
    <comment ref="G409" authorId="7">
      <text>
        <r>
          <rPr>
            <b/>
            <sz val="9"/>
            <color indexed="81"/>
            <rFont val="Arial"/>
          </rPr>
          <t>Lyndon Estes:</t>
        </r>
        <r>
          <rPr>
            <sz val="9"/>
            <color indexed="81"/>
            <rFont val="Arial"/>
          </rPr>
          <t xml:space="preserve">
Assume transect is mean of 30-100 m range they give. 
Update: 25/3/2016 Mixed the mean as 2/3 smaller quadrat, 1/3 larger, because paper source mentions that "some" were the larger quadrat size, so assume larger
</t>
        </r>
      </text>
    </comment>
    <comment ref="H409" authorId="7">
      <text>
        <r>
          <rPr>
            <b/>
            <sz val="9"/>
            <color indexed="81"/>
            <rFont val="Arial"/>
          </rPr>
          <t>Lyndon Estes:</t>
        </r>
        <r>
          <rPr>
            <sz val="9"/>
            <color indexed="81"/>
            <rFont val="Arial"/>
          </rPr>
          <t xml:space="preserve">
I assumed a mean sample quadrat by averaging 0.2^2 and 1 m^2, and then divided by the value of the twoal sampled area they provided to get N samples
Update: 25/3/16 - Fig. 2 in data source paper has 426 quadrats reported</t>
        </r>
      </text>
    </comment>
    <comment ref="J409" authorId="7">
      <text>
        <r>
          <rPr>
            <b/>
            <sz val="9"/>
            <color indexed="81"/>
            <rFont val="Arial"/>
          </rPr>
          <t>Lyndon Estes:</t>
        </r>
        <r>
          <rPr>
            <sz val="9"/>
            <color indexed="81"/>
            <rFont val="Arial"/>
          </rPr>
          <t xml:space="preserve">
Assume one quadrat takes 10 minutes
</t>
        </r>
      </text>
    </comment>
    <comment ref="L409" authorId="7">
      <text>
        <r>
          <rPr>
            <b/>
            <sz val="9"/>
            <color indexed="81"/>
            <rFont val="Arial"/>
          </rPr>
          <t>Lyndon Estes:</t>
        </r>
        <r>
          <rPr>
            <sz val="9"/>
            <color indexed="81"/>
            <rFont val="Arial"/>
          </rPr>
          <t xml:space="preserve">
Assume 5 minute to collect quadrat, so this is study duration</t>
        </r>
      </text>
    </comment>
    <comment ref="G410" authorId="7">
      <text>
        <r>
          <rPr>
            <b/>
            <sz val="9"/>
            <color indexed="81"/>
            <rFont val="Arial"/>
          </rPr>
          <t>Lyndon Estes:</t>
        </r>
        <r>
          <rPr>
            <sz val="9"/>
            <color indexed="81"/>
            <rFont val="Arial"/>
          </rPr>
          <t xml:space="preserve">
Fig.2 in source shows ~120 colonies/m2, so taking reported max of 4 colonies per photo, back out the average picture resolution of 20 cm</t>
        </r>
      </text>
    </comment>
    <comment ref="H410" authorId="7">
      <text>
        <r>
          <rPr>
            <b/>
            <sz val="9"/>
            <color indexed="81"/>
            <rFont val="Arial"/>
          </rPr>
          <t>Lyndon Estes:</t>
        </r>
        <r>
          <rPr>
            <sz val="9"/>
            <color indexed="81"/>
            <rFont val="Arial"/>
          </rPr>
          <t xml:space="preserve">
total sampled colonies, divided by 2, which is average number of colonies per picture</t>
        </r>
      </text>
    </comment>
    <comment ref="J410" authorId="7">
      <text>
        <r>
          <rPr>
            <b/>
            <sz val="9"/>
            <color indexed="81"/>
            <rFont val="Arial"/>
          </rPr>
          <t>Lyndon Estes:</t>
        </r>
        <r>
          <rPr>
            <sz val="9"/>
            <color indexed="81"/>
            <rFont val="Arial"/>
          </rPr>
          <t xml:space="preserve">
Assume one photo takes 5 seconds
</t>
        </r>
      </text>
    </comment>
    <comment ref="L410" authorId="7">
      <text>
        <r>
          <rPr>
            <b/>
            <sz val="9"/>
            <color indexed="81"/>
            <rFont val="Arial"/>
          </rPr>
          <t>Lyndon Estes:</t>
        </r>
        <r>
          <rPr>
            <sz val="9"/>
            <color indexed="81"/>
            <rFont val="Arial"/>
          </rPr>
          <t xml:space="preserve">
Assume 5 minute to collect quadrat, so this is study duration</t>
        </r>
      </text>
    </comment>
    <comment ref="J412" authorId="7">
      <text>
        <r>
          <rPr>
            <b/>
            <sz val="9"/>
            <color indexed="81"/>
            <rFont val="Arial"/>
          </rPr>
          <t>Lyndon Estes:</t>
        </r>
        <r>
          <rPr>
            <sz val="9"/>
            <color indexed="81"/>
            <rFont val="Arial"/>
          </rPr>
          <t xml:space="preserve">
assume 5 minutes per sample plot</t>
        </r>
      </text>
    </comment>
    <comment ref="L412" authorId="7">
      <text>
        <r>
          <rPr>
            <b/>
            <sz val="9"/>
            <color indexed="81"/>
            <rFont val="Arial"/>
          </rPr>
          <t>Lyndon Estes:</t>
        </r>
        <r>
          <rPr>
            <sz val="9"/>
            <color indexed="81"/>
            <rFont val="Arial"/>
          </rPr>
          <t xml:space="preserve">
sampled twice, assumed 5 minutes per plot</t>
        </r>
      </text>
    </comment>
    <comment ref="G413" authorId="7">
      <text>
        <r>
          <rPr>
            <b/>
            <sz val="9"/>
            <color indexed="81"/>
            <rFont val="Arial"/>
          </rPr>
          <t>Lyndon Estes:</t>
        </r>
        <r>
          <rPr>
            <sz val="9"/>
            <color indexed="81"/>
            <rFont val="Arial"/>
          </rPr>
          <t xml:space="preserve">
20 cm diameter dust deposition sampler
</t>
        </r>
      </text>
    </comment>
    <comment ref="J413" authorId="7">
      <text>
        <r>
          <rPr>
            <b/>
            <sz val="9"/>
            <color indexed="81"/>
            <rFont val="Arial"/>
          </rPr>
          <t>Lyndon Estes:</t>
        </r>
        <r>
          <rPr>
            <sz val="9"/>
            <color indexed="81"/>
            <rFont val="Arial"/>
          </rPr>
          <t xml:space="preserve">
Sampling interval based on mean duration for two seasons sampling</t>
        </r>
      </text>
    </comment>
    <comment ref="K413" authorId="7">
      <text>
        <r>
          <rPr>
            <b/>
            <sz val="9"/>
            <color indexed="81"/>
            <rFont val="Arial"/>
          </rPr>
          <t>Lyndon Estes:</t>
        </r>
        <r>
          <rPr>
            <sz val="9"/>
            <color indexed="81"/>
            <rFont val="Arial"/>
          </rPr>
          <t xml:space="preserve">
Assume it took a minute to collect dust between samples</t>
        </r>
      </text>
    </comment>
    <comment ref="L413" authorId="7">
      <text>
        <r>
          <rPr>
            <b/>
            <sz val="9"/>
            <color indexed="81"/>
            <rFont val="Arial"/>
          </rPr>
          <t>Lyndon Estes:</t>
        </r>
        <r>
          <rPr>
            <sz val="9"/>
            <color indexed="81"/>
            <rFont val="Arial"/>
          </rPr>
          <t xml:space="preserve">
Total time spent dust sampling in both seasons</t>
        </r>
      </text>
    </comment>
    <comment ref="J414" authorId="7">
      <text>
        <r>
          <rPr>
            <b/>
            <sz val="9"/>
            <color indexed="81"/>
            <rFont val="Arial"/>
          </rPr>
          <t>Lyndon Estes:</t>
        </r>
        <r>
          <rPr>
            <sz val="9"/>
            <color indexed="81"/>
            <rFont val="Arial"/>
          </rPr>
          <t xml:space="preserve">
assume 5 minutes per sample plot</t>
        </r>
      </text>
    </comment>
    <comment ref="M414" authorId="7">
      <text>
        <r>
          <rPr>
            <b/>
            <sz val="9"/>
            <color indexed="81"/>
            <rFont val="Arial"/>
          </rPr>
          <t>Lyndon Estes:</t>
        </r>
        <r>
          <rPr>
            <sz val="9"/>
            <color indexed="81"/>
            <rFont val="Arial"/>
          </rPr>
          <t xml:space="preserve">
Assume sampling took a month total</t>
        </r>
      </text>
    </comment>
    <comment ref="G415" authorId="7">
      <text>
        <r>
          <rPr>
            <b/>
            <sz val="9"/>
            <color indexed="81"/>
            <rFont val="Arial"/>
          </rPr>
          <t>Lyndon Estes:</t>
        </r>
        <r>
          <rPr>
            <sz val="9"/>
            <color indexed="81"/>
            <rFont val="Arial"/>
          </rPr>
          <t xml:space="preserve">
0.7X0.7 and 0.5X0.5 m chambers</t>
        </r>
      </text>
    </comment>
    <comment ref="H415" authorId="7">
      <text>
        <r>
          <rPr>
            <b/>
            <sz val="9"/>
            <color indexed="81"/>
            <rFont val="Arial"/>
          </rPr>
          <t>Lyndon Estes:</t>
        </r>
        <r>
          <rPr>
            <sz val="9"/>
            <color indexed="81"/>
            <rFont val="Arial"/>
          </rPr>
          <t xml:space="preserve">
2 sites, 3 chambers per site</t>
        </r>
      </text>
    </comment>
    <comment ref="J415" authorId="7">
      <text>
        <r>
          <rPr>
            <b/>
            <sz val="9"/>
            <color indexed="81"/>
            <rFont val="Arial"/>
          </rPr>
          <t>Lyndon Estes:</t>
        </r>
        <r>
          <rPr>
            <sz val="9"/>
            <color indexed="81"/>
            <rFont val="Arial"/>
          </rPr>
          <t xml:space="preserve">
1 flux measurement is 5 injections each with sampling time of 3 minutes each, I think</t>
        </r>
      </text>
    </comment>
    <comment ref="L415" authorId="7">
      <text>
        <r>
          <rPr>
            <b/>
            <sz val="9"/>
            <color indexed="81"/>
            <rFont val="Arial"/>
          </rPr>
          <t>Lyndon Estes:</t>
        </r>
        <r>
          <rPr>
            <sz val="9"/>
            <color indexed="81"/>
            <rFont val="Arial"/>
          </rPr>
          <t xml:space="preserve">
sampling seasons estimated from figure 2 and 3, 8 measurements per day, X sample duratin</t>
        </r>
      </text>
    </comment>
    <comment ref="M415" authorId="7">
      <text>
        <r>
          <rPr>
            <b/>
            <sz val="9"/>
            <color indexed="81"/>
            <rFont val="Arial"/>
          </rPr>
          <t>Lyndon Estes:</t>
        </r>
        <r>
          <rPr>
            <sz val="9"/>
            <color indexed="81"/>
            <rFont val="Arial"/>
          </rPr>
          <t xml:space="preserve">
estimated duration from figure 2 and 3</t>
        </r>
      </text>
    </comment>
    <comment ref="G416" authorId="7">
      <text>
        <r>
          <rPr>
            <b/>
            <sz val="9"/>
            <color indexed="81"/>
            <rFont val="Arial"/>
          </rPr>
          <t>Lyndon Estes:</t>
        </r>
        <r>
          <rPr>
            <sz val="9"/>
            <color indexed="81"/>
            <rFont val="Arial"/>
          </rPr>
          <t xml:space="preserve">
0.7X0.7 and 0.5X0.5 m chambers</t>
        </r>
      </text>
    </comment>
    <comment ref="H416" authorId="7">
      <text>
        <r>
          <rPr>
            <b/>
            <sz val="9"/>
            <color indexed="81"/>
            <rFont val="Arial"/>
          </rPr>
          <t>Lyndon Estes:</t>
        </r>
        <r>
          <rPr>
            <sz val="9"/>
            <color indexed="81"/>
            <rFont val="Arial"/>
          </rPr>
          <t xml:space="preserve">
2 sites, 3 chambers per site</t>
        </r>
      </text>
    </comment>
    <comment ref="J416" authorId="7">
      <text>
        <r>
          <rPr>
            <b/>
            <sz val="9"/>
            <color indexed="81"/>
            <rFont val="Arial"/>
          </rPr>
          <t>Lyndon Estes:</t>
        </r>
        <r>
          <rPr>
            <sz val="9"/>
            <color indexed="81"/>
            <rFont val="Arial"/>
          </rPr>
          <t xml:space="preserve">
1 flux measurement is 5 injections each with sampling time of 3 minutes each, I think</t>
        </r>
      </text>
    </comment>
    <comment ref="L416" authorId="7">
      <text>
        <r>
          <rPr>
            <b/>
            <sz val="9"/>
            <color indexed="81"/>
            <rFont val="Arial"/>
          </rPr>
          <t>Lyndon Estes:</t>
        </r>
        <r>
          <rPr>
            <sz val="9"/>
            <color indexed="81"/>
            <rFont val="Arial"/>
          </rPr>
          <t xml:space="preserve">
sampling season estimated from figure 5, 1/0.05 measurements per day, X sample duration</t>
        </r>
      </text>
    </comment>
    <comment ref="M416" authorId="7">
      <text>
        <r>
          <rPr>
            <b/>
            <sz val="9"/>
            <color indexed="81"/>
            <rFont val="Arial"/>
          </rPr>
          <t>Lyndon Estes:
estimated duration from figure 5</t>
        </r>
      </text>
    </comment>
    <comment ref="G417" authorId="7">
      <text>
        <r>
          <rPr>
            <b/>
            <sz val="9"/>
            <color indexed="81"/>
            <rFont val="Arial"/>
          </rPr>
          <t>Lyndon Estes:</t>
        </r>
        <r>
          <rPr>
            <sz val="9"/>
            <color indexed="81"/>
            <rFont val="Arial"/>
          </rPr>
          <t xml:space="preserve">
This study provides no detail on the biomass sampling resolution, so assume it is same as in Gao et al (2008)</t>
        </r>
      </text>
    </comment>
    <comment ref="H417" authorId="7">
      <text>
        <r>
          <rPr>
            <b/>
            <sz val="9"/>
            <color indexed="81"/>
            <rFont val="Arial"/>
          </rPr>
          <t>Lyndon Estes:</t>
        </r>
        <r>
          <rPr>
            <sz val="9"/>
            <color indexed="81"/>
            <rFont val="Arial"/>
          </rPr>
          <t xml:space="preserve">
Also, this is hard to say, but based on Gao et al (2008), each replicate is from different 1 m^2 plot, so treat as different plots</t>
        </r>
      </text>
    </comment>
    <comment ref="J417" authorId="7">
      <text>
        <r>
          <rPr>
            <b/>
            <sz val="9"/>
            <color indexed="81"/>
            <rFont val="Arial"/>
          </rPr>
          <t>Lyndon Estes:</t>
        </r>
        <r>
          <rPr>
            <sz val="9"/>
            <color indexed="81"/>
            <rFont val="Arial"/>
          </rPr>
          <t xml:space="preserve">
assume 10 minutes per biomass sample plot</t>
        </r>
      </text>
    </comment>
    <comment ref="K417" authorId="7">
      <text>
        <r>
          <rPr>
            <b/>
            <sz val="9"/>
            <color indexed="81"/>
            <rFont val="Arial"/>
          </rPr>
          <t>Lyndon Estes:</t>
        </r>
        <r>
          <rPr>
            <sz val="9"/>
            <color indexed="81"/>
            <rFont val="Arial"/>
          </rPr>
          <t xml:space="preserve">
The plots taken in each year are not true repeat samples, so I am going to assume that the replicate is on the total season dynamics between years, so time between samples is the average between the start and end dates in each of the three seasons. Estimates of these are from Gao et al (2008)</t>
        </r>
      </text>
    </comment>
    <comment ref="G418" authorId="7">
      <text>
        <r>
          <rPr>
            <b/>
            <sz val="9"/>
            <color indexed="81"/>
            <rFont val="Arial"/>
          </rPr>
          <t>Lyndon Estes:</t>
        </r>
        <r>
          <rPr>
            <sz val="9"/>
            <color indexed="81"/>
            <rFont val="Arial"/>
          </rPr>
          <t xml:space="preserve">
8.5 cm diameter soil augur</t>
        </r>
      </text>
    </comment>
    <comment ref="J418" authorId="7">
      <text>
        <r>
          <rPr>
            <b/>
            <sz val="9"/>
            <color indexed="81"/>
            <rFont val="Arial"/>
          </rPr>
          <t>Lyndon Estes:</t>
        </r>
        <r>
          <rPr>
            <sz val="9"/>
            <color indexed="81"/>
            <rFont val="Arial"/>
          </rPr>
          <t xml:space="preserve">
assume 10 minutes per soil augur</t>
        </r>
      </text>
    </comment>
    <comment ref="K418" authorId="7">
      <text>
        <r>
          <rPr>
            <b/>
            <sz val="9"/>
            <color indexed="81"/>
            <rFont val="Arial"/>
          </rPr>
          <t>Lyndon Estes:</t>
        </r>
        <r>
          <rPr>
            <sz val="9"/>
            <color indexed="81"/>
            <rFont val="Arial"/>
          </rPr>
          <t xml:space="preserve">
The plots taken in each year are not true repeat samples, so I am going to assume that the replicate is on the total season dynamics between years, so time between samples is the average between the start and end dates in each of the three seasons. Estimates of these are from Gao et al (2008)</t>
        </r>
      </text>
    </comment>
    <comment ref="H419" authorId="7">
      <text>
        <r>
          <rPr>
            <b/>
            <sz val="9"/>
            <color indexed="81"/>
            <rFont val="Arial"/>
          </rPr>
          <t>Lyndon Estes:</t>
        </r>
        <r>
          <rPr>
            <sz val="9"/>
            <color indexed="81"/>
            <rFont val="Arial"/>
          </rPr>
          <t xml:space="preserve">
Unsure about the number of sites: assume these are true repeats, but never stated how many plots there were total</t>
        </r>
      </text>
    </comment>
    <comment ref="J419" authorId="7">
      <text>
        <r>
          <rPr>
            <b/>
            <sz val="9"/>
            <color indexed="81"/>
            <rFont val="Arial"/>
          </rPr>
          <t>Lyndon Estes:</t>
        </r>
        <r>
          <rPr>
            <sz val="9"/>
            <color indexed="81"/>
            <rFont val="Arial"/>
          </rPr>
          <t xml:space="preserve">
Assume 1 hour per sample</t>
        </r>
      </text>
    </comment>
    <comment ref="K419" authorId="7">
      <text>
        <r>
          <rPr>
            <b/>
            <sz val="9"/>
            <color indexed="81"/>
            <rFont val="Arial"/>
          </rPr>
          <t>Lyndon Estes:</t>
        </r>
        <r>
          <rPr>
            <sz val="9"/>
            <color indexed="81"/>
            <rFont val="Arial"/>
          </rPr>
          <t xml:space="preserve">
Average of sampling dates given in Gao et al (2008) on page 43, including when they first inserted cores pre-season</t>
        </r>
      </text>
    </comment>
    <comment ref="G420" authorId="7">
      <text>
        <r>
          <rPr>
            <b/>
            <sz val="9"/>
            <color indexed="81"/>
            <rFont val="Arial"/>
          </rPr>
          <t>Lyndon Estes:</t>
        </r>
        <r>
          <rPr>
            <sz val="9"/>
            <color indexed="81"/>
            <rFont val="Arial"/>
          </rPr>
          <t xml:space="preserve">
8.5 cm diameter soil augur</t>
        </r>
      </text>
    </comment>
    <comment ref="J420" authorId="7">
      <text>
        <r>
          <rPr>
            <b/>
            <sz val="9"/>
            <color indexed="81"/>
            <rFont val="Arial"/>
          </rPr>
          <t>Lyndon Estes:</t>
        </r>
        <r>
          <rPr>
            <sz val="9"/>
            <color indexed="81"/>
            <rFont val="Arial"/>
          </rPr>
          <t xml:space="preserve">
assume 10 minutes per soil augur</t>
        </r>
      </text>
    </comment>
    <comment ref="M420" authorId="7">
      <text>
        <r>
          <rPr>
            <b/>
            <sz val="9"/>
            <color indexed="81"/>
            <rFont val="Arial"/>
          </rPr>
          <t>Lyndon Estes:</t>
        </r>
        <r>
          <rPr>
            <sz val="9"/>
            <color indexed="81"/>
            <rFont val="Arial"/>
          </rPr>
          <t xml:space="preserve">
Assume did this over one season only</t>
        </r>
      </text>
    </comment>
    <comment ref="G421" authorId="7">
      <text>
        <r>
          <rPr>
            <b/>
            <sz val="9"/>
            <color indexed="81"/>
            <rFont val="Arial"/>
          </rPr>
          <t>Lyndon Estes:</t>
        </r>
        <r>
          <rPr>
            <sz val="9"/>
            <color indexed="81"/>
            <rFont val="Arial"/>
          </rPr>
          <t xml:space="preserve">
Assume 1 X 1 m soil pit</t>
        </r>
      </text>
    </comment>
    <comment ref="J421" authorId="7">
      <text>
        <r>
          <rPr>
            <b/>
            <sz val="9"/>
            <color indexed="81"/>
            <rFont val="Arial"/>
          </rPr>
          <t>Lyndon Estes:</t>
        </r>
        <r>
          <rPr>
            <sz val="9"/>
            <color indexed="81"/>
            <rFont val="Arial"/>
          </rPr>
          <t xml:space="preserve">
Assume 2 days to dig pits and then: "A combined aggregate size,
density, and particle size fractionation procedure was
applied to soil samples from three horizons of each pit to
separate functional SOM fractions and pools. The
horizons were sampled based on diagnostic features,
e.g., color, texture, structure, and aggregation. All
physical fractions were analyzed for C and N concentrations
while the SOM quality of selected fractions was
analyzed for neutral sugar and radio carbon content
using solid-state 13C NMR spectroscopy (Steffens et al.
2008, 2009, 2011)."</t>
        </r>
      </text>
    </comment>
    <comment ref="M421" authorId="7">
      <text>
        <r>
          <rPr>
            <b/>
            <sz val="9"/>
            <color indexed="81"/>
            <rFont val="Arial"/>
          </rPr>
          <t>Lyndon Estes:</t>
        </r>
        <r>
          <rPr>
            <sz val="9"/>
            <color indexed="81"/>
            <rFont val="Arial"/>
          </rPr>
          <t xml:space="preserve">
Assume did this over one season only</t>
        </r>
      </text>
    </comment>
    <comment ref="J426" authorId="7">
      <text>
        <r>
          <rPr>
            <b/>
            <sz val="9"/>
            <color indexed="81"/>
            <rFont val="Arial"/>
          </rPr>
          <t>Lyndon Estes:</t>
        </r>
        <r>
          <rPr>
            <sz val="9"/>
            <color indexed="81"/>
            <rFont val="Arial"/>
          </rPr>
          <t xml:space="preserve">
Assume 30 minutes per quadrat</t>
        </r>
      </text>
    </comment>
    <comment ref="M426" authorId="7">
      <text>
        <r>
          <rPr>
            <b/>
            <sz val="9"/>
            <color indexed="81"/>
            <rFont val="Arial"/>
          </rPr>
          <t>Lyndon Estes:</t>
        </r>
        <r>
          <rPr>
            <sz val="9"/>
            <color indexed="81"/>
            <rFont val="Arial"/>
          </rPr>
          <t xml:space="preserve">
Assume three months for the whole study
</t>
        </r>
      </text>
    </comment>
    <comment ref="G427" authorId="7">
      <text>
        <r>
          <rPr>
            <b/>
            <sz val="9"/>
            <color indexed="81"/>
            <rFont val="Arial"/>
          </rPr>
          <t>Lyndon Estes:</t>
        </r>
        <r>
          <rPr>
            <sz val="9"/>
            <color indexed="81"/>
            <rFont val="Arial"/>
          </rPr>
          <t xml:space="preserve">
8.5 cm diameter soil augur</t>
        </r>
      </text>
    </comment>
    <comment ref="H427" authorId="7">
      <text>
        <r>
          <rPr>
            <b/>
            <sz val="9"/>
            <color indexed="81"/>
            <rFont val="Arial"/>
          </rPr>
          <t>Lyndon Estes:</t>
        </r>
        <r>
          <rPr>
            <sz val="9"/>
            <color indexed="81"/>
            <rFont val="Arial"/>
          </rPr>
          <t xml:space="preserve">
3 soil sample per quadrat</t>
        </r>
      </text>
    </comment>
    <comment ref="J427" authorId="7">
      <text>
        <r>
          <rPr>
            <b/>
            <sz val="9"/>
            <color indexed="81"/>
            <rFont val="Arial"/>
          </rPr>
          <t>Lyndon Estes:</t>
        </r>
        <r>
          <rPr>
            <sz val="9"/>
            <color indexed="81"/>
            <rFont val="Arial"/>
          </rPr>
          <t xml:space="preserve">
Assume 20 minutes to collect 3 soil samples per quadrat</t>
        </r>
      </text>
    </comment>
    <comment ref="M427" authorId="7">
      <text>
        <r>
          <rPr>
            <b/>
            <sz val="9"/>
            <color indexed="81"/>
            <rFont val="Arial"/>
          </rPr>
          <t>Lyndon Estes:</t>
        </r>
        <r>
          <rPr>
            <sz val="9"/>
            <color indexed="81"/>
            <rFont val="Arial"/>
          </rPr>
          <t xml:space="preserve">
Assume three months for the whole study
</t>
        </r>
      </text>
    </comment>
    <comment ref="J428" authorId="7">
      <text>
        <r>
          <rPr>
            <b/>
            <sz val="9"/>
            <color indexed="81"/>
            <rFont val="Arial"/>
          </rPr>
          <t>Lyndon Estes:</t>
        </r>
        <r>
          <rPr>
            <sz val="9"/>
            <color indexed="81"/>
            <rFont val="Arial"/>
          </rPr>
          <t xml:space="preserve">
Authors say at least 25 minutes done to scan for arthropods, so that's a minimum</t>
        </r>
      </text>
    </comment>
    <comment ref="L428" authorId="7">
      <text>
        <r>
          <rPr>
            <b/>
            <sz val="9"/>
            <color indexed="81"/>
            <rFont val="Arial"/>
          </rPr>
          <t>Lyndon Estes:</t>
        </r>
        <r>
          <rPr>
            <sz val="9"/>
            <color indexed="81"/>
            <rFont val="Arial"/>
          </rPr>
          <t xml:space="preserve">
Authors say at least 25 minutes done to scan for arthropods, so that's a minimum</t>
        </r>
      </text>
    </comment>
    <comment ref="M428" authorId="7">
      <text>
        <r>
          <rPr>
            <b/>
            <sz val="9"/>
            <color indexed="81"/>
            <rFont val="Arial"/>
          </rPr>
          <t>Lyndon Estes:</t>
        </r>
        <r>
          <rPr>
            <sz val="9"/>
            <color indexed="81"/>
            <rFont val="Arial"/>
          </rPr>
          <t xml:space="preserve">
February, 2001</t>
        </r>
      </text>
    </comment>
    <comment ref="G429" authorId="7">
      <text>
        <r>
          <rPr>
            <b/>
            <sz val="9"/>
            <color indexed="81"/>
            <rFont val="Arial"/>
          </rPr>
          <t>Lyndon Estes:</t>
        </r>
        <r>
          <rPr>
            <sz val="9"/>
            <color indexed="81"/>
            <rFont val="Arial"/>
          </rPr>
          <t xml:space="preserve">
assume instruments has 1 cm diameter for t/soil moisture, etc.</t>
        </r>
      </text>
    </comment>
    <comment ref="H429" authorId="7">
      <text>
        <r>
          <rPr>
            <b/>
            <sz val="9"/>
            <color indexed="81"/>
            <rFont val="Arial"/>
          </rPr>
          <t>Lyndon Estes:</t>
        </r>
        <r>
          <rPr>
            <sz val="9"/>
            <color indexed="81"/>
            <rFont val="Arial"/>
          </rPr>
          <t xml:space="preserve">
Measurements were made beyond the first 20 meters into the cave, but results not provided beyond that
</t>
        </r>
      </text>
    </comment>
    <comment ref="J429" authorId="7">
      <text>
        <r>
          <rPr>
            <b/>
            <sz val="9"/>
            <color indexed="81"/>
            <rFont val="Arial"/>
          </rPr>
          <t>Lyndon Estes:</t>
        </r>
        <r>
          <rPr>
            <sz val="9"/>
            <color indexed="81"/>
            <rFont val="Arial"/>
          </rPr>
          <t xml:space="preserve">
assume readings were taken at end of 25 minute athropod sample, to equilibrate</t>
        </r>
      </text>
    </comment>
    <comment ref="G430" authorId="7">
      <text>
        <r>
          <rPr>
            <b/>
            <sz val="9"/>
            <color indexed="81"/>
            <rFont val="Arial"/>
          </rPr>
          <t>Lyndon Estes:</t>
        </r>
        <r>
          <rPr>
            <sz val="9"/>
            <color indexed="81"/>
            <rFont val="Arial"/>
          </rPr>
          <t xml:space="preserve">
assume 1X1 m raccoon trap</t>
        </r>
      </text>
    </comment>
    <comment ref="H430" authorId="7">
      <text>
        <r>
          <rPr>
            <b/>
            <sz val="9"/>
            <color indexed="81"/>
            <rFont val="Arial"/>
          </rPr>
          <t>Lyndon Estes:</t>
        </r>
        <r>
          <rPr>
            <sz val="9"/>
            <color indexed="81"/>
            <rFont val="Arial"/>
          </rPr>
          <t xml:space="preserve">
Hard to tell, but maximum N of traps reported per woodlot was 30.  I assume 20here</t>
        </r>
      </text>
    </comment>
    <comment ref="L430" authorId="7">
      <text>
        <r>
          <rPr>
            <b/>
            <sz val="9"/>
            <color indexed="81"/>
            <rFont val="Arial"/>
          </rPr>
          <t>Lyndon Estes:</t>
        </r>
        <r>
          <rPr>
            <sz val="9"/>
            <color indexed="81"/>
            <rFont val="Arial"/>
          </rPr>
          <t xml:space="preserve">
Assuming trapping was constant. 4 years of trapping. Start and end dates assumed, inferred from ref study</t>
        </r>
      </text>
    </comment>
    <comment ref="M430" authorId="7">
      <text>
        <r>
          <rPr>
            <b/>
            <sz val="9"/>
            <color indexed="81"/>
            <rFont val="Arial"/>
          </rPr>
          <t>Lyndon Estes:</t>
        </r>
        <r>
          <rPr>
            <sz val="9"/>
            <color indexed="81"/>
            <rFont val="Arial"/>
          </rPr>
          <t xml:space="preserve">
Start and end dates not quite known</t>
        </r>
      </text>
    </comment>
    <comment ref="G431" authorId="7">
      <text>
        <r>
          <rPr>
            <b/>
            <sz val="9"/>
            <color indexed="81"/>
            <rFont val="Arial"/>
          </rPr>
          <t>Lyndon Estes:</t>
        </r>
        <r>
          <rPr>
            <sz val="9"/>
            <color indexed="81"/>
            <rFont val="Arial"/>
          </rPr>
          <t xml:space="preserve">
30 cm diameter sampling sieve, repeated 7 time for one sample</t>
        </r>
      </text>
    </comment>
    <comment ref="J431" authorId="7">
      <text>
        <r>
          <rPr>
            <b/>
            <sz val="9"/>
            <color indexed="81"/>
            <rFont val="Arial"/>
          </rPr>
          <t>Lyndon Estes:</t>
        </r>
        <r>
          <rPr>
            <sz val="9"/>
            <color indexed="81"/>
            <rFont val="Arial"/>
          </rPr>
          <t xml:space="preserve">
Assume the 7 samples took 1 hour to do</t>
        </r>
      </text>
    </comment>
    <comment ref="K431" authorId="7">
      <text>
        <r>
          <rPr>
            <b/>
            <sz val="9"/>
            <color indexed="81"/>
            <rFont val="Arial"/>
          </rPr>
          <t>Lyndon Estes:</t>
        </r>
        <r>
          <rPr>
            <sz val="9"/>
            <color indexed="81"/>
            <rFont val="Arial"/>
          </rPr>
          <t xml:space="preserve">
Sampling from about January, 2009 to May, 2012.  Counted data points, and looks like 35-36)</t>
        </r>
      </text>
    </comment>
    <comment ref="M431" authorId="7">
      <text>
        <r>
          <rPr>
            <b/>
            <sz val="9"/>
            <color indexed="81"/>
            <rFont val="Arial"/>
          </rPr>
          <t>Lyndon Estes:</t>
        </r>
        <r>
          <rPr>
            <sz val="9"/>
            <color indexed="81"/>
            <rFont val="Arial"/>
          </rPr>
          <t xml:space="preserve">
Assume January 1, 2009 until 31 May, 2012</t>
        </r>
      </text>
    </comment>
    <comment ref="G432" authorId="7">
      <text>
        <r>
          <rPr>
            <b/>
            <sz val="9"/>
            <color indexed="81"/>
            <rFont val="Arial"/>
          </rPr>
          <t>Lyndon Estes:</t>
        </r>
        <r>
          <rPr>
            <sz val="9"/>
            <color indexed="81"/>
            <rFont val="Arial"/>
          </rPr>
          <t xml:space="preserve">
Seabird sensor looks about 1 m diameter, and lowered to collect full profile</t>
        </r>
      </text>
    </comment>
    <comment ref="H432" authorId="7">
      <text>
        <r>
          <rPr>
            <b/>
            <sz val="9"/>
            <color indexed="81"/>
            <rFont val="Arial"/>
          </rPr>
          <t>Lyndon Estes:</t>
        </r>
        <r>
          <rPr>
            <sz val="9"/>
            <color indexed="81"/>
            <rFont val="Arial"/>
          </rPr>
          <t xml:space="preserve">
based on counting n samples in depth profiles fig. 6b</t>
        </r>
      </text>
    </comment>
    <comment ref="J432" authorId="7">
      <text>
        <r>
          <rPr>
            <b/>
            <sz val="9"/>
            <color indexed="81"/>
            <rFont val="Arial"/>
          </rPr>
          <t>Lyndon Estes:</t>
        </r>
        <r>
          <rPr>
            <sz val="9"/>
            <color indexed="81"/>
            <rFont val="Arial"/>
          </rPr>
          <t xml:space="preserve">
Assume took 2 hours to do depth profile</t>
        </r>
      </text>
    </comment>
    <comment ref="G433" authorId="7">
      <text>
        <r>
          <rPr>
            <sz val="9"/>
            <color indexed="81"/>
            <rFont val="Arial"/>
          </rPr>
          <t>shipborne PAR detector, assume 10 cm diameter</t>
        </r>
      </text>
    </comment>
    <comment ref="H433" authorId="7">
      <text>
        <r>
          <rPr>
            <b/>
            <sz val="9"/>
            <color indexed="81"/>
            <rFont val="Arial"/>
          </rPr>
          <t>Lyndon Estes:</t>
        </r>
        <r>
          <rPr>
            <sz val="9"/>
            <color indexed="81"/>
            <rFont val="Arial"/>
          </rPr>
          <t xml:space="preserve">
they took PAR readings every 10 minutes over the 28 days
</t>
        </r>
      </text>
    </comment>
    <comment ref="J433" authorId="7">
      <text>
        <r>
          <rPr>
            <b/>
            <sz val="9"/>
            <color indexed="81"/>
            <rFont val="Arial"/>
          </rPr>
          <t>Lyndon Estes:</t>
        </r>
        <r>
          <rPr>
            <sz val="9"/>
            <color indexed="81"/>
            <rFont val="Arial"/>
          </rPr>
          <t xml:space="preserve">
instantaneous</t>
        </r>
      </text>
    </comment>
    <comment ref="G434" authorId="7">
      <text>
        <r>
          <rPr>
            <b/>
            <sz val="9"/>
            <color indexed="81"/>
            <rFont val="Arial"/>
          </rPr>
          <t>Lyndon Estes:</t>
        </r>
        <r>
          <rPr>
            <sz val="9"/>
            <color indexed="81"/>
            <rFont val="Arial"/>
          </rPr>
          <t xml:space="preserve">
assume they used 1 km modis products, which is 0.00833 degrees. Estimate area from area in R after defining bounding extents with this resolution</t>
        </r>
      </text>
    </comment>
    <comment ref="J434" authorId="7">
      <text>
        <r>
          <rPr>
            <b/>
            <sz val="9"/>
            <color indexed="81"/>
            <rFont val="Arial"/>
          </rPr>
          <t>Lyndon Estes:</t>
        </r>
        <r>
          <rPr>
            <sz val="9"/>
            <color indexed="81"/>
            <rFont val="Arial"/>
          </rPr>
          <t xml:space="preserve">
instantaneous</t>
        </r>
      </text>
    </comment>
    <comment ref="L434" authorId="7">
      <text>
        <r>
          <rPr>
            <b/>
            <sz val="9"/>
            <color indexed="81"/>
            <rFont val="Arial"/>
          </rPr>
          <t>Lyndon Estes:</t>
        </r>
        <r>
          <rPr>
            <sz val="9"/>
            <color indexed="81"/>
            <rFont val="Arial"/>
          </rPr>
          <t xml:space="preserve">
assume daily modis data from 1/9/11 to 29/2/12</t>
        </r>
      </text>
    </comment>
    <comment ref="M434" authorId="7">
      <text>
        <r>
          <rPr>
            <b/>
            <sz val="9"/>
            <color indexed="81"/>
            <rFont val="Arial"/>
          </rPr>
          <t>Lyndon Estes:</t>
        </r>
        <r>
          <rPr>
            <sz val="9"/>
            <color indexed="81"/>
            <rFont val="Arial"/>
          </rPr>
          <t xml:space="preserve">
assume daily modis data from 1/9/11 to 29/2/12</t>
        </r>
      </text>
    </comment>
    <comment ref="G435" authorId="7">
      <text>
        <r>
          <rPr>
            <sz val="9"/>
            <color indexed="81"/>
            <rFont val="Arial"/>
          </rPr>
          <t xml:space="preserve">assume 10 cm diameter for towed fish intake
</t>
        </r>
      </text>
    </comment>
    <comment ref="H435" authorId="7">
      <text>
        <r>
          <rPr>
            <b/>
            <sz val="9"/>
            <color indexed="81"/>
            <rFont val="Arial"/>
          </rPr>
          <t>Lyndon Estes:</t>
        </r>
        <r>
          <rPr>
            <sz val="9"/>
            <color indexed="81"/>
            <rFont val="Arial"/>
          </rPr>
          <t xml:space="preserve">
based on counting fig. 2 observations (d)</t>
        </r>
      </text>
    </comment>
    <comment ref="J435" authorId="7">
      <text>
        <r>
          <rPr>
            <b/>
            <sz val="9"/>
            <color indexed="81"/>
            <rFont val="Arial"/>
          </rPr>
          <t>Lyndon Estes:</t>
        </r>
        <r>
          <rPr>
            <sz val="9"/>
            <color indexed="81"/>
            <rFont val="Arial"/>
          </rPr>
          <t xml:space="preserve">
instantaneous</t>
        </r>
      </text>
    </comment>
    <comment ref="K435" authorId="7">
      <text>
        <r>
          <rPr>
            <b/>
            <sz val="9"/>
            <color indexed="81"/>
            <rFont val="Arial"/>
          </rPr>
          <t>Lyndon Estes:</t>
        </r>
        <r>
          <rPr>
            <sz val="9"/>
            <color indexed="81"/>
            <rFont val="Arial"/>
          </rPr>
          <t xml:space="preserve">
Sampling from about January, 2009 to May, 2012.  Fish used 13 times)</t>
        </r>
      </text>
    </comment>
    <comment ref="G437" authorId="7">
      <text>
        <r>
          <rPr>
            <b/>
            <sz val="9"/>
            <color indexed="81"/>
            <rFont val="Arial"/>
          </rPr>
          <t>Lyndon Estes:</t>
        </r>
        <r>
          <rPr>
            <sz val="9"/>
            <color indexed="81"/>
            <rFont val="Arial"/>
          </rPr>
          <t xml:space="preserve">
assume swallow nest is unit in this sample, 15 cm diameter</t>
        </r>
      </text>
    </comment>
    <comment ref="J437" authorId="7">
      <text>
        <r>
          <rPr>
            <b/>
            <sz val="9"/>
            <color indexed="81"/>
            <rFont val="Arial"/>
          </rPr>
          <t>Lyndon Estes:</t>
        </r>
        <r>
          <rPr>
            <sz val="9"/>
            <color indexed="81"/>
            <rFont val="Arial"/>
          </rPr>
          <t xml:space="preserve">
assume 5 minutes to sample nest</t>
        </r>
      </text>
    </comment>
    <comment ref="L437" authorId="7">
      <text>
        <r>
          <rPr>
            <b/>
            <sz val="9"/>
            <color indexed="81"/>
            <rFont val="Arial"/>
          </rPr>
          <t>Lyndon Estes:</t>
        </r>
        <r>
          <rPr>
            <sz val="9"/>
            <color indexed="81"/>
            <rFont val="Arial"/>
          </rPr>
          <t xml:space="preserve">
assume 1 month represents "spring" in each year of study, 2001-2002</t>
        </r>
      </text>
    </comment>
    <comment ref="M437" authorId="7">
      <text>
        <r>
          <rPr>
            <b/>
            <sz val="9"/>
            <color indexed="81"/>
            <rFont val="Arial"/>
          </rPr>
          <t>Lyndon Estes:</t>
        </r>
        <r>
          <rPr>
            <sz val="9"/>
            <color indexed="81"/>
            <rFont val="Arial"/>
          </rPr>
          <t xml:space="preserve">
Assume spring range from 1/4 to 15/5</t>
        </r>
      </text>
    </comment>
    <comment ref="G438" authorId="7">
      <text>
        <r>
          <rPr>
            <b/>
            <sz val="9"/>
            <color indexed="81"/>
            <rFont val="Arial"/>
          </rPr>
          <t>Lyndon Estes:</t>
        </r>
        <r>
          <rPr>
            <sz val="9"/>
            <color indexed="81"/>
            <rFont val="Arial"/>
          </rPr>
          <t xml:space="preserve">
assume baby swallow is 5 cm "diameter"</t>
        </r>
      </text>
    </comment>
    <comment ref="J438" authorId="7">
      <text>
        <r>
          <rPr>
            <b/>
            <sz val="9"/>
            <color indexed="81"/>
            <rFont val="Arial"/>
          </rPr>
          <t>Lyndon Estes:</t>
        </r>
        <r>
          <rPr>
            <sz val="9"/>
            <color indexed="81"/>
            <rFont val="Arial"/>
          </rPr>
          <t xml:space="preserve">
assume 10 minutes to measure bird bodies</t>
        </r>
      </text>
    </comment>
    <comment ref="K438" authorId="7">
      <text>
        <r>
          <rPr>
            <b/>
            <sz val="9"/>
            <color indexed="81"/>
            <rFont val="Arial"/>
          </rPr>
          <t>Lyndon Estes:</t>
        </r>
        <r>
          <rPr>
            <sz val="9"/>
            <color indexed="81"/>
            <rFont val="Arial"/>
          </rPr>
          <t xml:space="preserve">
birds measured on days 4, 7, 12 post hatching</t>
        </r>
      </text>
    </comment>
    <comment ref="L438" authorId="7">
      <text>
        <r>
          <rPr>
            <b/>
            <sz val="9"/>
            <color indexed="81"/>
            <rFont val="Arial"/>
          </rPr>
          <t>Lyndon Estes:</t>
        </r>
        <r>
          <rPr>
            <sz val="9"/>
            <color indexed="81"/>
            <rFont val="Arial"/>
          </rPr>
          <t xml:space="preserve">
assume this was done 3 times total per bird, because different birds in the two seasons</t>
        </r>
      </text>
    </comment>
    <comment ref="M438" authorId="7">
      <text>
        <r>
          <rPr>
            <b/>
            <sz val="9"/>
            <color indexed="81"/>
            <rFont val="Arial"/>
          </rPr>
          <t>Lyndon Estes:</t>
        </r>
        <r>
          <rPr>
            <sz val="9"/>
            <color indexed="81"/>
            <rFont val="Arial"/>
          </rPr>
          <t xml:space="preserve">
Assume spring range from 1/4 to 15/5</t>
        </r>
      </text>
    </comment>
    <comment ref="G439" authorId="7">
      <text>
        <r>
          <rPr>
            <b/>
            <sz val="9"/>
            <color indexed="81"/>
            <rFont val="Arial"/>
          </rPr>
          <t>Lyndon Estes:</t>
        </r>
        <r>
          <rPr>
            <sz val="9"/>
            <color indexed="81"/>
            <rFont val="Arial"/>
          </rPr>
          <t xml:space="preserve">
assume pinus taeda catkin is 0.5 cm radius
</t>
        </r>
      </text>
    </comment>
    <comment ref="H439" authorId="7">
      <text>
        <r>
          <rPr>
            <b/>
            <sz val="9"/>
            <color indexed="81"/>
            <rFont val="Arial"/>
          </rPr>
          <t>Lyndon Estes:</t>
        </r>
        <r>
          <rPr>
            <sz val="9"/>
            <color indexed="81"/>
            <rFont val="Arial"/>
          </rPr>
          <t xml:space="preserve">
No information given on how many catkins collected. Assume 3 per genotype, and there were a total of10 genotypes</t>
        </r>
      </text>
    </comment>
    <comment ref="J439" authorId="7">
      <text>
        <r>
          <rPr>
            <b/>
            <sz val="9"/>
            <color indexed="81"/>
            <rFont val="Arial"/>
          </rPr>
          <t>Lyndon Estes:</t>
        </r>
        <r>
          <rPr>
            <sz val="9"/>
            <color indexed="81"/>
            <rFont val="Arial"/>
          </rPr>
          <t xml:space="preserve">
assume 1 minute per catkin</t>
        </r>
      </text>
    </comment>
    <comment ref="J440" authorId="7">
      <text>
        <r>
          <rPr>
            <b/>
            <sz val="9"/>
            <color indexed="81"/>
            <rFont val="Arial"/>
          </rPr>
          <t>Lyndon Estes:</t>
        </r>
        <r>
          <rPr>
            <sz val="9"/>
            <color indexed="81"/>
            <rFont val="Arial"/>
          </rPr>
          <t xml:space="preserve">
assume took 60 minutes to sample each plot</t>
        </r>
      </text>
    </comment>
    <comment ref="L440" authorId="7">
      <text>
        <r>
          <rPr>
            <b/>
            <sz val="9"/>
            <color indexed="81"/>
            <rFont val="Arial"/>
          </rPr>
          <t>Lyndon Estes:</t>
        </r>
        <r>
          <rPr>
            <sz val="9"/>
            <color indexed="81"/>
            <rFont val="Arial"/>
          </rPr>
          <t xml:space="preserve">
collected once in each of 3 years</t>
        </r>
      </text>
    </comment>
    <comment ref="M440" authorId="7">
      <text>
        <r>
          <rPr>
            <b/>
            <sz val="9"/>
            <color indexed="81"/>
            <rFont val="Arial"/>
          </rPr>
          <t>Lyndon Estes:</t>
        </r>
        <r>
          <rPr>
            <sz val="9"/>
            <color indexed="81"/>
            <rFont val="Arial"/>
          </rPr>
          <t xml:space="preserve">
start and end date of study unclear</t>
        </r>
      </text>
    </comment>
    <comment ref="G441" authorId="7">
      <text>
        <r>
          <rPr>
            <b/>
            <sz val="9"/>
            <color indexed="81"/>
            <rFont val="Arial"/>
          </rPr>
          <t>Lyndon Estes:</t>
        </r>
        <r>
          <rPr>
            <sz val="9"/>
            <color indexed="81"/>
            <rFont val="Arial"/>
          </rPr>
          <t xml:space="preserve">
assume 1 cm radius temp measurements, for all variables in flux tower</t>
        </r>
      </text>
    </comment>
    <comment ref="K441" authorId="7">
      <text>
        <r>
          <rPr>
            <b/>
            <sz val="9"/>
            <color indexed="81"/>
            <rFont val="Arial"/>
          </rPr>
          <t>Lyndon Estes:</t>
        </r>
        <r>
          <rPr>
            <sz val="9"/>
            <color indexed="81"/>
            <rFont val="Arial"/>
          </rPr>
          <t xml:space="preserve">
10 seconds between samples</t>
        </r>
      </text>
    </comment>
    <comment ref="J442" authorId="7">
      <text>
        <r>
          <rPr>
            <b/>
            <sz val="9"/>
            <color indexed="81"/>
            <rFont val="Arial"/>
          </rPr>
          <t>Lyndon Estes:</t>
        </r>
        <r>
          <rPr>
            <sz val="9"/>
            <color indexed="81"/>
            <rFont val="Arial"/>
          </rPr>
          <t xml:space="preserve">
assume took 60 minutes to sample each plot</t>
        </r>
      </text>
    </comment>
    <comment ref="M442" authorId="7">
      <text>
        <r>
          <rPr>
            <b/>
            <sz val="9"/>
            <color indexed="81"/>
            <rFont val="Arial"/>
          </rPr>
          <t>Lyndon Estes:</t>
        </r>
        <r>
          <rPr>
            <sz val="9"/>
            <color indexed="81"/>
            <rFont val="Arial"/>
          </rPr>
          <t xml:space="preserve">
assume this part of study was a single day</t>
        </r>
      </text>
    </comment>
    <comment ref="G443" authorId="7">
      <text>
        <r>
          <rPr>
            <b/>
            <sz val="9"/>
            <color indexed="81"/>
            <rFont val="Arial"/>
          </rPr>
          <t>Lyndon Estes:</t>
        </r>
        <r>
          <rPr>
            <sz val="9"/>
            <color indexed="81"/>
            <rFont val="Arial"/>
          </rPr>
          <t xml:space="preserve">
Assume 1 cm wide core and 5 cm long core on average
</t>
        </r>
      </text>
    </comment>
    <comment ref="J443" authorId="7">
      <text>
        <r>
          <rPr>
            <b/>
            <sz val="9"/>
            <color indexed="81"/>
            <rFont val="Arial"/>
          </rPr>
          <t>Lyndon Estes:</t>
        </r>
        <r>
          <rPr>
            <sz val="9"/>
            <color indexed="81"/>
            <rFont val="Arial"/>
          </rPr>
          <t xml:space="preserve">
assume 15
 minutes to take a core</t>
        </r>
      </text>
    </comment>
    <comment ref="M443" authorId="7">
      <text>
        <r>
          <rPr>
            <b/>
            <sz val="9"/>
            <color indexed="81"/>
            <rFont val="Arial"/>
          </rPr>
          <t>Lyndon Estes:</t>
        </r>
        <r>
          <rPr>
            <sz val="9"/>
            <color indexed="81"/>
            <rFont val="Arial"/>
          </rPr>
          <t xml:space="preserve">
assume this part of study was a single day</t>
        </r>
      </text>
    </comment>
    <comment ref="L444" authorId="7">
      <text>
        <r>
          <rPr>
            <b/>
            <sz val="9"/>
            <color indexed="81"/>
            <rFont val="Arial"/>
          </rPr>
          <t>Lyndon Estes:</t>
        </r>
        <r>
          <rPr>
            <sz val="9"/>
            <color indexed="81"/>
            <rFont val="Arial"/>
          </rPr>
          <t xml:space="preserve">
assume 15 months of sampling, May-Sept each year to get litterfall rates</t>
        </r>
      </text>
    </comment>
    <comment ref="M444" authorId="7">
      <text>
        <r>
          <rPr>
            <b/>
            <sz val="9"/>
            <color indexed="81"/>
            <rFont val="Arial"/>
          </rPr>
          <t>Lyndon Estes:</t>
        </r>
        <r>
          <rPr>
            <sz val="9"/>
            <color indexed="81"/>
            <rFont val="Arial"/>
          </rPr>
          <t xml:space="preserve">
start and end date of study unclear, assume began spring and ended in early October`</t>
        </r>
      </text>
    </comment>
    <comment ref="G445" authorId="7">
      <text>
        <r>
          <rPr>
            <b/>
            <sz val="9"/>
            <color indexed="81"/>
            <rFont val="Arial"/>
          </rPr>
          <t>Lyndon Estes:</t>
        </r>
        <r>
          <rPr>
            <sz val="9"/>
            <color indexed="81"/>
            <rFont val="Arial"/>
          </rPr>
          <t xml:space="preserve">
assume diameter of mature trees is 20 c, and that sample unit is whole tree stem</t>
        </r>
      </text>
    </comment>
    <comment ref="L445" authorId="7">
      <text>
        <r>
          <rPr>
            <b/>
            <sz val="9"/>
            <color indexed="81"/>
            <rFont val="Arial"/>
          </rPr>
          <t>Lyndon Estes:</t>
        </r>
        <r>
          <rPr>
            <sz val="9"/>
            <color indexed="81"/>
            <rFont val="Arial"/>
          </rPr>
          <t xml:space="preserve">
assume 48 of these measurements made in a day, which are effectively 30 minute readings because they are averaged</t>
        </r>
      </text>
    </comment>
    <comment ref="G446" authorId="7">
      <text>
        <r>
          <rPr>
            <b/>
            <sz val="9"/>
            <color indexed="81"/>
            <rFont val="Arial"/>
          </rPr>
          <t>Lyndon Estes:</t>
        </r>
        <r>
          <rPr>
            <sz val="9"/>
            <color indexed="81"/>
            <rFont val="Arial"/>
          </rPr>
          <t xml:space="preserve">
assume oak leaf is 10X10 cm of each oak species (over and understorey), huckleberry is 2 X 1 cm, pine 0.5 X 4 cm. Weighted average</t>
        </r>
      </text>
    </comment>
    <comment ref="J446" authorId="7">
      <text>
        <r>
          <rPr>
            <b/>
            <sz val="9"/>
            <color indexed="81"/>
            <rFont val="Arial"/>
          </rPr>
          <t>Lyndon Estes:</t>
        </r>
        <r>
          <rPr>
            <sz val="9"/>
            <color indexed="81"/>
            <rFont val="Arial"/>
          </rPr>
          <t xml:space="preserve">
assume 5 minutes per reading, per Adam's answer on this</t>
        </r>
      </text>
    </comment>
    <comment ref="L446" authorId="7">
      <text>
        <r>
          <rPr>
            <b/>
            <sz val="9"/>
            <color indexed="81"/>
            <rFont val="Arial"/>
          </rPr>
          <t>Lyndon Estes:</t>
        </r>
        <r>
          <rPr>
            <sz val="9"/>
            <color indexed="81"/>
            <rFont val="Arial"/>
          </rPr>
          <t xml:space="preserve">
5 measurements made per leaf</t>
        </r>
      </text>
    </comment>
    <comment ref="J447" authorId="7">
      <text>
        <r>
          <rPr>
            <b/>
            <sz val="9"/>
            <color indexed="81"/>
            <rFont val="Arial"/>
          </rPr>
          <t>Lyndon Estes:</t>
        </r>
        <r>
          <rPr>
            <sz val="9"/>
            <color indexed="81"/>
            <rFont val="Arial"/>
          </rPr>
          <t xml:space="preserve">
30 minute averages for C)2 concentrations</t>
        </r>
      </text>
    </comment>
    <comment ref="M447" authorId="7">
      <text>
        <r>
          <rPr>
            <b/>
            <sz val="9"/>
            <color indexed="81"/>
            <rFont val="Arial"/>
          </rPr>
          <t>Lyndon Estes:</t>
        </r>
        <r>
          <rPr>
            <sz val="9"/>
            <color indexed="81"/>
            <rFont val="Arial"/>
          </rPr>
          <t xml:space="preserve">
assume this is from Clark et al, started in Nov 2004, assume end was December 31, 2007</t>
        </r>
      </text>
    </comment>
    <comment ref="H448" authorId="7">
      <text>
        <r>
          <rPr>
            <b/>
            <sz val="9"/>
            <color indexed="81"/>
            <rFont val="Arial"/>
          </rPr>
          <t>Lyndon Estes:</t>
        </r>
        <r>
          <rPr>
            <sz val="9"/>
            <color indexed="81"/>
            <rFont val="Arial"/>
          </rPr>
          <t xml:space="preserve">
10-20 given as range of clip plots. Mean selected here</t>
        </r>
      </text>
    </comment>
    <comment ref="J448" authorId="7">
      <text>
        <r>
          <rPr>
            <b/>
            <sz val="9"/>
            <color indexed="81"/>
            <rFont val="Arial"/>
          </rPr>
          <t>Lyndon Estes:</t>
        </r>
        <r>
          <rPr>
            <sz val="9"/>
            <color indexed="81"/>
            <rFont val="Arial"/>
          </rPr>
          <t xml:space="preserve">
assume 10 minute per clip plot</t>
        </r>
      </text>
    </comment>
    <comment ref="G449" authorId="7">
      <text>
        <r>
          <rPr>
            <b/>
            <sz val="9"/>
            <color indexed="81"/>
            <rFont val="Arial"/>
          </rPr>
          <t>Lyndon Estes:</t>
        </r>
        <r>
          <rPr>
            <sz val="9"/>
            <color indexed="81"/>
            <rFont val="Arial"/>
          </rPr>
          <t xml:space="preserve">
have no idea plot res, but asusme it was tied to the forest plots around the study site. Same with n sites
</t>
        </r>
      </text>
    </comment>
    <comment ref="J449" authorId="7">
      <text>
        <r>
          <rPr>
            <b/>
            <sz val="9"/>
            <color indexed="81"/>
            <rFont val="Arial"/>
          </rPr>
          <t>Lyndon Estes:</t>
        </r>
        <r>
          <rPr>
            <sz val="9"/>
            <color indexed="81"/>
            <rFont val="Arial"/>
          </rPr>
          <t xml:space="preserve">
assume 1 hour to do upward looking lidar. 0 detail given, however</t>
        </r>
      </text>
    </comment>
    <comment ref="K449" authorId="7">
      <text>
        <r>
          <rPr>
            <b/>
            <sz val="9"/>
            <color indexed="81"/>
            <rFont val="Arial"/>
          </rPr>
          <t>Lyndon Estes:</t>
        </r>
        <r>
          <rPr>
            <sz val="9"/>
            <color indexed="81"/>
            <rFont val="Arial"/>
          </rPr>
          <t xml:space="preserve">
assume 30 days average between leaf-up, disturbance, and re-shooting</t>
        </r>
      </text>
    </comment>
    <comment ref="I450" authorId="7">
      <text>
        <r>
          <rPr>
            <b/>
            <sz val="9"/>
            <color indexed="81"/>
            <rFont val="Arial"/>
          </rPr>
          <t>Lyndon Estes:</t>
        </r>
        <r>
          <rPr>
            <sz val="9"/>
            <color indexed="81"/>
            <rFont val="Arial"/>
          </rPr>
          <t xml:space="preserve">
n gps point data from table s1 in supporting data. Assume sample is total flight length birds, multipled by bird 2-d area to get area</t>
        </r>
      </text>
    </comment>
    <comment ref="J450" authorId="7">
      <text>
        <r>
          <rPr>
            <b/>
            <sz val="9"/>
            <color indexed="81"/>
            <rFont val="Arial"/>
          </rPr>
          <t>Lyndon Estes:</t>
        </r>
        <r>
          <rPr>
            <sz val="9"/>
            <color indexed="81"/>
            <rFont val="Arial"/>
          </rPr>
          <t xml:space="preserve">
assume instantaneous GPS measurement
</t>
        </r>
      </text>
    </comment>
    <comment ref="K450" authorId="7">
      <text>
        <r>
          <rPr>
            <b/>
            <sz val="9"/>
            <color indexed="81"/>
            <rFont val="Arial"/>
          </rPr>
          <t>Lyndon Estes:</t>
        </r>
        <r>
          <rPr>
            <sz val="9"/>
            <color indexed="81"/>
            <rFont val="Arial"/>
          </rPr>
          <t xml:space="preserve">
calculated from supplementary table S1 in supporting paper 10.1073/pnas.1121201109</t>
        </r>
      </text>
    </comment>
    <comment ref="L450" authorId="7">
      <text>
        <r>
          <rPr>
            <b/>
            <sz val="9"/>
            <color indexed="81"/>
            <rFont val="Arial"/>
          </rPr>
          <t>Lyndon Estes:</t>
        </r>
        <r>
          <rPr>
            <sz val="9"/>
            <color indexed="81"/>
            <rFont val="Arial"/>
          </rPr>
          <t xml:space="preserve">
from calc sheet for albatrosses</t>
        </r>
      </text>
    </comment>
    <comment ref="M450" authorId="7">
      <text>
        <r>
          <rPr>
            <b/>
            <sz val="9"/>
            <color indexed="81"/>
            <rFont val="Arial"/>
          </rPr>
          <t>Lyndon Estes:</t>
        </r>
        <r>
          <rPr>
            <sz val="9"/>
            <color indexed="81"/>
            <rFont val="Arial"/>
          </rPr>
          <t xml:space="preserve">
they say 2002-2010, but not sure of start and end months in supporting study</t>
        </r>
      </text>
    </comment>
    <comment ref="G451" authorId="7">
      <text>
        <r>
          <rPr>
            <b/>
            <sz val="9"/>
            <color indexed="81"/>
            <rFont val="Arial"/>
          </rPr>
          <t>Lyndon Estes:</t>
        </r>
        <r>
          <rPr>
            <sz val="9"/>
            <color indexed="81"/>
            <rFont val="Arial"/>
          </rPr>
          <t xml:space="preserve">
sample unit is individual plant, assume 20 cm diameter average based on max size of 40X30 given</t>
        </r>
      </text>
    </comment>
    <comment ref="H451" authorId="7">
      <text>
        <r>
          <rPr>
            <b/>
            <sz val="9"/>
            <color indexed="81"/>
            <rFont val="Arial"/>
          </rPr>
          <t>Lyndon Estes:</t>
        </r>
        <r>
          <rPr>
            <sz val="9"/>
            <color indexed="81"/>
            <rFont val="Arial"/>
          </rPr>
          <t xml:space="preserve">
Using the number they sampled representing mortality, which includes all growing plus ones they infereed to be dead, so presumably max number they did repeat samples on</t>
        </r>
      </text>
    </comment>
    <comment ref="J451" authorId="7">
      <text>
        <r>
          <rPr>
            <b/>
            <sz val="9"/>
            <color indexed="81"/>
            <rFont val="Arial"/>
          </rPr>
          <t>Lyndon Estes:</t>
        </r>
        <r>
          <rPr>
            <sz val="9"/>
            <color indexed="81"/>
            <rFont val="Arial"/>
          </rPr>
          <t xml:space="preserve">
assume it took 10 minutes to sample size, etc on each plant</t>
        </r>
      </text>
    </comment>
    <comment ref="K451" authorId="7">
      <text>
        <r>
          <rPr>
            <b/>
            <sz val="9"/>
            <color indexed="81"/>
            <rFont val="Arial"/>
          </rPr>
          <t>Lyndon Estes:</t>
        </r>
        <r>
          <rPr>
            <sz val="9"/>
            <color indexed="81"/>
            <rFont val="Arial"/>
          </rPr>
          <t xml:space="preserve">
assume resampling done in Jan 1998 and Jan 2003</t>
        </r>
      </text>
    </comment>
    <comment ref="M451" authorId="7">
      <text>
        <r>
          <rPr>
            <b/>
            <sz val="9"/>
            <color indexed="81"/>
            <rFont val="Arial"/>
          </rPr>
          <t>Lyndon Estes:</t>
        </r>
        <r>
          <rPr>
            <sz val="9"/>
            <color indexed="81"/>
            <rFont val="Arial"/>
          </rPr>
          <t xml:space="preserve">
only years given for study span, 1998-2003, but measurement started around flowering time (Jan-Feb) given. Assume end date was after fruiting period given (May)</t>
        </r>
      </text>
    </comment>
    <comment ref="G452" authorId="7">
      <text>
        <r>
          <rPr>
            <b/>
            <sz val="9"/>
            <color indexed="81"/>
            <rFont val="Arial"/>
          </rPr>
          <t>Lyndon Estes:</t>
        </r>
        <r>
          <rPr>
            <sz val="9"/>
            <color indexed="81"/>
            <rFont val="Arial"/>
          </rPr>
          <t xml:space="preserve">
sample unit is individual plant, assume 20 cm diameter average based on max size of 40X30 given</t>
        </r>
      </text>
    </comment>
    <comment ref="J452" authorId="7">
      <text>
        <r>
          <rPr>
            <b/>
            <sz val="9"/>
            <color indexed="81"/>
            <rFont val="Arial"/>
          </rPr>
          <t>Lyndon Estes:</t>
        </r>
        <r>
          <rPr>
            <sz val="9"/>
            <color indexed="81"/>
            <rFont val="Arial"/>
          </rPr>
          <t xml:space="preserve">
assume it took 10 minutes to sample size, etc on each plant</t>
        </r>
      </text>
    </comment>
    <comment ref="G454" authorId="7">
      <text>
        <r>
          <rPr>
            <b/>
            <sz val="9"/>
            <color indexed="81"/>
            <rFont val="Arial"/>
          </rPr>
          <t>Lyndon Estes:</t>
        </r>
        <r>
          <rPr>
            <sz val="9"/>
            <color indexed="81"/>
            <rFont val="Arial"/>
          </rPr>
          <t xml:space="preserve">
average area of plots, 0.012-0.05 ha</t>
        </r>
      </text>
    </comment>
    <comment ref="J454" authorId="7">
      <text>
        <r>
          <rPr>
            <b/>
            <sz val="9"/>
            <color indexed="81"/>
            <rFont val="Arial"/>
          </rPr>
          <t>Lyndon Estes:</t>
        </r>
        <r>
          <rPr>
            <sz val="9"/>
            <color indexed="81"/>
            <rFont val="Arial"/>
          </rPr>
          <t xml:space="preserve">
assume 30 minutes per plot</t>
        </r>
      </text>
    </comment>
    <comment ref="K454" authorId="7">
      <text>
        <r>
          <rPr>
            <b/>
            <sz val="9"/>
            <color indexed="81"/>
            <rFont val="Arial"/>
          </rPr>
          <t>Lyndon Estes:</t>
        </r>
        <r>
          <rPr>
            <sz val="9"/>
            <color indexed="81"/>
            <rFont val="Arial"/>
          </rPr>
          <t xml:space="preserve">
assume only one sample for each of three seasons
</t>
        </r>
      </text>
    </comment>
    <comment ref="L454" authorId="7">
      <text>
        <r>
          <rPr>
            <b/>
            <sz val="9"/>
            <color indexed="81"/>
            <rFont val="Arial"/>
          </rPr>
          <t>Lyndon Estes:</t>
        </r>
        <r>
          <rPr>
            <sz val="9"/>
            <color indexed="81"/>
            <rFont val="Arial"/>
          </rPr>
          <t xml:space="preserve">
60 sites X 30 minutes each X 3 seasons</t>
        </r>
      </text>
    </comment>
    <comment ref="H455" authorId="7">
      <text>
        <r>
          <rPr>
            <b/>
            <sz val="9"/>
            <color indexed="81"/>
            <rFont val="Arial"/>
          </rPr>
          <t>Lyndon Estes:</t>
        </r>
        <r>
          <rPr>
            <sz val="9"/>
            <color indexed="81"/>
            <rFont val="Arial"/>
          </rPr>
          <t xml:space="preserve">
n pixels in landsat scene
updated from http://landsathandbook.gsfc.nasa.gov/data_properties/prog_sect6_2.html
</t>
        </r>
      </text>
    </comment>
    <comment ref="I455" authorId="7">
      <text>
        <r>
          <rPr>
            <b/>
            <sz val="9"/>
            <color indexed="81"/>
            <rFont val="Arial"/>
          </rPr>
          <t>Lyndon Estes:</t>
        </r>
        <r>
          <rPr>
            <sz val="9"/>
            <color indexed="81"/>
            <rFont val="Arial"/>
          </rPr>
          <t xml:space="preserve">
Corrected because faulty calculation first time around. Updated from NASA landsat handbook</t>
        </r>
      </text>
    </comment>
    <comment ref="H456" authorId="7">
      <text>
        <r>
          <rPr>
            <b/>
            <sz val="9"/>
            <color indexed="81"/>
            <rFont val="Arial"/>
          </rPr>
          <t>Lyndon Estes:</t>
        </r>
        <r>
          <rPr>
            <sz val="9"/>
            <color indexed="81"/>
            <rFont val="Arial"/>
          </rPr>
          <t xml:space="preserve">
n pixels in landsat scene</t>
        </r>
      </text>
    </comment>
    <comment ref="J457" authorId="7">
      <text>
        <r>
          <rPr>
            <b/>
            <sz val="9"/>
            <color indexed="81"/>
            <rFont val="Arial"/>
          </rPr>
          <t>Lyndon Estes:</t>
        </r>
        <r>
          <rPr>
            <sz val="9"/>
            <color indexed="81"/>
            <rFont val="Arial"/>
          </rPr>
          <t xml:space="preserve">
Samples collected 2-3 times during a 24 hour period--setup in morning, sampling at sunset and next morning. Assume samples were mixed to make one</t>
        </r>
      </text>
    </comment>
    <comment ref="K457" authorId="7">
      <text>
        <r>
          <rPr>
            <b/>
            <sz val="9"/>
            <color indexed="81"/>
            <rFont val="Arial"/>
          </rPr>
          <t>Lyndon Estes:</t>
        </r>
        <r>
          <rPr>
            <sz val="9"/>
            <color indexed="81"/>
            <rFont val="Arial"/>
          </rPr>
          <t xml:space="preserve">
monthly samples</t>
        </r>
      </text>
    </comment>
    <comment ref="L457" authorId="7">
      <text>
        <r>
          <rPr>
            <b/>
            <sz val="9"/>
            <color indexed="81"/>
            <rFont val="Arial"/>
          </rPr>
          <t>Lyndon Estes:</t>
        </r>
        <r>
          <rPr>
            <sz val="9"/>
            <color indexed="81"/>
            <rFont val="Arial"/>
          </rPr>
          <t xml:space="preserve">
20 months worth of samples, but 19 data points</t>
        </r>
      </text>
    </comment>
    <comment ref="M457" authorId="7">
      <text>
        <r>
          <rPr>
            <b/>
            <sz val="9"/>
            <color indexed="81"/>
            <rFont val="Arial"/>
          </rPr>
          <t>Lyndon Estes:</t>
        </r>
        <r>
          <rPr>
            <sz val="9"/>
            <color indexed="81"/>
            <rFont val="Arial"/>
          </rPr>
          <t xml:space="preserve">
start and end date of months listed assumed 1 and 30</t>
        </r>
      </text>
    </comment>
    <comment ref="G458" authorId="7">
      <text>
        <r>
          <rPr>
            <b/>
            <sz val="9"/>
            <color indexed="81"/>
            <rFont val="Arial"/>
          </rPr>
          <t>Lyndon Estes:</t>
        </r>
        <r>
          <rPr>
            <sz val="9"/>
            <color indexed="81"/>
            <rFont val="Arial"/>
          </rPr>
          <t xml:space="preserve">
assume ctd is 75 cm diameter</t>
        </r>
      </text>
    </comment>
    <comment ref="J458" authorId="7">
      <text>
        <r>
          <rPr>
            <b/>
            <sz val="9"/>
            <color indexed="81"/>
            <rFont val="Arial"/>
          </rPr>
          <t>Lyndon Estes:</t>
        </r>
        <r>
          <rPr>
            <sz val="9"/>
            <color indexed="81"/>
            <rFont val="Arial"/>
          </rPr>
          <t xml:space="preserve">
Read that sondes are lowered at 0.5 m/s, this one went to 18 m</t>
        </r>
      </text>
    </comment>
    <comment ref="G459" authorId="7">
      <text>
        <r>
          <rPr>
            <b/>
            <sz val="9"/>
            <color indexed="81"/>
            <rFont val="Arial"/>
          </rPr>
          <t>Lyndon Estes:</t>
        </r>
        <r>
          <rPr>
            <sz val="9"/>
            <color indexed="81"/>
            <rFont val="Arial"/>
          </rPr>
          <t xml:space="preserve">
assume ctd is 75 cm diameter</t>
        </r>
      </text>
    </comment>
    <comment ref="J459" authorId="7">
      <text>
        <r>
          <rPr>
            <b/>
            <sz val="9"/>
            <color indexed="81"/>
            <rFont val="Arial"/>
          </rPr>
          <t>Lyndon Estes:</t>
        </r>
        <r>
          <rPr>
            <sz val="9"/>
            <color indexed="81"/>
            <rFont val="Arial"/>
          </rPr>
          <t xml:space="preserve">
Read that sondes are lowered at 0.5 m/s, this one went to 18 m</t>
        </r>
      </text>
    </comment>
    <comment ref="G460" authorId="7">
      <text>
        <r>
          <rPr>
            <b/>
            <sz val="9"/>
            <color indexed="81"/>
            <rFont val="Arial"/>
          </rPr>
          <t>Lyndon Estes:</t>
        </r>
        <r>
          <rPr>
            <sz val="9"/>
            <color indexed="81"/>
            <rFont val="Arial"/>
          </rPr>
          <t xml:space="preserve">
Teledyne Ryan doppler profiler radius</t>
        </r>
      </text>
    </comment>
    <comment ref="J460" authorId="7">
      <text>
        <r>
          <rPr>
            <b/>
            <sz val="9"/>
            <color indexed="81"/>
            <rFont val="Arial"/>
          </rPr>
          <t>Lyndon Estes:</t>
        </r>
        <r>
          <rPr>
            <sz val="9"/>
            <color indexed="81"/>
            <rFont val="Arial"/>
          </rPr>
          <t xml:space="preserve">
Averaged depths from table 1 to get typical depth, 4 m intervals on current measurements, so 6 per profile, X 2 m2 minutes per porifile</t>
        </r>
      </text>
    </comment>
    <comment ref="M460" authorId="7">
      <text>
        <r>
          <rPr>
            <b/>
            <sz val="9"/>
            <color indexed="81"/>
            <rFont val="Arial"/>
          </rPr>
          <t>Lyndon Estes:</t>
        </r>
        <r>
          <rPr>
            <sz val="9"/>
            <color indexed="81"/>
            <rFont val="Arial"/>
          </rPr>
          <t xml:space="preserve">
start and end date of months listed assumed 1 and 30</t>
        </r>
      </text>
    </comment>
    <comment ref="G461" authorId="7">
      <text>
        <r>
          <rPr>
            <b/>
            <sz val="9"/>
            <color indexed="81"/>
            <rFont val="Arial"/>
          </rPr>
          <t>Lyndon Estes:</t>
        </r>
        <r>
          <rPr>
            <sz val="9"/>
            <color indexed="81"/>
            <rFont val="Arial"/>
          </rPr>
          <t xml:space="preserve">
Teledyne Ryan doppler profiler radius</t>
        </r>
      </text>
    </comment>
    <comment ref="K461" authorId="7">
      <text>
        <r>
          <rPr>
            <b/>
            <sz val="9"/>
            <color indexed="81"/>
            <rFont val="Arial"/>
          </rPr>
          <t>Lyndon Estes:</t>
        </r>
        <r>
          <rPr>
            <sz val="9"/>
            <color indexed="81"/>
            <rFont val="Arial"/>
          </rPr>
          <t xml:space="preserve">
average of time between cruises
</t>
        </r>
      </text>
    </comment>
    <comment ref="G462" authorId="7">
      <text>
        <r>
          <rPr>
            <b/>
            <sz val="9"/>
            <color indexed="81"/>
            <rFont val="Arial"/>
          </rPr>
          <t>Lyndon Estes:</t>
        </r>
        <r>
          <rPr>
            <sz val="9"/>
            <color indexed="81"/>
            <rFont val="Arial"/>
          </rPr>
          <t xml:space="preserve">
assume ctd is 75 cm diameter</t>
        </r>
      </text>
    </comment>
    <comment ref="J462" authorId="7">
      <text>
        <r>
          <rPr>
            <b/>
            <sz val="9"/>
            <color indexed="81"/>
            <rFont val="Arial"/>
          </rPr>
          <t>Lyndon Estes:</t>
        </r>
        <r>
          <rPr>
            <sz val="9"/>
            <color indexed="81"/>
            <rFont val="Arial"/>
          </rPr>
          <t xml:space="preserve">
Read that sondes are lowered at 0.5 m/s, this one went to 18 m</t>
        </r>
      </text>
    </comment>
    <comment ref="K462" authorId="7">
      <text>
        <r>
          <rPr>
            <b/>
            <sz val="9"/>
            <color indexed="81"/>
            <rFont val="Arial"/>
          </rPr>
          <t>Lyndon Estes:</t>
        </r>
        <r>
          <rPr>
            <sz val="9"/>
            <color indexed="81"/>
            <rFont val="Arial"/>
          </rPr>
          <t xml:space="preserve">
2 CTD scans for fluor made twice on each cruise, so assume minimum time between cruises</t>
        </r>
      </text>
    </comment>
    <comment ref="G463" authorId="7">
      <text>
        <r>
          <rPr>
            <b/>
            <sz val="9"/>
            <color indexed="81"/>
            <rFont val="Arial"/>
          </rPr>
          <t>Lyndon Estes:</t>
        </r>
        <r>
          <rPr>
            <sz val="9"/>
            <color indexed="81"/>
            <rFont val="Arial"/>
          </rPr>
          <t xml:space="preserve">
Li-Cor diameter</t>
        </r>
      </text>
    </comment>
    <comment ref="J463" authorId="7">
      <text>
        <r>
          <rPr>
            <b/>
            <sz val="9"/>
            <color indexed="81"/>
            <rFont val="Arial"/>
          </rPr>
          <t>Lyndon Estes:</t>
        </r>
        <r>
          <rPr>
            <sz val="9"/>
            <color indexed="81"/>
            <rFont val="Arial"/>
          </rPr>
          <t xml:space="preserve">
Assume 30 seconds to take light penetration reading</t>
        </r>
      </text>
    </comment>
    <comment ref="K463" authorId="7">
      <text>
        <r>
          <rPr>
            <b/>
            <sz val="9"/>
            <color indexed="81"/>
            <rFont val="Arial"/>
          </rPr>
          <t>Lyndon Estes:</t>
        </r>
        <r>
          <rPr>
            <sz val="9"/>
            <color indexed="81"/>
            <rFont val="Arial"/>
          </rPr>
          <t xml:space="preserve">
average of time between cruises
</t>
        </r>
      </text>
    </comment>
    <comment ref="G464" authorId="7">
      <text>
        <r>
          <rPr>
            <b/>
            <sz val="9"/>
            <color indexed="81"/>
            <rFont val="Arial"/>
          </rPr>
          <t>Lyndon Estes:</t>
        </r>
        <r>
          <rPr>
            <sz val="9"/>
            <color indexed="81"/>
            <rFont val="Arial"/>
          </rPr>
          <t xml:space="preserve">
Li-Cor diameter</t>
        </r>
      </text>
    </comment>
    <comment ref="H464" authorId="7">
      <text>
        <r>
          <rPr>
            <b/>
            <sz val="9"/>
            <color indexed="81"/>
            <rFont val="Arial"/>
          </rPr>
          <t>Lyndon Estes:</t>
        </r>
        <r>
          <rPr>
            <sz val="9"/>
            <color indexed="81"/>
            <rFont val="Arial"/>
          </rPr>
          <t xml:space="preserve">
Really had to guess on this.  Looking at map, I fgure: 
=SQRT(((2.7-2.55) * 110)^2 + ((39.5-39.37) * 110)^2)*(AVERAGE(4, 4, 4, 3))
gives the distance they cruised each cruise per day.  I took approximate coordinates from map to calculate the diagonal distance for each of four cruise lengths.  Then, assume they took 12 hours per cruise, and readings every 15 minutes, that means it was a different radiation observation each 15 miuntes for 12 hours</t>
        </r>
      </text>
    </comment>
    <comment ref="J464" authorId="7">
      <text>
        <r>
          <rPr>
            <b/>
            <sz val="9"/>
            <color indexed="81"/>
            <rFont val="Arial"/>
          </rPr>
          <t>Lyndon Estes:</t>
        </r>
        <r>
          <rPr>
            <sz val="9"/>
            <color indexed="81"/>
            <rFont val="Arial"/>
          </rPr>
          <t xml:space="preserve">
assume instantaneous (1 second</t>
        </r>
      </text>
    </comment>
    <comment ref="K464" authorId="7">
      <text>
        <r>
          <rPr>
            <b/>
            <sz val="9"/>
            <color indexed="81"/>
            <rFont val="Arial"/>
          </rPr>
          <t>Lyndon Estes:</t>
        </r>
        <r>
          <rPr>
            <sz val="9"/>
            <color indexed="81"/>
            <rFont val="Arial"/>
          </rPr>
          <t xml:space="preserve">
Since each solar radiation observation is separate, and cruises were repeated, we have an average of 2 days betweens cruise and the between cruise interval also</t>
        </r>
      </text>
    </comment>
    <comment ref="L464" authorId="7">
      <text>
        <r>
          <rPr>
            <b/>
            <sz val="9"/>
            <color indexed="81"/>
            <rFont val="Arial"/>
          </rPr>
          <t>Lyndon Estes:</t>
        </r>
        <r>
          <rPr>
            <sz val="9"/>
            <color indexed="81"/>
            <rFont val="Arial"/>
          </rPr>
          <t xml:space="preserve">
Actual solar radiation measurements--assumed instantaneous observations, but could be thought of legitimately as representing continuous observations</t>
        </r>
      </text>
    </comment>
    <comment ref="M464" authorId="7">
      <text>
        <r>
          <rPr>
            <b/>
            <sz val="9"/>
            <color indexed="81"/>
            <rFont val="Arial"/>
          </rPr>
          <t>Lyndon Estes:</t>
        </r>
        <r>
          <rPr>
            <sz val="9"/>
            <color indexed="81"/>
            <rFont val="Arial"/>
          </rPr>
          <t xml:space="preserve">
start and end date of months listed assumed 1 and 30</t>
        </r>
      </text>
    </comment>
    <comment ref="G465" authorId="7">
      <text>
        <r>
          <rPr>
            <b/>
            <sz val="9"/>
            <color indexed="81"/>
            <rFont val="Arial"/>
          </rPr>
          <t>Lyndon Estes:</t>
        </r>
        <r>
          <rPr>
            <sz val="9"/>
            <color indexed="81"/>
            <rFont val="Arial"/>
          </rPr>
          <t xml:space="preserve">
pump inlet in ship</t>
        </r>
      </text>
    </comment>
    <comment ref="H465" authorId="7">
      <text>
        <r>
          <rPr>
            <b/>
            <sz val="9"/>
            <color indexed="81"/>
            <rFont val="Arial"/>
          </rPr>
          <t>Lyndon Estes:</t>
        </r>
        <r>
          <rPr>
            <sz val="9"/>
            <color indexed="81"/>
            <rFont val="Arial"/>
          </rPr>
          <t xml:space="preserve">
sampling of underwater variables (T, etc.) taken every minute during cruise. Assume this was done over 24 hours, and that they were stationary for about 4 of those 24 hours. </t>
        </r>
      </text>
    </comment>
    <comment ref="J465" authorId="7">
      <text>
        <r>
          <rPr>
            <b/>
            <sz val="9"/>
            <color indexed="81"/>
            <rFont val="Arial"/>
          </rPr>
          <t>Lyndon Estes:</t>
        </r>
        <r>
          <rPr>
            <sz val="9"/>
            <color indexed="81"/>
            <rFont val="Arial"/>
          </rPr>
          <t xml:space="preserve">
assume instantaneous (1 second</t>
        </r>
      </text>
    </comment>
    <comment ref="K465" authorId="7">
      <text>
        <r>
          <rPr>
            <b/>
            <sz val="9"/>
            <color indexed="81"/>
            <rFont val="Arial"/>
          </rPr>
          <t>Lyndon Estes:</t>
        </r>
        <r>
          <rPr>
            <sz val="9"/>
            <color indexed="81"/>
            <rFont val="Arial"/>
          </rPr>
          <t xml:space="preserve">
Since each solar radiation observation is separate, and cruises were repeated, we have an average of 2 days betweens cruise and the between cruise interval also</t>
        </r>
      </text>
    </comment>
    <comment ref="M465" authorId="7">
      <text>
        <r>
          <rPr>
            <b/>
            <sz val="9"/>
            <color indexed="81"/>
            <rFont val="Arial"/>
          </rPr>
          <t>Lyndon Estes:</t>
        </r>
        <r>
          <rPr>
            <sz val="9"/>
            <color indexed="81"/>
            <rFont val="Arial"/>
          </rPr>
          <t xml:space="preserve">
start and end date of months listed assumed 1 and 30</t>
        </r>
      </text>
    </comment>
    <comment ref="G466" authorId="7">
      <text>
        <r>
          <rPr>
            <b/>
            <sz val="9"/>
            <color indexed="81"/>
            <rFont val="Arial"/>
          </rPr>
          <t>Lyndon Estes:
anenometer diameter of 15 cm</t>
        </r>
      </text>
    </comment>
    <comment ref="H466" authorId="7">
      <text>
        <r>
          <rPr>
            <b/>
            <sz val="9"/>
            <color indexed="81"/>
            <rFont val="Arial"/>
          </rPr>
          <t>Lyndon Estes:</t>
        </r>
        <r>
          <rPr>
            <sz val="9"/>
            <color indexed="81"/>
            <rFont val="Arial"/>
          </rPr>
          <t xml:space="preserve">
windspeed recordings every 5 seconds on moving ship. Assume this was done over 24 hours, and that they were stationary for about 4 of those 24 hours. </t>
        </r>
      </text>
    </comment>
    <comment ref="J466" authorId="7">
      <text>
        <r>
          <rPr>
            <b/>
            <sz val="9"/>
            <color indexed="81"/>
            <rFont val="Arial"/>
          </rPr>
          <t>Lyndon Estes:</t>
        </r>
        <r>
          <rPr>
            <sz val="9"/>
            <color indexed="81"/>
            <rFont val="Arial"/>
          </rPr>
          <t xml:space="preserve">
assume instantaneous (1 second</t>
        </r>
      </text>
    </comment>
    <comment ref="K466" authorId="7">
      <text>
        <r>
          <rPr>
            <b/>
            <sz val="9"/>
            <color indexed="81"/>
            <rFont val="Arial"/>
          </rPr>
          <t>Lyndon Estes:</t>
        </r>
        <r>
          <rPr>
            <sz val="9"/>
            <color indexed="81"/>
            <rFont val="Arial"/>
          </rPr>
          <t xml:space="preserve">
Since each solar radiation observation is separate, and cruises were repeated, we have an average of 2 days betweens cruise and the between cruise interval also</t>
        </r>
      </text>
    </comment>
    <comment ref="M466" authorId="7">
      <text>
        <r>
          <rPr>
            <b/>
            <sz val="9"/>
            <color indexed="81"/>
            <rFont val="Arial"/>
          </rPr>
          <t>Lyndon Estes:</t>
        </r>
        <r>
          <rPr>
            <sz val="9"/>
            <color indexed="81"/>
            <rFont val="Arial"/>
          </rPr>
          <t xml:space="preserve">
start and end date of EUBAL1</t>
        </r>
      </text>
    </comment>
    <comment ref="G467" authorId="7">
      <text>
        <r>
          <rPr>
            <b/>
            <sz val="9"/>
            <color indexed="81"/>
            <rFont val="Arial"/>
          </rPr>
          <t>Lyndon Estes:
anenometer diameter of 15 cm</t>
        </r>
      </text>
    </comment>
    <comment ref="H467" authorId="7">
      <text>
        <r>
          <rPr>
            <b/>
            <sz val="9"/>
            <color indexed="81"/>
            <rFont val="Arial"/>
          </rPr>
          <t>Lyndon Estes:</t>
        </r>
        <r>
          <rPr>
            <sz val="9"/>
            <color indexed="81"/>
            <rFont val="Arial"/>
          </rPr>
          <t xml:space="preserve">
windspeed recordings every 5 seconds on moving ship. Assume this was done over 24 hours, and that they were stationary for about 4 of those 24 hours. </t>
        </r>
      </text>
    </comment>
    <comment ref="J467" authorId="7">
      <text>
        <r>
          <rPr>
            <b/>
            <sz val="9"/>
            <color indexed="81"/>
            <rFont val="Arial"/>
          </rPr>
          <t>Lyndon Estes:</t>
        </r>
        <r>
          <rPr>
            <sz val="9"/>
            <color indexed="81"/>
            <rFont val="Arial"/>
          </rPr>
          <t xml:space="preserve">
assume instantaneous (1 second</t>
        </r>
      </text>
    </comment>
    <comment ref="K467" authorId="7">
      <text>
        <r>
          <rPr>
            <b/>
            <sz val="9"/>
            <color indexed="81"/>
            <rFont val="Arial"/>
          </rPr>
          <t>Lyndon Estes:</t>
        </r>
        <r>
          <rPr>
            <sz val="9"/>
            <color indexed="81"/>
            <rFont val="Arial"/>
          </rPr>
          <t xml:space="preserve">
Since each solar radiation observation is separate, and cruises were repeated, we have an average of 2 days betweens cruise and the between cruise interval also</t>
        </r>
      </text>
    </comment>
    <comment ref="M467" authorId="7">
      <text>
        <r>
          <rPr>
            <b/>
            <sz val="9"/>
            <color indexed="81"/>
            <rFont val="Arial"/>
          </rPr>
          <t>Lyndon Estes:</t>
        </r>
        <r>
          <rPr>
            <sz val="9"/>
            <color indexed="81"/>
            <rFont val="Arial"/>
          </rPr>
          <t xml:space="preserve">
start and end date of EUBAL1</t>
        </r>
      </text>
    </comment>
    <comment ref="G469" authorId="7">
      <text>
        <r>
          <rPr>
            <b/>
            <sz val="9"/>
            <color indexed="81"/>
            <rFont val="Calibri"/>
            <family val="2"/>
          </rPr>
          <t>Lyndon Estes:</t>
        </r>
        <r>
          <rPr>
            <sz val="9"/>
            <color indexed="81"/>
            <rFont val="Calibri"/>
            <family val="2"/>
          </rPr>
          <t xml:space="preserve">
20/4/2017
Assume nest is the sampling unit for each of 11 pairs of Penguins</t>
        </r>
      </text>
    </comment>
    <comment ref="J469" authorId="7">
      <text>
        <r>
          <rPr>
            <b/>
            <sz val="9"/>
            <color indexed="81"/>
            <rFont val="Calibri"/>
            <family val="2"/>
          </rPr>
          <t>Lyndon Estes:</t>
        </r>
        <r>
          <rPr>
            <sz val="9"/>
            <color indexed="81"/>
            <rFont val="Calibri"/>
            <family val="2"/>
          </rPr>
          <t xml:space="preserve">
20/4/2017: Assume viewed for 5 minutes to see if there penguins were back</t>
        </r>
      </text>
    </comment>
    <comment ref="L469" authorId="7">
      <text>
        <r>
          <rPr>
            <b/>
            <sz val="9"/>
            <color indexed="81"/>
            <rFont val="Arial"/>
          </rPr>
          <t>Lyndon Estes:</t>
        </r>
        <r>
          <rPr>
            <sz val="9"/>
            <color indexed="81"/>
            <rFont val="Arial"/>
          </rPr>
          <t xml:space="preserve">
20/4/2017: Used the temporal window shown in Figure 3 of 10.1111/j.1365-2435.2009.01638.x. So roughly 12 observations per day (every two hours) for the the breeding period, times sample duration, times two seasons</t>
        </r>
      </text>
    </comment>
    <comment ref="M469" authorId="7">
      <text>
        <r>
          <rPr>
            <b/>
            <sz val="9"/>
            <color indexed="81"/>
            <rFont val="Calibri"/>
            <family val="2"/>
          </rPr>
          <t>Lyndon Estes:</t>
        </r>
        <r>
          <rPr>
            <sz val="9"/>
            <color indexed="81"/>
            <rFont val="Calibri"/>
            <family val="2"/>
          </rPr>
          <t xml:space="preserve">
20/4/2017: Beginning of breeding season in 2006/2007 to end of breeding season in 2007/ 2008</t>
        </r>
      </text>
    </comment>
    <comment ref="G470" authorId="7">
      <text>
        <r>
          <rPr>
            <b/>
            <sz val="9"/>
            <color indexed="81"/>
            <rFont val="Calibri"/>
            <family val="2"/>
          </rPr>
          <t>Lyndon Estes:</t>
        </r>
        <r>
          <rPr>
            <sz val="9"/>
            <color indexed="81"/>
            <rFont val="Calibri"/>
            <family val="2"/>
          </rPr>
          <t xml:space="preserve">
20/4/2017
Assume nest is the sampling unit for each of 11 pairs of Penguins</t>
        </r>
      </text>
    </comment>
    <comment ref="J470" authorId="7">
      <text>
        <r>
          <rPr>
            <b/>
            <sz val="9"/>
            <color indexed="81"/>
            <rFont val="Calibri"/>
            <family val="2"/>
          </rPr>
          <t>Lyndon Estes:</t>
        </r>
        <r>
          <rPr>
            <sz val="9"/>
            <color indexed="81"/>
            <rFont val="Calibri"/>
            <family val="2"/>
          </rPr>
          <t xml:space="preserve">
20/4/2017: Assume viewed for 5 minutes to see if there penguins were back</t>
        </r>
      </text>
    </comment>
    <comment ref="L470" authorId="7">
      <text>
        <r>
          <rPr>
            <b/>
            <sz val="9"/>
            <color indexed="81"/>
            <rFont val="Arial"/>
          </rPr>
          <t>Lyndon Estes:</t>
        </r>
        <r>
          <rPr>
            <sz val="9"/>
            <color indexed="81"/>
            <rFont val="Arial"/>
          </rPr>
          <t xml:space="preserve">
20/4/2017: Used the temporal window shown in Figure 3 of 10.1111/j.1365-2435.2009.01638.x. So roughly 12 observations per day (every two hours) for the the breeding period, times sample duration, times two seasons</t>
        </r>
      </text>
    </comment>
    <comment ref="M470" authorId="7">
      <text>
        <r>
          <rPr>
            <b/>
            <sz val="9"/>
            <color indexed="81"/>
            <rFont val="Calibri"/>
            <family val="2"/>
          </rPr>
          <t>Lyndon Estes:</t>
        </r>
        <r>
          <rPr>
            <sz val="9"/>
            <color indexed="81"/>
            <rFont val="Calibri"/>
            <family val="2"/>
          </rPr>
          <t xml:space="preserve">
20/4/2017: Beginning of breeding season in 2006/2007 to end of breeding season in 2007/ 2008</t>
        </r>
      </text>
    </comment>
    <comment ref="G471" authorId="7">
      <text>
        <r>
          <rPr>
            <b/>
            <sz val="9"/>
            <color indexed="81"/>
            <rFont val="Calibri"/>
            <family val="2"/>
          </rPr>
          <t>Lyndon Estes:</t>
        </r>
        <r>
          <rPr>
            <sz val="9"/>
            <color indexed="81"/>
            <rFont val="Calibri"/>
            <family val="2"/>
          </rPr>
          <t xml:space="preserve">
20/4/2017 Assumed area of individual penguin</t>
        </r>
      </text>
    </comment>
    <comment ref="H471" authorId="7">
      <text>
        <r>
          <rPr>
            <b/>
            <sz val="9"/>
            <color indexed="81"/>
            <rFont val="Calibri"/>
            <family val="2"/>
          </rPr>
          <t>Lyndon Estes:</t>
        </r>
        <r>
          <rPr>
            <sz val="9"/>
            <color indexed="81"/>
            <rFont val="Calibri"/>
            <family val="2"/>
          </rPr>
          <t xml:space="preserve">
20/4/2017:Repeat weighings of 11 birds. Could be average of 11 and 18 since weights of additional single-check rearing penguins would have been taken from group added in 2007/2008</t>
        </r>
      </text>
    </comment>
    <comment ref="J471" authorId="7">
      <text>
        <r>
          <rPr>
            <b/>
            <sz val="9"/>
            <color indexed="81"/>
            <rFont val="Calibri"/>
            <family val="2"/>
          </rPr>
          <t>Lyndon Estes:</t>
        </r>
        <r>
          <rPr>
            <sz val="9"/>
            <color indexed="81"/>
            <rFont val="Calibri"/>
            <family val="2"/>
          </rPr>
          <t xml:space="preserve">
20/4/2017:Blood samples taken "less than 5 minutes after capture", which I assume was last thing done (weighing done first)</t>
        </r>
      </text>
    </comment>
    <comment ref="K471" authorId="7">
      <text>
        <r>
          <rPr>
            <b/>
            <sz val="9"/>
            <color indexed="81"/>
            <rFont val="Calibri"/>
            <family val="2"/>
          </rPr>
          <t>Lyndon Estes:</t>
        </r>
        <r>
          <rPr>
            <sz val="9"/>
            <color indexed="81"/>
            <rFont val="Calibri"/>
            <family val="2"/>
          </rPr>
          <t xml:space="preserve">
20/4/2017: Year between repeat weighings</t>
        </r>
      </text>
    </comment>
    <comment ref="L471" authorId="7">
      <text>
        <r>
          <rPr>
            <b/>
            <sz val="9"/>
            <color indexed="81"/>
            <rFont val="Calibri"/>
            <family val="2"/>
          </rPr>
          <t>Lyndon Estes:</t>
        </r>
        <r>
          <rPr>
            <sz val="9"/>
            <color indexed="81"/>
            <rFont val="Calibri"/>
            <family val="2"/>
          </rPr>
          <t xml:space="preserve">
20/4/2017: Two weighings per individual</t>
        </r>
      </text>
    </comment>
    <comment ref="M471" authorId="7">
      <text>
        <r>
          <rPr>
            <b/>
            <sz val="9"/>
            <color indexed="81"/>
            <rFont val="Calibri"/>
            <family val="2"/>
          </rPr>
          <t>Lyndon Estes:</t>
        </r>
        <r>
          <rPr>
            <sz val="9"/>
            <color indexed="81"/>
            <rFont val="Calibri"/>
            <family val="2"/>
          </rPr>
          <t xml:space="preserve">
20/4/2017: Weighing spanned two seasons</t>
        </r>
      </text>
    </comment>
    <comment ref="D478" authorId="7">
      <text>
        <r>
          <rPr>
            <b/>
            <sz val="9"/>
            <color indexed="81"/>
            <rFont val="Arial"/>
          </rPr>
          <t>Lyndon Estes:</t>
        </r>
        <r>
          <rPr>
            <sz val="9"/>
            <color indexed="81"/>
            <rFont val="Arial"/>
          </rPr>
          <t xml:space="preserve">
changed M3 to remote sensing type, even though it is a hybrid product</t>
        </r>
      </text>
    </comment>
    <comment ref="G478" authorId="7">
      <text>
        <r>
          <rPr>
            <b/>
            <sz val="9"/>
            <color indexed="81"/>
            <rFont val="Arial"/>
          </rPr>
          <t>Lyndon Estes:</t>
        </r>
        <r>
          <rPr>
            <sz val="9"/>
            <color indexed="81"/>
            <rFont val="Arial"/>
          </rPr>
          <t xml:space="preserve">
M3 is ~9X9 km</t>
        </r>
      </text>
    </comment>
    <comment ref="J499" authorId="7">
      <text>
        <r>
          <rPr>
            <b/>
            <sz val="9"/>
            <color indexed="81"/>
            <rFont val="Arial"/>
          </rPr>
          <t>Lyndon Estes:</t>
        </r>
        <r>
          <rPr>
            <sz val="9"/>
            <color indexed="81"/>
            <rFont val="Arial"/>
          </rPr>
          <t xml:space="preserve">
Is this the 14 day NDVI index we have discussed?  If so, shouldn't this be a single instantaneous observation?</t>
        </r>
      </text>
    </comment>
    <comment ref="L499" authorId="7">
      <text>
        <r>
          <rPr>
            <b/>
            <sz val="9"/>
            <color indexed="81"/>
            <rFont val="Arial"/>
          </rPr>
          <t>Lyndon Estes:</t>
        </r>
        <r>
          <rPr>
            <sz val="9"/>
            <color indexed="81"/>
            <rFont val="Arial"/>
          </rPr>
          <t xml:space="preserve">
Can you have a look at this?  Not an instantaneous observation made once every 14 days for a year? </t>
        </r>
      </text>
    </comment>
    <comment ref="L505" authorId="7">
      <text>
        <r>
          <rPr>
            <b/>
            <sz val="9"/>
            <color indexed="81"/>
            <rFont val="Arial"/>
          </rPr>
          <t>Lyndon Estes:</t>
        </r>
        <r>
          <rPr>
            <sz val="9"/>
            <color indexed="81"/>
            <rFont val="Arial"/>
          </rPr>
          <t xml:space="preserve">
Is this because measurement was continuous over a year?</t>
        </r>
      </text>
    </comment>
    <comment ref="L507" authorId="7">
      <text>
        <r>
          <rPr>
            <b/>
            <sz val="9"/>
            <color indexed="81"/>
            <rFont val="Arial"/>
          </rPr>
          <t>Lyndon Estes:</t>
        </r>
        <r>
          <rPr>
            <sz val="9"/>
            <color indexed="81"/>
            <rFont val="Arial"/>
          </rPr>
          <t xml:space="preserve">
Can you double-check this one?</t>
        </r>
      </text>
    </comment>
  </commentList>
</comments>
</file>

<file path=xl/sharedStrings.xml><?xml version="1.0" encoding="utf-8"?>
<sst xmlns="http://schemas.openxmlformats.org/spreadsheetml/2006/main" count="2998" uniqueCount="1141">
  <si>
    <t>Behavioral Ecology</t>
  </si>
  <si>
    <t>10.1093/beheco/arn123</t>
  </si>
  <si>
    <t>experimental</t>
  </si>
  <si>
    <t>Discovery Bay, Jamaica</t>
  </si>
  <si>
    <t>Damselfish behavior and quality of their territory</t>
  </si>
  <si>
    <t>Excluded. Reason - experimental manipulation.</t>
  </si>
  <si>
    <t>Biogeosciences</t>
  </si>
  <si>
    <t>10.5194/bg-10-7661-2013</t>
  </si>
  <si>
    <t>automated data collection</t>
  </si>
  <si>
    <t>Gypsum Hill, Axel Heiberg Island, Nunavut, Canada</t>
  </si>
  <si>
    <t>Community characterization of gypsum endoliths</t>
  </si>
  <si>
    <t>plot_res; n_sites; samp_duration</t>
  </si>
  <si>
    <t>surface temp sensor @ 15 minute interval</t>
  </si>
  <si>
    <t>surface temp sensor @ 1 sec interval</t>
  </si>
  <si>
    <t>air temp probe @ 15 minute interval</t>
  </si>
  <si>
    <t>air temp probe @ 1 sec interval</t>
  </si>
  <si>
    <t>PAR sensor @ 15 minute interval</t>
  </si>
  <si>
    <t>PAR sensor @ 1 sec interval</t>
  </si>
  <si>
    <t>Proceedings of the Royal Society B-Biological Sciences</t>
  </si>
  <si>
    <t xml:space="preserve">10.1098/rspb.2010.1148 </t>
  </si>
  <si>
    <t>paleo-reconstruction</t>
  </si>
  <si>
    <t>Lisboa, Portugal and Steinmann-Institut für Geologie, Mineralogie und Paläontologie, Universität Bonn, Germany</t>
  </si>
  <si>
    <t>Description of evolution of inner ear cochlea in late Jurassic mammal Dryolestes.</t>
  </si>
  <si>
    <t>Exclude. Reason: The inner ear is observed via high resolution scanning and 3-d visualization. The two resolutions are provided but concern is that they are observing smaller physiological characteristics. Also, no real size of the artifact provided. Experimental paleo-reconstruction.</t>
  </si>
  <si>
    <t>Biological Conservation</t>
  </si>
  <si>
    <t>10.1016/j.biocon.2008.09.014</t>
  </si>
  <si>
    <t>field/direct observation</t>
  </si>
  <si>
    <t>Lake Michigan and Lake Superior, USA</t>
  </si>
  <si>
    <t xml:space="preserve">Relative fitness of wild vs. captive piping plovers </t>
  </si>
  <si>
    <t>plot_res; n_sites; samp_duration; samp_duration; t_btwn_samp; study_duration</t>
  </si>
  <si>
    <t>Use Piping plover nests as observational unit</t>
  </si>
  <si>
    <t>10.1016/j.biocon.2008.08.021</t>
  </si>
  <si>
    <t>Southern Tablelands of New South Wales, Australia</t>
  </si>
  <si>
    <t>How fragmentation affects remnant vegetation in southeast Australia</t>
  </si>
  <si>
    <t>10.1016/j.biocon.2006.08.004</t>
  </si>
  <si>
    <t>plot_res; n_sites; sampled_area; samp_duration; t_btwn_samp; study_duration</t>
  </si>
  <si>
    <t>Adaminaby cemetery</t>
  </si>
  <si>
    <t>Jerrabomberra</t>
  </si>
  <si>
    <t>Campbell park</t>
  </si>
  <si>
    <t>Native dog</t>
  </si>
  <si>
    <t>Braidwood</t>
  </si>
  <si>
    <t>Berrabangalo</t>
  </si>
  <si>
    <t>Adaminaby road</t>
  </si>
  <si>
    <t>Gydzderick</t>
  </si>
  <si>
    <t>Lade vale</t>
  </si>
  <si>
    <t>Black flat</t>
  </si>
  <si>
    <t>Scabbing flat</t>
  </si>
  <si>
    <t>Grabben Gullen</t>
  </si>
  <si>
    <t>Pudmans</t>
  </si>
  <si>
    <t>Queensgallery</t>
  </si>
  <si>
    <t>Frontiers in Ecology and the Environment</t>
  </si>
  <si>
    <t>Mount Banahaw, Luzon, Philippines</t>
  </si>
  <si>
    <t>microclimate induced aboreality in frogs</t>
  </si>
  <si>
    <t>http://dx.doi.org/10.1098/rspb.2013.1581</t>
  </si>
  <si>
    <t>plot_res; t_btwn_samp</t>
  </si>
  <si>
    <t>Tree canopy data - the Philippines</t>
  </si>
  <si>
    <t>Singapore</t>
  </si>
  <si>
    <t>Tree canopy data - Singapore</t>
  </si>
  <si>
    <t>n_sites; sampled_area; samp_duration</t>
  </si>
  <si>
    <t xml:space="preserve"> air temp and min. moisture data - The Philippines</t>
  </si>
  <si>
    <t>n_sites; sampled_area; t_btwn_samp; study_duration; study_span</t>
  </si>
  <si>
    <t>Tree transect survey - The Philippines</t>
  </si>
  <si>
    <t>Tree transect survey - Singapore</t>
  </si>
  <si>
    <t xml:space="preserve">10.1098/rspb.2013.1520 </t>
  </si>
  <si>
    <t xml:space="preserve">Chacamax River, Chiapas, Mexico </t>
  </si>
  <si>
    <t>Invasive aquarium fish species that alter nutrient dynamics in rivers</t>
  </si>
  <si>
    <t>plot_res; samp_duration</t>
  </si>
  <si>
    <t>Pterygoplichthys and native fish density</t>
  </si>
  <si>
    <t>10.1890/1540-9295(2007)5[375:ACALTL]2.0.CO;2</t>
  </si>
  <si>
    <t>theoretical</t>
  </si>
  <si>
    <t>Excluded. Reason - theoretical paper</t>
  </si>
  <si>
    <t>article on food-sharing program</t>
  </si>
  <si>
    <t>Excluded. Reason - article about food waste problem in Germany</t>
  </si>
  <si>
    <t xml:space="preserve">10.1098/rspb.2009.2342 </t>
  </si>
  <si>
    <t>Wood River system, southwestern Alaska</t>
  </si>
  <si>
    <t>Influence of spawning salmon on phenology of insects in southwestern Alaska</t>
  </si>
  <si>
    <t>plot_res; n_sites; sampled_area; samp_duration, t_btwn_samp</t>
  </si>
  <si>
    <t>Temperature data from July to August (2007)</t>
  </si>
  <si>
    <t>Temperature data from September, 2007 to September, 2008</t>
  </si>
  <si>
    <t>plot_res; sampled_area; samp_duration</t>
  </si>
  <si>
    <t>Benthic insect capturing</t>
  </si>
  <si>
    <t>n_sites; sampled_area</t>
  </si>
  <si>
    <t>Emergence traps for insects</t>
  </si>
  <si>
    <t xml:space="preserve">10.1098/rspb.2010.1579 </t>
  </si>
  <si>
    <t>theoretical/modeling</t>
  </si>
  <si>
    <t>Exclude. Theoretical-modeling paper (?). Meta-analyses of rediscovery and detectability of extinction in mammals - extracted and derived data from various databases.</t>
  </si>
  <si>
    <t xml:space="preserve">10.1098/rspb.2012.0633 </t>
  </si>
  <si>
    <t>Exclude. Reason - experimental manipulation</t>
  </si>
  <si>
    <t>10.1016/j.biocon.2014.02.010</t>
  </si>
  <si>
    <t>Scotian Shelf, Nova Scotia, Canada</t>
  </si>
  <si>
    <t>Surveying seabirds at-sea to create distribution models</t>
  </si>
  <si>
    <t>plot_res; sampled_area; t_btwn_samp; study_duration</t>
  </si>
  <si>
    <t>Includes flying and swimming birds</t>
  </si>
  <si>
    <t>Oikos</t>
  </si>
  <si>
    <t>10.1111/j.1600-0706.2009.17520.x</t>
  </si>
  <si>
    <t>Oecologia</t>
  </si>
  <si>
    <t>10.1007/s00442-009-1318-9</t>
  </si>
  <si>
    <t>Exclude. Reason - theoretical paper</t>
  </si>
  <si>
    <t xml:space="preserve">10.1098/rspb.2007.1260 </t>
  </si>
  <si>
    <t>Northern Territory of Australia</t>
  </si>
  <si>
    <t>Testing horizontal transmission of HeV in flying foxes population</t>
  </si>
  <si>
    <t>Bat trappings using mist-nets and blood serology collections. Individual bats used instead of mist-net as plot resolution because no dimensions provided</t>
  </si>
  <si>
    <t>10.1007/s00442-005-0070-z</t>
  </si>
  <si>
    <t>meta-analysis/lit. review</t>
  </si>
  <si>
    <t xml:space="preserve">Exclude. Reason - meta-analysis of four different datasets. </t>
  </si>
  <si>
    <t>10.5194/bg-10-3869-2013</t>
  </si>
  <si>
    <t>theoretical/experimental manipulation</t>
  </si>
  <si>
    <t>Exclude. Reason - Usage of experimental data from two sources to create simulation models</t>
  </si>
  <si>
    <t>10.1098/rspb.2011.1486</t>
  </si>
  <si>
    <t>10.1890/1540-9295(2005)003[0285:NCI]2.0.CO;2</t>
  </si>
  <si>
    <t>Exclude. Reason - policy/theoretical</t>
  </si>
  <si>
    <t>Global Ecology and Biogeography</t>
  </si>
  <si>
    <t>10.1111/j.1466-822X.2006.00193.x</t>
  </si>
  <si>
    <t>Sesia valley, Northern Italy</t>
  </si>
  <si>
    <t>10.1002/iroh.200310639; http://www2.muse.it/pubblicazioni/5/actaB80/02_actaBIO_fontaneto.pdf; 10.1007/s10750-004-5495-6</t>
  </si>
  <si>
    <t>samp_duration; t_btwn_samples; study_duration</t>
  </si>
  <si>
    <t>dry, lentic and lotic moss data. See DOI data source for extracted data from papers; Revised no. of samples dry (n=24), lentic (n=4*17, 4 moss samples at each site) &amp; lotic (n=15 @ Res, 15 @ Argnaccia, 10 @ Valnava - assume one sample per site)</t>
  </si>
  <si>
    <t>10.1007/s00442-013-2614-y</t>
  </si>
  <si>
    <t>experimental/manipulation</t>
  </si>
  <si>
    <t>Agriculture Ecosystems &amp; Environment</t>
  </si>
  <si>
    <t>10.1016/j.agee.2013.07.007</t>
  </si>
  <si>
    <t>Zone Atelier “Plaines et Val de Sèvres”, Poitou-Charentes region, France</t>
  </si>
  <si>
    <t>Use of agri-envrionmental schemes (AES) by  honey bees and wild bees foraging</t>
  </si>
  <si>
    <t>sampling of AES habitats (two sampling methods merged as single effect)</t>
  </si>
  <si>
    <t>10.1890/1540-9295-10.9.508</t>
  </si>
  <si>
    <t>other</t>
  </si>
  <si>
    <t>Exclude. Reason - Article on communication with animals</t>
  </si>
  <si>
    <t>American Naturalist</t>
  </si>
  <si>
    <t>10.1086/651589</t>
  </si>
  <si>
    <t>Exclude. Reason - modeling/simulations</t>
  </si>
  <si>
    <t>Diversity and Distributions</t>
  </si>
  <si>
    <t>10.1111/j.1472-4642.2012.00932.x</t>
  </si>
  <si>
    <t>theoretical/case studies</t>
  </si>
  <si>
    <t>Exclude. Reason - Theoretical - case studies of weed containment program - no observational data/sampling</t>
  </si>
  <si>
    <t>Ecological Applications</t>
  </si>
  <si>
    <t>10.1890/09-2178.1</t>
  </si>
  <si>
    <t>Laurentian Shield, Quebec, Canada</t>
  </si>
  <si>
    <t>plot_res; samp_duration; study_duration</t>
  </si>
  <si>
    <t>Lake Drouin - Fish community</t>
  </si>
  <si>
    <t>Lake Pare - Fish community</t>
  </si>
  <si>
    <t>Density of macrophytes @ Lake Drouin &amp; Pare (combined)</t>
  </si>
  <si>
    <t>10.5194/bg-10-6879-2013</t>
  </si>
  <si>
    <t>Murray Ridge, northern Arabian Sea</t>
  </si>
  <si>
    <t>bacterial role in carbon recycling in Arabian sea's oxygen minimum zone</t>
  </si>
  <si>
    <t>samp_duration; t_btwn_samp; study_duration</t>
  </si>
  <si>
    <t>Oxygen concentration</t>
  </si>
  <si>
    <t>Soil core samples</t>
  </si>
  <si>
    <t>10.1890/12-1324.1</t>
  </si>
  <si>
    <t xml:space="preserve">Exclude. Reason - Theoretical/policy paper on </t>
  </si>
  <si>
    <t>Ecological Economics</t>
  </si>
  <si>
    <t>10.1016/j.ecolecon.2010.06.013</t>
  </si>
  <si>
    <t xml:space="preserve">Exclude. Reason - Experimental study on mosquitofish </t>
  </si>
  <si>
    <t>10.5194/bg-11-425-2014</t>
  </si>
  <si>
    <t>Exclude. Reason - Simulating deposition of mineral dust in mesocosms</t>
  </si>
  <si>
    <t>10.1016/j.agee.2006.12.016</t>
  </si>
  <si>
    <t>Exclude. Reason - Using INTI (integrated total nitrogen input)  system to measure nitrogen inputs and outputs in pots or in experimental regions simulating field conditions.</t>
  </si>
  <si>
    <t>10.1007/s00442-012-2371-3</t>
  </si>
  <si>
    <t xml:space="preserve">Canton of Uri and Tincino, Switzerland </t>
  </si>
  <si>
    <t>soil respiration as proxy to understanding of NPP at high and low elevation in Alps</t>
  </si>
  <si>
    <t>t_btwn_samp; study_duration; study_span</t>
  </si>
  <si>
    <t>Basal area</t>
  </si>
  <si>
    <t>n_sites; study_duration</t>
  </si>
  <si>
    <t>Air and Soil Temperature</t>
  </si>
  <si>
    <t>plot_res; samp_duration; study_duration; study_span</t>
  </si>
  <si>
    <t>Percipitation</t>
  </si>
  <si>
    <t>study_duration; study_span</t>
  </si>
  <si>
    <t>Soil Moisture</t>
  </si>
  <si>
    <t>Leaf Area Index (LAI)</t>
  </si>
  <si>
    <t>plot_res; n_sites; t_btwn_samp; study_duration; study_span</t>
  </si>
  <si>
    <t>Leaf Area (LA)</t>
  </si>
  <si>
    <t>samp_duration; t_btwn_samp; study_duration; study_span</t>
  </si>
  <si>
    <t>Canopy leaf litter fall</t>
  </si>
  <si>
    <t>samp_duration; t_btwn_samp; study_span</t>
  </si>
  <si>
    <t>Soil Cores</t>
  </si>
  <si>
    <t>samp_duration; t_btwn_sample; study_duration; study_span</t>
  </si>
  <si>
    <t>Soil Respiration</t>
  </si>
  <si>
    <t>n_sites; samp_duration; t_btwn_samp; study_duration; study_span</t>
  </si>
  <si>
    <t>Manual - Soil Temperature (Chamber sites)</t>
  </si>
  <si>
    <t>Manual - Soil Moisture (Chamber sites)</t>
  </si>
  <si>
    <t>n_sites; samp_duration; t_btwn_samp; study_duration</t>
  </si>
  <si>
    <t>Soil Respiration @ Supplementary sites</t>
  </si>
  <si>
    <t>Soil Physiochemical analysis</t>
  </si>
  <si>
    <t xml:space="preserve">10.1098/rspb.2007.1067 </t>
  </si>
  <si>
    <t>48°10′ N, 16°12′ W, Atlantic Ocean; 41°43′ N, 49°56′ W, Atlantic Ocean</t>
  </si>
  <si>
    <t>Fungal diversity in deep oceans</t>
  </si>
  <si>
    <t>plot_res; samp_duration; t_btwn_samp; study_duration; study_span; function</t>
  </si>
  <si>
    <t>Wrecks of Bismarck and Titanic</t>
  </si>
  <si>
    <t>36°6′ N, 33°11′ W, Mid-Atlantic Ridge, Atlantic Ocean</t>
  </si>
  <si>
    <t>10.1073/pnas.0235779100</t>
  </si>
  <si>
    <t>plot_res; samp_duration; t_btwn_samp; study_span; function</t>
  </si>
  <si>
    <t>Mid-Atlantic Ridge - Rainbow hydrothermal sediment</t>
  </si>
  <si>
    <t>37°17′ N, 32°16′ W, Mid-Atlantic Ridge, Atlantic Ocean</t>
  </si>
  <si>
    <t>Mid-Atlantic Ridge/Lucky Strike Site - Plastic mesh</t>
  </si>
  <si>
    <t>59°19′48″ S, 55°45′11″ W, Drake Passage, Atlantic Ocean; 59°19′48″ S, 55°45′11″ W, Drake Passage, Atlantic Ocean</t>
  </si>
  <si>
    <t>10.1038/35054537</t>
  </si>
  <si>
    <t>plot_res; samp_duration; t_btwn_samp; study_duration</t>
  </si>
  <si>
    <t>Drake Passage &amp; Drake Passage (Shallow marine site)</t>
  </si>
  <si>
    <t>27°35′ N, 111°28 W, Gulf of California</t>
  </si>
  <si>
    <t>10.1073/pnas.062186399</t>
  </si>
  <si>
    <t>Gulf of California</t>
  </si>
  <si>
    <t>10.5194/bg-10-5627-2013</t>
  </si>
  <si>
    <t>Haean Basin, Gangwon, South Korea</t>
  </si>
  <si>
    <t>Use of cesium-137 and fall out radionuclides as qualitative indicators for soil erosion</t>
  </si>
  <si>
    <t>plot_res; t_btwn_samp; structure</t>
  </si>
  <si>
    <t>Soil core samples - bulk densities and determine organic and inorganic % carbon concentration</t>
  </si>
  <si>
    <t>10.1016/j.agee.2011.06.018</t>
  </si>
  <si>
    <t>South of Mount Saint-Michel, Brittany, France</t>
  </si>
  <si>
    <t>Assessing if grassy field margins/corridors in agricultural landscapes facilitate butterfly movement</t>
  </si>
  <si>
    <t>plot_res; samp_duration; t_twn_samp; study_duration</t>
  </si>
  <si>
    <r>
      <t xml:space="preserve">medow and GFM surveys for </t>
    </r>
    <r>
      <rPr>
        <i/>
        <sz val="10"/>
        <rFont val="Arial"/>
        <family val="2"/>
      </rPr>
      <t xml:space="preserve">M. jurtina </t>
    </r>
    <r>
      <rPr>
        <sz val="12"/>
        <color theme="1"/>
        <rFont val="Calibri"/>
        <family val="2"/>
        <scheme val="minor"/>
      </rPr>
      <t>movement</t>
    </r>
  </si>
  <si>
    <t>10.1086/504603</t>
  </si>
  <si>
    <t>Washington, Oregon &amp; California, USA</t>
  </si>
  <si>
    <t>relationship between regional and local species richness in marine intertidal ecosystems in western coast, USA</t>
  </si>
  <si>
    <t>designation of regional and local plots - sampling all species and assign trophic status - Note - should this have nested regional and local effects, or just single effect?</t>
  </si>
  <si>
    <t>10.1111/j.1600-0706.2010.18766.x</t>
  </si>
  <si>
    <t>Alaska, USA; Canada; Svalbard, Norway</t>
  </si>
  <si>
    <t xml:space="preserve">Arctic fox - genetic diversity and connectivity in Circumpolar region </t>
  </si>
  <si>
    <t>10.1111/j.1365-294X.2007.03381.x</t>
  </si>
  <si>
    <t>plot_res; sampled_area; samp_duration; t_btwn_samp; study_duration; study_span; function; composition</t>
  </si>
  <si>
    <t>Carmichael et al., 2007 (Alaska, Canada, Svalbard)</t>
  </si>
  <si>
    <t>Iceland</t>
  </si>
  <si>
    <t>10.1111/j.1095-8312.2009.01172.x</t>
  </si>
  <si>
    <t>Noren et al., 2009 (Iceland)</t>
  </si>
  <si>
    <t>Scandinavia; Kola, Nish Pesha &amp; Amderma, Russia</t>
  </si>
  <si>
    <t>10.1111/j.1365-294X.2006.02983.x</t>
  </si>
  <si>
    <t>Dalen et al., 2006 (Scandinavia &amp; Kola)</t>
  </si>
  <si>
    <t>10.1111/j.1095-8312.2005.00415.x</t>
  </si>
  <si>
    <t>Dalen et al., 2005 (Nish Pesha &amp; Amderma)</t>
  </si>
  <si>
    <t>Yamal, Taimyr and Wrangel Islands, Russia; Kangerlussuaq, Scoresbysund, Siorpaluk, Thule, Nanortalik and Quaqortoq, Greenland</t>
  </si>
  <si>
    <t>Unpublished studies from Siberia and Greeland</t>
  </si>
  <si>
    <t>10.1016/j.biocon.2006.10.041</t>
  </si>
  <si>
    <t>Yellowstone National Park, Wyoming and Montana, USA</t>
  </si>
  <si>
    <t>plot_res; samp_duration, study_duration; composition</t>
  </si>
  <si>
    <t>Pronghorn goat telemetry data</t>
  </si>
  <si>
    <t>Landscape Ecology</t>
  </si>
  <si>
    <t>10.1007/s10980-013-9847-3</t>
  </si>
  <si>
    <t>Sierra de Guadarrama, Spain</t>
  </si>
  <si>
    <t>Analysis of P. apollo abundance by creating a GLM model derived from field data</t>
  </si>
  <si>
    <t>samp_duration; study_duration</t>
  </si>
  <si>
    <r>
      <rPr>
        <i/>
        <sz val="10"/>
        <rFont val="Arial"/>
        <family val="2"/>
      </rPr>
      <t xml:space="preserve">P. apollo </t>
    </r>
    <r>
      <rPr>
        <sz val="12"/>
        <color theme="1"/>
        <rFont val="Calibri"/>
        <family val="2"/>
        <scheme val="minor"/>
      </rPr>
      <t>count</t>
    </r>
  </si>
  <si>
    <t>Sedum Speices - % cover, bare ground shrub &amp; vegetation height</t>
  </si>
  <si>
    <t>10.1016/j.ecolecon.2004.10.014</t>
  </si>
  <si>
    <t>No spatial component</t>
  </si>
  <si>
    <t>http://dx.doi.org/10.1890/08-1463.1</t>
  </si>
  <si>
    <t>Canada</t>
  </si>
  <si>
    <t>Beetle diversity</t>
  </si>
  <si>
    <t>Experimental</t>
  </si>
  <si>
    <t>10.1007/s00442-009-1319-8</t>
  </si>
  <si>
    <t>Japan (Erimo)</t>
  </si>
  <si>
    <t>Hynobius retardatus</t>
  </si>
  <si>
    <t>http://www.bioone.org/doi/pdf/10.2108/zsj.19.703</t>
  </si>
  <si>
    <t>plot_res\sampled_area\samp_duration</t>
  </si>
  <si>
    <t>Experimental, but has field component</t>
  </si>
  <si>
    <t>http://dx.doi.org.proxy-bc.researchport.umd.edu/10.5061/dryad.73fr5.</t>
  </si>
  <si>
    <t>Florida</t>
  </si>
  <si>
    <t>Poecilia latipinna</t>
  </si>
  <si>
    <t>http://www.jstor.org/stable/2408916</t>
  </si>
  <si>
    <t>Genetic study, but has field component</t>
  </si>
  <si>
    <t>Global Change Biology</t>
  </si>
  <si>
    <t>10.1111/j.1365-2486.2008.01799.x</t>
  </si>
  <si>
    <t>Kenya</t>
  </si>
  <si>
    <t>Porite growth anomaly</t>
  </si>
  <si>
    <t>sample_duration\study_duration</t>
  </si>
  <si>
    <t>Number of sites were given in a range, I used the average of the range.</t>
  </si>
  <si>
    <t>Benthic cover</t>
  </si>
  <si>
    <t>Seawater</t>
  </si>
  <si>
    <t>plot_res\sample_duration\study_duration\t_btw_samp</t>
  </si>
  <si>
    <t>10.1016/j.biocon.2013.11.026</t>
  </si>
  <si>
    <t>Model</t>
  </si>
  <si>
    <t>Conservation Biology</t>
  </si>
  <si>
    <t>10.1111/j.1523-1739.2006.00589.x</t>
  </si>
  <si>
    <t>Risk assesment. no spatial component</t>
  </si>
  <si>
    <t>doi:10.1016/j.ecolecon.2013.05.007</t>
  </si>
  <si>
    <t>10.1098/rspb.2007.0424</t>
  </si>
  <si>
    <t>Lamprotornis superbus</t>
  </si>
  <si>
    <t>plot_res\n_sites\sampled_area\study_duration</t>
  </si>
  <si>
    <t>10.1016/j.ecolecon.2008.02.020</t>
  </si>
  <si>
    <t>Survey</t>
  </si>
  <si>
    <t>Ecosystems</t>
  </si>
  <si>
    <t>10.1007/s10021-003-0127-y</t>
  </si>
  <si>
    <t>New York</t>
  </si>
  <si>
    <t>Soil Sampling</t>
  </si>
  <si>
    <t>plot_res\n_sites\sampled_area\samp_duration\study_span</t>
  </si>
  <si>
    <t>Number of sites were not provided: best estimate made</t>
  </si>
  <si>
    <t>Lysimeter Sampling</t>
  </si>
  <si>
    <t>doi:10.1093/beheco/art072</t>
  </si>
  <si>
    <t>Lepomis macrochirus</t>
  </si>
  <si>
    <t>plot_res\n_sites\sampled_area\samp_duration</t>
  </si>
  <si>
    <t>doi:10.1093/beheco/art073</t>
  </si>
  <si>
    <t>doi: 10.1111/j.1365-2486.2010.02356.x</t>
  </si>
  <si>
    <t>remote sensing</t>
  </si>
  <si>
    <t>Fiji</t>
  </si>
  <si>
    <t>L. scabra</t>
  </si>
  <si>
    <t>plot_res\sample_duration\study_duration\t_btw_samp\study_duration\study_span</t>
  </si>
  <si>
    <t>10.1098/rspb.2010.2699</t>
  </si>
  <si>
    <t>No spatial/temporal component</t>
  </si>
  <si>
    <t>0.1098/rspb.2006.0209</t>
  </si>
  <si>
    <t>10.1007/s10021-012-9621-4</t>
  </si>
  <si>
    <t>Tanzania</t>
  </si>
  <si>
    <t>Soil</t>
  </si>
  <si>
    <t>10.1111/j.1365-2486.2011.02433.x</t>
  </si>
  <si>
    <t>Alaska</t>
  </si>
  <si>
    <t>CO₂</t>
  </si>
  <si>
    <t>plot_res\sample_duration\study_duration\t_btw_samp\study_span</t>
  </si>
  <si>
    <t>10.1016/j.biocon.2011.11.008</t>
  </si>
  <si>
    <t xml:space="preserve">Solomon Islands </t>
  </si>
  <si>
    <t>Understory plant diversity</t>
  </si>
  <si>
    <t>10.1007/s00442-010-1870-3</t>
  </si>
  <si>
    <t>10.1111/j.1365-2486.2006.01197.x</t>
  </si>
  <si>
    <t>China</t>
  </si>
  <si>
    <t>CO2 and H2O flux</t>
  </si>
  <si>
    <t>n_sites\sampled_area\sample_duration\study_duration\t_btw_samp\study_duration\study_span</t>
  </si>
  <si>
    <t>10.5194/bg-11-1137-2014</t>
  </si>
  <si>
    <t>Biology Letters</t>
  </si>
  <si>
    <t>10.1098/rsbl.2009.0872</t>
  </si>
  <si>
    <t>Scotland</t>
  </si>
  <si>
    <t>Trout</t>
  </si>
  <si>
    <t>plot_res\sample_duration\study_duration\t_btw_samp\study_duration</t>
  </si>
  <si>
    <t>Journal of Ecology</t>
  </si>
  <si>
    <t>10.1111/j.1365-2745.2010.01687.x</t>
  </si>
  <si>
    <t>Luxembourg</t>
  </si>
  <si>
    <t>Plant species</t>
  </si>
  <si>
    <t>samp_duration\t_btwn_samp</t>
  </si>
  <si>
    <t>10.5194/bg-6-439-2009</t>
  </si>
  <si>
    <t>Atlantic Ocean</t>
  </si>
  <si>
    <t>Anthropogenic Carbon</t>
  </si>
  <si>
    <t>http://cchdo.ucsd.edu/data/7444/a5repeat.pdf</t>
  </si>
  <si>
    <t>http://cdiac.ornl.gov/ftp/oceans/a14a13woce/Rios2003JGR108.pdf</t>
  </si>
  <si>
    <t>10.5194/bg-6-439-2010</t>
  </si>
  <si>
    <t>10.1029/2000JC000366</t>
  </si>
  <si>
    <t>10.5194/bg-6-439-2011</t>
  </si>
  <si>
    <t>10.1029/2005GB002669</t>
  </si>
  <si>
    <t>n_sites\samp_duration\t_btwn_samp</t>
  </si>
  <si>
    <t>10.5194/bg-6-439-2012</t>
  </si>
  <si>
    <t>http://cdiac.ornl.gov/oceans/ndp_085/</t>
  </si>
  <si>
    <t>10.1016/j.ecolecon.2006.11.015</t>
  </si>
  <si>
    <t>10.1016/j.biocon.2011.12.002</t>
  </si>
  <si>
    <t>North Sea/Baltic Sea</t>
  </si>
  <si>
    <t>Bird Species</t>
  </si>
  <si>
    <t>plot_res\sample_duration\study_duration\study_duration</t>
  </si>
  <si>
    <t>10.1016/j.biocon.2012.11.003</t>
  </si>
  <si>
    <t>Agriculture, Ecosystems &amp; Environment</t>
  </si>
  <si>
    <t>10.1016/j.agee.2013.04.001</t>
  </si>
  <si>
    <t>http://dx.doi.org/10.1890/1540-9295-10.6.283</t>
  </si>
  <si>
    <t>Editorial- not an academic paper with a spatial and temporal component</t>
  </si>
  <si>
    <t>10.1007/s00442-008-1108-9</t>
  </si>
  <si>
    <t>Hawaii</t>
  </si>
  <si>
    <t>Ferns</t>
  </si>
  <si>
    <t>plot_res\sampled_area\samp_duration\t_btwn_samp\study_duration\study_span</t>
  </si>
  <si>
    <t>This paper did not provide much data to extract- several fields are pure estimates</t>
  </si>
  <si>
    <t>10.1016/j.biocon.2009.11.018</t>
  </si>
  <si>
    <t>other geographic data</t>
  </si>
  <si>
    <t>Global</t>
  </si>
  <si>
    <t>Human Footprint</t>
  </si>
  <si>
    <t>samp_duratiion\t_Btwn_Samp\study_duration\study_span</t>
  </si>
  <si>
    <t>10.1016/j.biocon.2009.11.019</t>
  </si>
  <si>
    <t>http://dx.doi.org/10.1890/13.WB.001</t>
  </si>
  <si>
    <t>10.1086/675691</t>
  </si>
  <si>
    <t>http://dx.doi.org/10.1890/080192</t>
  </si>
  <si>
    <t>Panda Habitat</t>
  </si>
  <si>
    <t>n_sites\samp_duratiion\t_Btwn_Samp\study_duration</t>
  </si>
  <si>
    <t>10.1111/j.1365-2486.2011.02448.x</t>
  </si>
  <si>
    <t>Panama</t>
  </si>
  <si>
    <t>CO₂ and CH4 fluxes</t>
  </si>
  <si>
    <t>t_btwn_samp\study_span</t>
  </si>
  <si>
    <t>10.1098/rsbl.2010.0639</t>
  </si>
  <si>
    <t>10.5194/bg-7-333-2010</t>
  </si>
  <si>
    <t>10.1098/rsbl.2004.0282</t>
  </si>
  <si>
    <t>No spatial/temporal component- molecular study</t>
  </si>
  <si>
    <t>10.1111/j.1523-1739.2008.01158.x</t>
  </si>
  <si>
    <t>Literature review</t>
  </si>
  <si>
    <t>10.1111/j.1365-2745.2009.01485.x</t>
  </si>
  <si>
    <t>10.1111/j.2007.0030-1299.15315.x</t>
  </si>
  <si>
    <t>Biological Sciences</t>
  </si>
  <si>
    <t>10.1098/rspb.2011.0708</t>
  </si>
  <si>
    <t>Western Mediterranean Sea</t>
  </si>
  <si>
    <t>A. catenella</t>
  </si>
  <si>
    <t>10.1007/s00227-005-0067-5</t>
  </si>
  <si>
    <t>plot_res\sampled_area\samp_duration\t_btwn_samp\study_duration</t>
  </si>
  <si>
    <t>Community Ecology</t>
  </si>
  <si>
    <t>10.1007/s00442-007-0856-2</t>
  </si>
  <si>
    <t>Connecticut/Massachusetts/New Hampshire</t>
  </si>
  <si>
    <t>Ambystoma maculatum</t>
  </si>
  <si>
    <t>samp_duration</t>
  </si>
  <si>
    <t>Biological sciences</t>
  </si>
  <si>
    <t>10.1098/rspb.2005.3359</t>
  </si>
  <si>
    <t>California</t>
  </si>
  <si>
    <t>Timema cristinae</t>
  </si>
  <si>
    <t>plot_res\sampled_area\samp_duration\t_btwn_samp</t>
  </si>
  <si>
    <t>10.5061/dryad.t4g3r</t>
  </si>
  <si>
    <t>10.1890/03-5078</t>
  </si>
  <si>
    <t>10.1086/659629</t>
  </si>
  <si>
    <t>10.1016/j.ecolecon.2009.04.012</t>
  </si>
  <si>
    <t>10.1016/j.ecolecon.2010.05.011</t>
  </si>
  <si>
    <t>10.5194/bg-8-687-2011</t>
  </si>
  <si>
    <t>Lake Mashu</t>
  </si>
  <si>
    <t>Nitrate Concentrations</t>
  </si>
  <si>
    <t>samp_duration\study_span</t>
  </si>
  <si>
    <t>10.1098/rspb.2007.0891</t>
  </si>
  <si>
    <t>10.1007/s00442-012-2438-1</t>
  </si>
  <si>
    <t>Australia</t>
  </si>
  <si>
    <t>Avifauana</t>
  </si>
  <si>
    <t>1995-1997</t>
  </si>
  <si>
    <t>10.1007/s00442-012-2438-2</t>
  </si>
  <si>
    <t>1996-1997</t>
  </si>
  <si>
    <t>10.1007/s00442-012-2438-3</t>
  </si>
  <si>
    <t>2001-2002</t>
  </si>
  <si>
    <t>10.1098/rspb.2010.2482</t>
  </si>
  <si>
    <t>Field Study</t>
  </si>
  <si>
    <t>USA, Alaska</t>
  </si>
  <si>
    <t>Phenology in Arctic Ground Squirrels</t>
  </si>
  <si>
    <t>plot_res\study_span</t>
  </si>
  <si>
    <t>plot_res</t>
  </si>
  <si>
    <t>doi:10.1016/j.biocon.2007.11.007</t>
  </si>
  <si>
    <t>Meta Analysis</t>
  </si>
  <si>
    <t>10.1007/s00442-008-1208-6</t>
  </si>
  <si>
    <t>Experiment</t>
  </si>
  <si>
    <t>10.1111/j.1365-2745.2012.01955.x</t>
  </si>
  <si>
    <t>USA, Montana\Chile</t>
  </si>
  <si>
    <t>Changes in treeline</t>
  </si>
  <si>
    <t>t_btwn_samp</t>
  </si>
  <si>
    <t>plot_res\t_btwn_samp</t>
  </si>
  <si>
    <t>10.1093/beheco/ars200</t>
  </si>
  <si>
    <t>doi:10.5194/bg-7-257-2010</t>
  </si>
  <si>
    <t>Model with Field Obs</t>
  </si>
  <si>
    <t>France</t>
  </si>
  <si>
    <t>Modeling VOC emissions from trees</t>
  </si>
  <si>
    <t>; DOI: 10.1007/s00442-009-1298-9</t>
  </si>
  <si>
    <t>doi:10.1016/j.biocon.2008.09.018</t>
  </si>
  <si>
    <t>Malaysia</t>
  </si>
  <si>
    <t>Coral seagrass conservation</t>
  </si>
  <si>
    <t>doi:10.1016/j.biocon.2008.09.019</t>
  </si>
  <si>
    <t>t_btwn_samp\structure\function</t>
  </si>
  <si>
    <t>doi:10.1016/j.biocon.2008.09.020</t>
  </si>
  <si>
    <t>doi:10.1016/j.biocon.2008.09.021</t>
  </si>
  <si>
    <t>doi:10.1016/j.biocon.2008.09.022</t>
  </si>
  <si>
    <t>doi:10.1016/j.biocon.2008.09.023</t>
  </si>
  <si>
    <t>doi:10.1016/j.biocon.2008.09.024</t>
  </si>
  <si>
    <t>10.1007/s10021-007-9036-9</t>
  </si>
  <si>
    <t>Commentary</t>
  </si>
  <si>
    <t>10.1111/j.1365-2486.2012.02705.x</t>
  </si>
  <si>
    <t>10.1098/rspb.2006.3664</t>
  </si>
  <si>
    <t>Fossils</t>
  </si>
  <si>
    <t>doi:10.1007/s00442-010-1769-0</t>
  </si>
  <si>
    <t>USA, Montana</t>
  </si>
  <si>
    <t>Nest Predation in Brewer's Sparrow</t>
  </si>
  <si>
    <t>study_duration</t>
  </si>
  <si>
    <t>10.1111/j.1472-4642.2007.00359.x</t>
  </si>
  <si>
    <t>Used market data for seed trade for economic analysis - not ecological</t>
  </si>
  <si>
    <t>10.1016/j.ecolecon.2012.06.004</t>
  </si>
  <si>
    <t>Modeling</t>
  </si>
  <si>
    <t>10.1098/rspb.2004.2799</t>
  </si>
  <si>
    <t>10.1111/j.1365-2745.2012.01957.x</t>
  </si>
  <si>
    <t>10.1098/rspb.2008.1246</t>
  </si>
  <si>
    <t>Methods in Ecology and Evolution</t>
  </si>
  <si>
    <t>10.1111/2041-210X.12121</t>
  </si>
  <si>
    <t>10.1016/j.agee.2003.12.018</t>
  </si>
  <si>
    <t>The American Naturalist</t>
  </si>
  <si>
    <t>doi:10.1086/512046</t>
  </si>
  <si>
    <t>France\Sweden</t>
  </si>
  <si>
    <t>Antler Size in Roe Deer</t>
  </si>
  <si>
    <t>plot_res\samp_duration</t>
  </si>
  <si>
    <t>plot_res\t_btwn_samp\study_span\n_sites</t>
  </si>
  <si>
    <t>plot_res\t_btwn_samp\study_span</t>
  </si>
  <si>
    <t>10.1093/beheco/arl078</t>
  </si>
  <si>
    <t>doi:10.1017/j.biocon.2010.10.005</t>
  </si>
  <si>
    <t>Canada, British Columbia</t>
  </si>
  <si>
    <t>Plant community functional traits and grazing pressure</t>
  </si>
  <si>
    <t>n_sites\t_btwn_samp</t>
  </si>
  <si>
    <t>n_sites</t>
  </si>
  <si>
    <t>10.1016/j.ecolecon.2011.08.006</t>
  </si>
  <si>
    <t>10.1111/j.1365-2486.2004.00816.x</t>
  </si>
  <si>
    <t>10.1007/s00442-005-0274-2</t>
  </si>
  <si>
    <t>doi: 10.1111/j.1365-2486.2011.02514.x</t>
  </si>
  <si>
    <t>Netherlands, Groningen</t>
  </si>
  <si>
    <t>Snail shell color change over time</t>
  </si>
  <si>
    <t>function</t>
  </si>
  <si>
    <t>10.1111/j.1365-2486.2012.02667.x</t>
  </si>
  <si>
    <t>doi: 10.1111/j.1365-2486.2009.01898.x</t>
  </si>
  <si>
    <t>Sweden</t>
  </si>
  <si>
    <t>Soil CO2 production and temperature</t>
  </si>
  <si>
    <t>10.1007/s00442-014-2903-0</t>
  </si>
  <si>
    <t>10.1111/j.0030-1299.2005.13973.x</t>
  </si>
  <si>
    <t>doi:10.1890/09-1107.1</t>
  </si>
  <si>
    <t>Demography and modeling of Sierra Nevada Bighorn Sheep</t>
  </si>
  <si>
    <t>Agriculture, Ecosystems, and Environment</t>
  </si>
  <si>
    <t>doi:10.1016/j.agee.2004.07.002</t>
  </si>
  <si>
    <t>Remote Sensing</t>
  </si>
  <si>
    <t>Costa Rica</t>
  </si>
  <si>
    <t>Land use change in Chorotega region, Costa Rica</t>
  </si>
  <si>
    <t>samp_duration\plot_res</t>
  </si>
  <si>
    <t>doi:10.5194/bg-8-267-2011</t>
  </si>
  <si>
    <t>Mediterranean Sea</t>
  </si>
  <si>
    <t>Distribution of protist parasites in oligotrophic waters of Mediterranean</t>
  </si>
  <si>
    <t>plot_res\n_sites</t>
  </si>
  <si>
    <t>10.1098/rspb.2005.3229</t>
  </si>
  <si>
    <t>10.1016/j.ecolecon.2011.06.021</t>
  </si>
  <si>
    <t>DOI 10.1007/s00442-012-2362-4</t>
  </si>
  <si>
    <t>Hungary</t>
  </si>
  <si>
    <t>Lifetime reproductive success in a 17 year study</t>
  </si>
  <si>
    <t>t_btwn_samp\structure</t>
  </si>
  <si>
    <t>doi:10.1016/j.biocon.2009.09.017</t>
  </si>
  <si>
    <t>Peru</t>
  </si>
  <si>
    <t>Peruvian cetacean caught in artisinal fisheries</t>
  </si>
  <si>
    <t>plot_res\samp_duration\t_btwn_samp</t>
  </si>
  <si>
    <t>Not sure about this - surveys with fishermen</t>
  </si>
  <si>
    <t>doi: 10.1111/j.1365-2486.2008.01789.x</t>
  </si>
  <si>
    <t>Finland</t>
  </si>
  <si>
    <t>Range shifts of Finnish butterflies</t>
  </si>
  <si>
    <t>n_sites\plot_res\function</t>
  </si>
  <si>
    <t>10.1023/A:1024189828387</t>
  </si>
  <si>
    <t>samp_duration\study_duration\composition</t>
  </si>
  <si>
    <t>10.1890/11-0495.1</t>
  </si>
  <si>
    <t>Data is inaccessible</t>
  </si>
  <si>
    <t>10.1093/beheco/ari099</t>
  </si>
  <si>
    <t>10.1007/s00442-012-2490-x</t>
  </si>
  <si>
    <t>doi:10.1016/j.agee.2008.08.009</t>
  </si>
  <si>
    <t>Norway</t>
  </si>
  <si>
    <t>A model to look at differences in grazing pressure from 1960s to 2002</t>
  </si>
  <si>
    <t>doi:10.1093/beheco/arr030</t>
  </si>
  <si>
    <t>Virginia</t>
  </si>
  <si>
    <t>Testosterone and bird paternal and mating effort</t>
  </si>
  <si>
    <t>doi:10.1093/beheco/arr031</t>
  </si>
  <si>
    <t>doi:10.1093/beheco/arr032</t>
  </si>
  <si>
    <t>10.1016/j.biocon.2009.09.010</t>
  </si>
  <si>
    <t>A survey of people about wolves</t>
  </si>
  <si>
    <t>10.1890/07-0145.1</t>
  </si>
  <si>
    <t>10.1098/rspb.2005.3190</t>
  </si>
  <si>
    <t>10.1098/rspb.2014.0036</t>
  </si>
  <si>
    <t>10.1111/j.1365-2486.2008.01600.x</t>
  </si>
  <si>
    <t>Data unavailable</t>
  </si>
  <si>
    <t>10.1098/rspb.2008.0679</t>
  </si>
  <si>
    <t>Specimens grown in lab</t>
  </si>
  <si>
    <t>10.1111/j.1365-2745.2009.01566.x</t>
  </si>
  <si>
    <t>10.1098/rspb.2013.0870</t>
  </si>
  <si>
    <t>10.5194/bg-4-395-2007</t>
  </si>
  <si>
    <t>10.1098/rspb.2012.2011</t>
  </si>
  <si>
    <t>10.1111/j.1365-2486.2011.02568.x</t>
  </si>
  <si>
    <t>10.1016/j.ecolecon.2014.03.012</t>
  </si>
  <si>
    <t>Modeling based on human consumption of fuel data</t>
  </si>
  <si>
    <t>10.1098/rsbl.2009.0567</t>
  </si>
  <si>
    <t>Spain</t>
  </si>
  <si>
    <t>Looking at sublethal effects of an oil spill on birds</t>
  </si>
  <si>
    <t>10.1007/s00442-007-0728-9</t>
  </si>
  <si>
    <t>doi:10.1016/j.agee.2005.08.034</t>
  </si>
  <si>
    <t>10.1111/j.0030-1299.2008.16737.x</t>
  </si>
  <si>
    <t>Ecological Monographs</t>
  </si>
  <si>
    <t>10.1890/05-0765</t>
  </si>
  <si>
    <t>South Africa</t>
  </si>
  <si>
    <t>Kudu populations in Kruger National Park</t>
  </si>
  <si>
    <t>10.2307/5021</t>
  </si>
  <si>
    <t>samp_duration\study_duration</t>
  </si>
  <si>
    <t>Wildebeest populations in Kruger</t>
  </si>
  <si>
    <t>10.4102/koedoe.v33i1.449</t>
  </si>
  <si>
    <t>plot_res\tax_breadth</t>
  </si>
  <si>
    <t>plot_res\study_duration</t>
  </si>
  <si>
    <t>This should be from a different study, but I can't get access. I'm going off of what the larger study described.</t>
  </si>
  <si>
    <t>10.4102/koedoe.v37i1.332</t>
  </si>
  <si>
    <t>plot_res\n_sites\samp_duration\study_duration\tax_breadth</t>
  </si>
  <si>
    <t>Wildebeest in Serengeti</t>
  </si>
  <si>
    <t>10.1046/j.1365-2656.1999.00352.x</t>
  </si>
  <si>
    <t>study_span\study_duration</t>
  </si>
  <si>
    <t>This study doesn't really do a very good job of detailing methods</t>
  </si>
  <si>
    <t>plot_res\n_sites\samp_duration\study_duration\t_btwn_samp</t>
  </si>
  <si>
    <t>Rainfall at Kruger</t>
  </si>
  <si>
    <t>Rainfall at Serengeti</t>
  </si>
  <si>
    <t>10.1111/j.1600-0706.2009.17643.x</t>
  </si>
  <si>
    <t>10.1111/j.1365-2486.2012.02740.x</t>
  </si>
  <si>
    <t>Paleo-Reconstruction</t>
  </si>
  <si>
    <t>Canada, Ontario</t>
  </si>
  <si>
    <t>Medieval Climate Anomaly and lake core samples</t>
  </si>
  <si>
    <t>study_duration\samp_duration</t>
  </si>
  <si>
    <t>study_span</t>
  </si>
  <si>
    <t>10.1016/j.ecolecon.2007.12.020</t>
  </si>
  <si>
    <t>excluded</t>
  </si>
  <si>
    <t>statistical model</t>
  </si>
  <si>
    <t>10.1111/j.1600-0706.2008.17202.x</t>
  </si>
  <si>
    <t>field and lab experiment</t>
  </si>
  <si>
    <t>10.1007/s00442-006-0613-y</t>
  </si>
  <si>
    <t>lab experiment</t>
  </si>
  <si>
    <t>10.1007/s00442-011-1937-9</t>
  </si>
  <si>
    <t>field experiment</t>
  </si>
  <si>
    <t>10.1086/592865</t>
  </si>
  <si>
    <t>10.1007/s00442-005-0033-4</t>
  </si>
  <si>
    <t>New Zealand</t>
  </si>
  <si>
    <t>nutrient limitation in bog species</t>
  </si>
  <si>
    <t>sampling duration</t>
  </si>
  <si>
    <t>foliage samples of shrubs and heraceous plants</t>
  </si>
  <si>
    <t>plot resolution; sampling duration</t>
  </si>
  <si>
    <t>mycorrhizal status of roots</t>
  </si>
  <si>
    <t>10.1111/j.1523-1739.2005.00108.x</t>
  </si>
  <si>
    <t>meta-analysis</t>
  </si>
  <si>
    <t>10.1016/j.agee.2004.08.003</t>
  </si>
  <si>
    <t>10.1007/s10980-008-9230-y</t>
  </si>
  <si>
    <t>Colorado and Montana, US</t>
  </si>
  <si>
    <t>influence of prairie dog colonies on mountain plover nesting</t>
  </si>
  <si>
    <t>plot resolution; number of sites; sampling duration; time between sampling; study duration</t>
  </si>
  <si>
    <t>10.1111/j.1600-0706.2009.17437.x</t>
  </si>
  <si>
    <t>10.1016/j.biocon.2011.12.018</t>
  </si>
  <si>
    <t>Nigeria and Cameroon</t>
  </si>
  <si>
    <t>importance of protected areas as sources of bushmeat for trade</t>
  </si>
  <si>
    <t>plot size; sampling duration</t>
  </si>
  <si>
    <t>10.1890/07-0436.1</t>
  </si>
  <si>
    <t>10.1016/j.ecolecon.2006.12.006</t>
  </si>
  <si>
    <t>willingness-to-pay survey</t>
  </si>
  <si>
    <t>10.1111/j.1365-2486.2011.02435.x</t>
  </si>
  <si>
    <t>10.1016/j.ecolecon.2014.01.013</t>
  </si>
  <si>
    <t>10.1098/rspb.2005.3277</t>
  </si>
  <si>
    <t>review paper</t>
  </si>
  <si>
    <t>10.1890/1540-9295(2005)003[0259:RWPBPT]2.0.CO;2</t>
  </si>
  <si>
    <t>10.1098/rspb.2006.0433</t>
  </si>
  <si>
    <t>10.1093/beheco/arn027</t>
  </si>
  <si>
    <t>10.1016/j.biocon.2007.03.013</t>
  </si>
  <si>
    <t>commentary</t>
  </si>
  <si>
    <t>10.1111/j.1365-2486.2011.02510.x</t>
  </si>
  <si>
    <t>statistical model and lab experiment</t>
  </si>
  <si>
    <t>10.1007/s00442-012-2366-0</t>
  </si>
  <si>
    <t>Germany</t>
  </si>
  <si>
    <t>impacts of agricultural intensification on aphid-parasitoid food webs</t>
  </si>
  <si>
    <t>note this is the same paper that was included in the calibration set</t>
  </si>
  <si>
    <t>10.1111/j.1466-8238.2011.00658.x</t>
  </si>
  <si>
    <t>other geographic data (GIS)</t>
  </si>
  <si>
    <t>Ontario, Canada</t>
  </si>
  <si>
    <t>responses of bird richness to habitat loss</t>
  </si>
  <si>
    <t>ISBN: 978-1-896059-15-0</t>
  </si>
  <si>
    <t>plot resolution; sampling duration; time between sampling; study span</t>
  </si>
  <si>
    <t>bird richness from Atlas of the breeding birds of Ontario; used reference: Cadman, M.D., Sutherland, D.A., Beck, G.G., Lepage, D. &amp;
Couturier, A.R. (2007) Atlas of the breeding birds of Ontario,
2001–2005. Bird Studies Canada, Environment Canada,
Ontario Field Ornithologists, Ontario Ministry of Natural
Resources, and Ontario Nature, Toronto, ON to gather data</t>
  </si>
  <si>
    <t>sampling duration; study duration, study span</t>
  </si>
  <si>
    <t>habitat heterogeneity (Landsat TM data) re-sampled to 10 x 10 km grid cells</t>
  </si>
  <si>
    <t>solar radiation estimated from DEM</t>
  </si>
  <si>
    <t>climate and productivity (NDVI) re-sampled to 10 x 10 km grid cells</t>
  </si>
  <si>
    <t>10.1890/070096</t>
  </si>
  <si>
    <t>10.1007/s10980-009-9358-4</t>
  </si>
  <si>
    <t>ethnographic survey</t>
  </si>
  <si>
    <t>10.1016/j.ecolecon.2004.11.008</t>
  </si>
  <si>
    <t>book review</t>
  </si>
  <si>
    <t>10.1016/j.ecolecon.2009.07.019</t>
  </si>
  <si>
    <t>10.1111/j.1466-822x.2004.00139.x</t>
  </si>
  <si>
    <t>United Kingdom</t>
  </si>
  <si>
    <t>responses of birds to human population density and energy availability</t>
  </si>
  <si>
    <t>ISBN-13: 978-0856610752</t>
  </si>
  <si>
    <t>plot resolution; sampling duration; study duration, study span</t>
  </si>
  <si>
    <t>British breeding bird survey; additional details in Gibbons, D.W., Reid, J.B. &amp; Chapman, R.A. (1993) The new atlas
of breeding birds in Britain and Ireland: 1988–91. BTO/SWC/
IWC. T. &amp; A.D. Poyser, London.</t>
  </si>
  <si>
    <t>other geographic data (census)</t>
  </si>
  <si>
    <t>human population density from 1991 census</t>
  </si>
  <si>
    <t>passive/automated data collection</t>
  </si>
  <si>
    <t>http://www.metoffice.gov.uk/public/weather/climate-network/#?tab=climateNetwork</t>
  </si>
  <si>
    <t>temperature as proxy for energy availability, from meteorological station readings</t>
  </si>
  <si>
    <t>10.1007/s10980-008-9255-2</t>
  </si>
  <si>
    <t>modeling</t>
  </si>
  <si>
    <t>10.1890/1540-9295(2007)5[60:D]2.0.CO;2</t>
  </si>
  <si>
    <t>10.1016/j.biocon.2012.09.022</t>
  </si>
  <si>
    <t>10.1086/503059</t>
  </si>
  <si>
    <t>exlcluded</t>
  </si>
  <si>
    <t>10.1086/522845</t>
  </si>
  <si>
    <t>10.1098/rspb.2011.0129</t>
  </si>
  <si>
    <t>10.1016/j.biocon.2007.02.009</t>
  </si>
  <si>
    <t>Florida, US</t>
  </si>
  <si>
    <t>demography of herb in Florida scrub and roadside habitats</t>
  </si>
  <si>
    <t>seedling recruitment each Feb</t>
  </si>
  <si>
    <t>plant height and reproduction number each Aug</t>
  </si>
  <si>
    <t>number of reproductive structures in 1994-96,1998,2000</t>
  </si>
  <si>
    <t>plot size</t>
  </si>
  <si>
    <t>seed set from distal mature fruit in 1995,1996,1998</t>
  </si>
  <si>
    <t>10.1016/j.ecolecon.2005.03.027</t>
  </si>
  <si>
    <t>conceptual model/commentary</t>
  </si>
  <si>
    <t>10.1098/rspb.2009.0885</t>
  </si>
  <si>
    <t>new species description</t>
  </si>
  <si>
    <t>10.1890/10-2100.1</t>
  </si>
  <si>
    <t>10.1890/1540-9295(2004)002[0346:BIF]2.0.CO;2</t>
  </si>
  <si>
    <t>10.1098/rspb.2006.0125</t>
  </si>
  <si>
    <t>10.1111/j.1600-0706.2008.17357.x</t>
  </si>
  <si>
    <t>10.1098/rsbl.2005.0302</t>
  </si>
  <si>
    <t>10.1007/s10021-004-0009-y</t>
  </si>
  <si>
    <t>10.1098/rspb.2003.2581</t>
  </si>
  <si>
    <t>theoretical model</t>
  </si>
  <si>
    <t>10.1111/j.1600-0706.2011.19742.x</t>
  </si>
  <si>
    <t>10.1111/j.1365-2745.2008.01378.x</t>
  </si>
  <si>
    <t>10.5194/bg-10-7863-2013</t>
  </si>
  <si>
    <t>field study but samples were volumes in water column, not areas</t>
  </si>
  <si>
    <t>10.1111/j.1365-2745.2012.01981.x</t>
  </si>
  <si>
    <t>Montana, US</t>
  </si>
  <si>
    <t>effects of gender and stress on facilitation</t>
  </si>
  <si>
    <t>sex, area, and number of flowers of cushions</t>
  </si>
  <si>
    <t># individuals of all plant species in cushion/non-cushion plots</t>
  </si>
  <si>
    <t>% cover of plant beneficiaries</t>
  </si>
  <si>
    <t>length, width, and specific leaf area of cushions</t>
  </si>
  <si>
    <t>number of seeds and mean length of fruits</t>
  </si>
  <si>
    <t>sampling duration; time between samples</t>
  </si>
  <si>
    <t>temperature loggers</t>
  </si>
  <si>
    <t>10.1016/j.ecolecon.2010.04.002</t>
  </si>
  <si>
    <t>10.1890/04-0592</t>
  </si>
  <si>
    <t>10.1098/rspb.2008.1796</t>
  </si>
  <si>
    <t>10.1093/beheco/art097</t>
  </si>
  <si>
    <t>10.1098/rspb.2006.3726</t>
  </si>
  <si>
    <t>10.1111/j.2041-210X.2011.00097.x</t>
  </si>
  <si>
    <t>10.5194/bg-7-2509-2010</t>
  </si>
  <si>
    <t>Bermuda Reef</t>
  </si>
  <si>
    <t>responses of coral calcification to seasonal changes</t>
  </si>
  <si>
    <t>plot size; sampling duration; time between sampling; study duration; study span</t>
  </si>
  <si>
    <t>DIC, TA sampled with Niskin sampler</t>
  </si>
  <si>
    <t>salinity/in situ temperature sampled with SeaBird SBE-9 conductivity sensor</t>
  </si>
  <si>
    <t>pCO2, seawater temp, fluorescence sampled with CARIOCA buoy</t>
  </si>
  <si>
    <t>plot size; study span</t>
  </si>
  <si>
    <t>wind speed data and net shortwave radiation from Bermuda Weather Service</t>
  </si>
  <si>
    <t>plot size; sampling duration; study span</t>
  </si>
  <si>
    <t>coral reef densities</t>
  </si>
  <si>
    <t>10.5194/bg-10-1131-2013</t>
  </si>
  <si>
    <t>Arabian Sea</t>
  </si>
  <si>
    <t>availability of microbes regulating organic matter</t>
  </si>
  <si>
    <t>surface sediments sampled with multiple corer (for OM)</t>
  </si>
  <si>
    <t>CTD profile with oxygen sensor sampled with SeaBird SBE-43 sensor</t>
  </si>
  <si>
    <t>10.1007/s00442-008-0994-1</t>
  </si>
  <si>
    <t>10.1890/08-2128.1</t>
  </si>
  <si>
    <t>surveys of people</t>
  </si>
  <si>
    <t>10.1111/j.2007.0030-1299.15832.x</t>
  </si>
  <si>
    <t>field study, but no information reported whatsoever and difficult to make approximations</t>
  </si>
  <si>
    <t>10.1098/rsbl.2007.0580</t>
  </si>
  <si>
    <t>editorial</t>
  </si>
  <si>
    <t>10.1111/j.1365-2486.2010.02164.x</t>
  </si>
  <si>
    <t>US &amp; Canada</t>
  </si>
  <si>
    <t>monitoring plant phenology with public cameras</t>
  </si>
  <si>
    <t>Public camera photos</t>
  </si>
  <si>
    <t>MODIS daily NDVI</t>
  </si>
  <si>
    <t>MODIS yearly land cover</t>
  </si>
  <si>
    <t>10.1098/rspb.2012.0595</t>
  </si>
  <si>
    <t>10.1098/rsbl.2013.1096</t>
  </si>
  <si>
    <t>10.1016/j.biocon.2011.08.007</t>
  </si>
  <si>
    <t>Australia &amp; Kangaroo Island</t>
  </si>
  <si>
    <t>genetic and morphological divergence in island and mainland birds</t>
  </si>
  <si>
    <t>plot size; sampling duration; time between samples</t>
  </si>
  <si>
    <t>bird captures in mist nets</t>
  </si>
  <si>
    <t>blood samples from bird captures</t>
  </si>
  <si>
    <t>morphometrics (8 measurements)</t>
  </si>
  <si>
    <t>10.1098/rspb.2006.3654</t>
  </si>
  <si>
    <t>factors altering behaviors of parasite hosts</t>
  </si>
  <si>
    <t>length data from doi:10.1098/rspb.1995.0103</t>
  </si>
  <si>
    <t>protein extraction</t>
  </si>
  <si>
    <t>10.1111/j.1365-2745.2007.01258.x</t>
  </si>
  <si>
    <t>Kalimantan, Indonesia</t>
  </si>
  <si>
    <t>reproductive phenology of lowland evergreen rain forest</t>
  </si>
  <si>
    <t>tree sampling: leaf flushing, leaf senescence, flowering, and fruit production</t>
  </si>
  <si>
    <t>rainfall measurements</t>
  </si>
  <si>
    <t>min/max temperature measurements</t>
  </si>
  <si>
    <t>10.1007/s00442-007-0825-9</t>
  </si>
  <si>
    <t>10.1111/geb.12100</t>
  </si>
  <si>
    <t>10.1098/rspb.2009.1554</t>
  </si>
  <si>
    <t>10.1111/j.1365-2486.2004.00739.x</t>
  </si>
  <si>
    <t>New York, US</t>
  </si>
  <si>
    <t>response of night-time respiration to day-time photosynthesis</t>
  </si>
  <si>
    <t>incident irradiance, air temperature, relative humidity</t>
  </si>
  <si>
    <t>none</t>
  </si>
  <si>
    <t>daylight photosynthesis measurements and leaf irradiance</t>
  </si>
  <si>
    <t>night-time respiration measurements and leaf irradiance</t>
  </si>
  <si>
    <t>10.1007/s00442-006-0636-4</t>
  </si>
  <si>
    <t>10.1111/j.1523-1739.2012.01844.x</t>
  </si>
  <si>
    <t>behavioral study with no clear quantitative measurements taken</t>
  </si>
  <si>
    <t>10.1016/j.agee.2005.08.035</t>
  </si>
  <si>
    <t>carabid diversity in agricultural landscapes</t>
  </si>
  <si>
    <t>carabid diversity</t>
  </si>
  <si>
    <t>carabid diversity (note that this is the same study as above, just different sampling resolutions)</t>
  </si>
  <si>
    <t>plant species, height of dominant plant species, soil salt contents, alkali-soluble soil nitrogen. Very poorly annotated in the text, no information on methods for collecting these samples or plot sizes</t>
  </si>
  <si>
    <t>10.1111/j.2006.0030-1299.15223.x</t>
  </si>
  <si>
    <t>10.1890/12.WB.011</t>
  </si>
  <si>
    <t>10.1016/j.ecolecon.2011.12.003</t>
  </si>
  <si>
    <t>10.1016/j.agee.2007.04.004</t>
  </si>
  <si>
    <t>10.1111/j.1523-1739.2007.00666.x</t>
  </si>
  <si>
    <t>10.1098/rsbl.2010.0401</t>
  </si>
  <si>
    <t>Mobile River Basin, US (Alabama, Georgia, Mississippi, Tennessee)</t>
  </si>
  <si>
    <t>morphological responses of a fish to water impoundment</t>
  </si>
  <si>
    <t>18 morphometric characteristics</t>
  </si>
  <si>
    <t>10.1890/110277</t>
  </si>
  <si>
    <t>10.1890/09.WB.029</t>
  </si>
  <si>
    <t>Scaphites of the "Nodosus Group" from the Upper Cretaceous (Campanian) of the Western Interior of North America</t>
  </si>
  <si>
    <t>10.1206/659.1</t>
  </si>
  <si>
    <t>Hedgerows enhance beneficial insects on adjacent tomato fields in an intensive agricultural landscape</t>
  </si>
  <si>
    <t>10.1016/j.agee.2014.03.030</t>
  </si>
  <si>
    <t>California, US</t>
  </si>
  <si>
    <t>effects of hedgerows on insects in intensive agricultural landscapes</t>
  </si>
  <si>
    <t>sweep samples</t>
  </si>
  <si>
    <t>sticky card samples</t>
  </si>
  <si>
    <t>visual ID of pests on leaves</t>
  </si>
  <si>
    <t>visual ID of pests on fruit</t>
  </si>
  <si>
    <t>n_sites; sampling duration; study duration; study span</t>
  </si>
  <si>
    <t>categorizing land from orthophotos (aerial imagery)</t>
  </si>
  <si>
    <t>Understanding species persistence for defining conservation actions: A management landscape for jaguars in the Atlantic Forest</t>
  </si>
  <si>
    <t>10.1016/j.biocon.2012.12.021</t>
  </si>
  <si>
    <t>statistical modeling</t>
  </si>
  <si>
    <t>Resilience to chronic defoliation in a dioecious understorey tropical rain forest palm</t>
  </si>
  <si>
    <t>10.1111/j.1365-2745.2012.01992.x</t>
  </si>
  <si>
    <t>10.1016/j.agee.2006.02.008</t>
  </si>
  <si>
    <t>Denmark</t>
  </si>
  <si>
    <t>effects of reduced herbicde on arable weeds</t>
  </si>
  <si>
    <t>sampling duration; study span</t>
  </si>
  <si>
    <t>crop data (height, phenological stage, dry weight) and data on five most abundant weed species</t>
  </si>
  <si>
    <t>10.1007/s00442-003-1288-2</t>
  </si>
  <si>
    <t>Italy</t>
  </si>
  <si>
    <t>temporal variability of abundance, sex ratio, and activity of butterflies</t>
  </si>
  <si>
    <t>time between samples</t>
  </si>
  <si>
    <t>butterfly densities and sex</t>
  </si>
  <si>
    <t>temperature readings during secondary sampling periods</t>
  </si>
  <si>
    <t>DOI: 10.1007/s10021-013-9637-4</t>
  </si>
  <si>
    <t>field_direct observation</t>
  </si>
  <si>
    <t>Czech Republic</t>
  </si>
  <si>
    <t>methane emissions from bogs</t>
  </si>
  <si>
    <t>methane samples and greenness</t>
  </si>
  <si>
    <t>water samples</t>
  </si>
  <si>
    <t>temp samples</t>
  </si>
  <si>
    <t>air and soil temp measurements</t>
  </si>
  <si>
    <t>tax_breadth</t>
  </si>
  <si>
    <t>soil samples for CH4 production, as well as DNA samples of archaea</t>
  </si>
  <si>
    <t>DOI: 10.1111/cobi.12134</t>
  </si>
  <si>
    <t>discarded</t>
  </si>
  <si>
    <t>methods note based primarily on calculation</t>
  </si>
  <si>
    <t>Proc Royal B</t>
  </si>
  <si>
    <t>http://dx.doi.org/10.1098/rspb.2013.1016</t>
  </si>
  <si>
    <t>US (Alaska)</t>
  </si>
  <si>
    <t>bird circadian rythyms</t>
  </si>
  <si>
    <t>samp_duration, t_btwn_samples, n_sites</t>
  </si>
  <si>
    <t>circadian rythym observations. N_sites uncertain because probably about half of birds were tagged in each season (probably no repeats)</t>
  </si>
  <si>
    <t>blood sample, assume 1 minute</t>
  </si>
  <si>
    <t>DOI:10.1007/s00442-004-1742-9</t>
  </si>
  <si>
    <t>Australia (Northern Territory)</t>
  </si>
  <si>
    <t>python parasite loading</t>
  </si>
  <si>
    <t>plot_res; t_btwn_samp; study_duration</t>
  </si>
  <si>
    <t>Full sample of pythons, where measurements were for single date</t>
  </si>
  <si>
    <t>Recaptured sample between 2001 and 2002</t>
  </si>
  <si>
    <t>Recaptured sample within a month</t>
  </si>
  <si>
    <t>http://dx.doi.org/10.1016/j.ecolecon.2013.01.003</t>
  </si>
  <si>
    <t>global</t>
  </si>
  <si>
    <t>tourist preferences</t>
  </si>
  <si>
    <t>statistical analysis based on host of general datasets, nearly a meta-analysis</t>
  </si>
  <si>
    <t>Biol Cons</t>
  </si>
  <si>
    <t>doi:10.1016/j.biocon.2007.12.021</t>
  </si>
  <si>
    <t>spatial patterns of hunting</t>
  </si>
  <si>
    <t>plot_res; n_sites; sampled_area; samp_duration; t_btwn_samp</t>
  </si>
  <si>
    <t>I made the hunted animals the sample units, rather than the hunting households themselves. I could also have recorded hunting area extent, which was 131 km2</t>
  </si>
  <si>
    <t>Advances in Ecological Research</t>
  </si>
  <si>
    <t>DOI: 10.1016/S0065-2504(07)00009-8</t>
  </si>
  <si>
    <t>Greenland</t>
  </si>
  <si>
    <t>hydrology and sediment transport</t>
  </si>
  <si>
    <t>DOI: 10.1016/S0065-2504(07)00006-2</t>
  </si>
  <si>
    <t>rain gauge information, and presumably inputs to models, soil moisture, etc,</t>
  </si>
  <si>
    <t>discharge measurements</t>
  </si>
  <si>
    <t>res; study_duration</t>
  </si>
  <si>
    <t>sediment measurements, assume also attachs to water chemistry</t>
  </si>
  <si>
    <t>doi:10.1098/rspb.2007.0311</t>
  </si>
  <si>
    <t>butterfly mating</t>
  </si>
  <si>
    <t>experiment</t>
  </si>
  <si>
    <t>doi:10.1098/rspb.2010.1746</t>
  </si>
  <si>
    <t>paleo_reconstruction</t>
  </si>
  <si>
    <t>Poland</t>
  </si>
  <si>
    <t>dinosaur tracks and evolution</t>
  </si>
  <si>
    <t>study</t>
  </si>
  <si>
    <t>thrown out because evolutionary; possibly include</t>
  </si>
  <si>
    <t>evolutionary study</t>
  </si>
  <si>
    <t>AmNat</t>
  </si>
  <si>
    <t>reserve size</t>
  </si>
  <si>
    <t>theoretical model only</t>
  </si>
  <si>
    <t>Jecology</t>
  </si>
  <si>
    <t>doi: 10.1111/j.1365-2745.2009.01550.x2009</t>
  </si>
  <si>
    <t>US (CA ; OR)</t>
  </si>
  <si>
    <t>pathogen prevalence and host fecundity in grasses</t>
  </si>
  <si>
    <t>plot_res; n_sites</t>
  </si>
  <si>
    <t>Fecundity and pathogen loading samples</t>
  </si>
  <si>
    <t>Biomass clippings - it is something to consider whether we should assume these measures reflect time to sample, or should they instead represent the time signficance to each thing being sampled (for a clipped piece of grass, it represents biomass at that instant, not over two hours of growth)</t>
  </si>
  <si>
    <t>Areal cover of grass</t>
  </si>
  <si>
    <t>soil cores of texture and nutrient status</t>
  </si>
  <si>
    <t>EcolLetters</t>
  </si>
  <si>
    <t>doi: 10.1111/j.1461-0248.2005.00830.x</t>
  </si>
  <si>
    <t>EcolAppl</t>
  </si>
  <si>
    <t>Narrowing the agronomic yield gap with improved nitrogen use efficiency: a modeling approach</t>
  </si>
  <si>
    <t>Mexico (Yaqui Valley)</t>
  </si>
  <si>
    <t>N use efficiency in crops</t>
  </si>
  <si>
    <t>plo_res; samp_duration; study_span</t>
  </si>
  <si>
    <t>Soil samples at farmers' fields</t>
  </si>
  <si>
    <t>plot_res; sampled_area; samp_duration; t_btwn_samp; study_duration: study_span</t>
  </si>
  <si>
    <t>Weather station observations. Not sure of frequency in these</t>
  </si>
  <si>
    <t>DOI: 10.1007/s10021-007-9072-5</t>
  </si>
  <si>
    <t xml:space="preserve">Spain </t>
  </si>
  <si>
    <t>coral population structure and harvesting impacts</t>
  </si>
  <si>
    <t>DOI 10.1007/s00227-006-0302-8</t>
  </si>
  <si>
    <t>Colony abundance; poor record in referenced paper of N quadrats of each size</t>
  </si>
  <si>
    <t>Bad reporting</t>
  </si>
  <si>
    <t>(1st time noting this)</t>
  </si>
  <si>
    <t>plot_res; n_sites; sampled_area</t>
  </si>
  <si>
    <t>Basal diameter and colony height. Had to work out camera frame size</t>
  </si>
  <si>
    <t>proceedings of the XIV Simposio Ibe´rico de Estudios de Biologia Marina, pp 44-45</t>
  </si>
  <si>
    <t>ROV sample; in journal proceedings that are not available; request if eventually necessary</t>
  </si>
  <si>
    <t>unobtainable supporting study</t>
  </si>
  <si>
    <t>Ecol Mon</t>
  </si>
  <si>
    <t>N balance and cycling of Inner Mongolia typical steppe: a comprehensive case study of grazing effects</t>
  </si>
  <si>
    <t>Inner Mongolia, China</t>
  </si>
  <si>
    <t>grazing impacts on N</t>
  </si>
  <si>
    <t>grassland composition plots</t>
  </si>
  <si>
    <t>10.1016/j.catena.2008.06.003; 10.1016/j.jaridenv.2007.09.004</t>
  </si>
  <si>
    <t>dust deposition and N deposition</t>
  </si>
  <si>
    <t>10.1007/s00374-009-0378-7</t>
  </si>
  <si>
    <t>samp_duration; study_span</t>
  </si>
  <si>
    <t>N fixation by cyanobacteria</t>
  </si>
  <si>
    <t>10.1007/s10021-007-9043-x</t>
  </si>
  <si>
    <t>N20 fluxes</t>
  </si>
  <si>
    <t>10.1007/s11104-008-9579-3</t>
  </si>
  <si>
    <t>plot_res; n_sites; samp_duration; t_btwn_samp</t>
  </si>
  <si>
    <t>Above ground biomass, ANPP: had to parse and guess methods from a different cited study (Gao et al 2008)</t>
  </si>
  <si>
    <t>n_sites; samp_duration; t_btwn_samp</t>
  </si>
  <si>
    <t>Augurs for Root biomass; BNPP; live:dead ratio</t>
  </si>
  <si>
    <t>n_sites; samp_duration</t>
  </si>
  <si>
    <t>In growth cores for biomass, BNPP; root biomass N concentrations</t>
  </si>
  <si>
    <t>plot_res; samp_duration; study_span</t>
  </si>
  <si>
    <t>soil cores: bulk density, N, OC</t>
  </si>
  <si>
    <t>soil pits: amount, composition, turnover of SOM</t>
  </si>
  <si>
    <t>10.1007/s00442-012-2450-5</t>
  </si>
  <si>
    <t>Maine, USA</t>
  </si>
  <si>
    <t>behavioral and morphological responses to predation in shellfish</t>
  </si>
  <si>
    <t>http://dx.doi.org/10.1016/j.biocon.2012.07.023</t>
  </si>
  <si>
    <t>Europe</t>
  </si>
  <si>
    <t>genetics standards for forest management</t>
  </si>
  <si>
    <t>10.1016/j.ecolecon.2012.12.010</t>
  </si>
  <si>
    <t>Colorado River Basin, USA; Columbia River Basin, USA; Murray-Darling Basin, Australia</t>
  </si>
  <si>
    <t>water markets and allocation policy</t>
  </si>
  <si>
    <t>review paper; no ecological data</t>
  </si>
  <si>
    <t>10.1111/j.1600-0706.2009.17781.x</t>
  </si>
  <si>
    <t>fitness value of information</t>
  </si>
  <si>
    <t>Div Dist</t>
  </si>
  <si>
    <t>10.1111/j.1366-9516.2005.00187.x</t>
  </si>
  <si>
    <t>Victoria, Australia</t>
  </si>
  <si>
    <t>Ecological boundary detection</t>
  </si>
  <si>
    <t>Percent cover of all plants in quadrat</t>
  </si>
  <si>
    <t>Five soil variables</t>
  </si>
  <si>
    <t>Minas Gerais, Brazil</t>
  </si>
  <si>
    <t>10.1111/j.1442-9993.2004.01373.x</t>
  </si>
  <si>
    <t>Arthropod sampling</t>
  </si>
  <si>
    <t>air temp, luminosity, air moisture</t>
  </si>
  <si>
    <t>10.1111/j.1600-0706.2011.19771.x</t>
  </si>
  <si>
    <t>Indiana, USA</t>
  </si>
  <si>
    <t>scavenger community response</t>
  </si>
  <si>
    <t>http://digitalcommons.unl.edu/hwi/40</t>
  </si>
  <si>
    <t>Racoon abundance in control plots</t>
  </si>
  <si>
    <t>10.5194/bg-10-5325-2013</t>
  </si>
  <si>
    <t>Sea surface nanolayer seasonality</t>
  </si>
  <si>
    <t>Unclear how many 7 dip samples were made each month. N repeats based on counting points on graph. Exact start and end dates not reported</t>
  </si>
  <si>
    <t>10.5194/bg-11-463-2014</t>
  </si>
  <si>
    <t>South Atlantic</t>
  </si>
  <si>
    <t>nutrient controls on phytoplankton</t>
  </si>
  <si>
    <t>plot_res; n_sites; sampled_area; samp_duration</t>
  </si>
  <si>
    <t>CTD meaures with Seabird 911 sampler: this was a depth profiler, so probably down to 120 m</t>
  </si>
  <si>
    <t>Shipborne PAR readings</t>
  </si>
  <si>
    <t>plot_res; n_sites; sample_area; samp_duration; t_btwn_samp_study_span</t>
  </si>
  <si>
    <t>MODIS SST and chl-A.  Many of these values were estimated with R, probably pretty closely to actual values in paper. Main uncertainty is what MODIS dates they used</t>
  </si>
  <si>
    <t>Trace metal samples. When samples were taken is unclear</t>
  </si>
  <si>
    <t>10.1098/rsbl.2004.0273</t>
  </si>
  <si>
    <t>Behav Ecol</t>
  </si>
  <si>
    <t>10.1093/beheco/arj023</t>
  </si>
  <si>
    <t>effects of androgen on different bird sexes</t>
  </si>
  <si>
    <t>plot_res; sampled_area; samp_duration; study_duration; study_span</t>
  </si>
  <si>
    <t>Monitoring eggs in broods/nest.  Very little detail given on dates or number of nests, in particular</t>
  </si>
  <si>
    <t>10.1890/07-2088.1</t>
  </si>
  <si>
    <t>US (MS; NC)</t>
  </si>
  <si>
    <t>Pine pollen viability response</t>
  </si>
  <si>
    <t>plot_res; n_sites; sampled_area; samp_duration; study_duration</t>
  </si>
  <si>
    <t>Main uncertainty here was n_sites.</t>
  </si>
  <si>
    <t>GCB</t>
  </si>
  <si>
    <t>10.1111/j.1365-2486.2009.02037.x</t>
  </si>
  <si>
    <t>NJ, USA</t>
  </si>
  <si>
    <t>C flux due to insect outbreak</t>
  </si>
  <si>
    <t>10.1111/j.1365-2486.2009.01983.x</t>
  </si>
  <si>
    <t>samp_duration; study_duration; study_span</t>
  </si>
  <si>
    <t>Main forest plots (Silas Little)</t>
  </si>
  <si>
    <t>plot_res; sampled_area; study_duration; study_span</t>
  </si>
  <si>
    <t>Met data, including windspeed for eddy flux</t>
  </si>
  <si>
    <t>sub-plot</t>
  </si>
  <si>
    <t>increment cores</t>
  </si>
  <si>
    <t>litter accumulation</t>
  </si>
  <si>
    <t>plot_res; sampled_area</t>
  </si>
  <si>
    <t>sap flux</t>
  </si>
  <si>
    <t>plot_res; sampled_area; samp_duration; study_duration</t>
  </si>
  <si>
    <t>Leaf gas exchange, leaf nutrient, C content also</t>
  </si>
  <si>
    <t>plot_res; sampled area; study_duration; study_span</t>
  </si>
  <si>
    <t>gas analyzer as part of Eddy flux measurement</t>
  </si>
  <si>
    <t>n_sites; sampled_area; samp_duration; study_duration</t>
  </si>
  <si>
    <t>biomass and LAI</t>
  </si>
  <si>
    <t>plot_res; n_sites; sampled_area; samp_duration; t_btwn_samp; study_duration; study_span</t>
  </si>
  <si>
    <t>Leaf area profile from upward looking lidar</t>
  </si>
  <si>
    <t>MethodsEcolEvo</t>
  </si>
  <si>
    <t>10.1111/2041-210X.12096</t>
  </si>
  <si>
    <t>passive/automated data</t>
  </si>
  <si>
    <t>Southern Indian Ocean</t>
  </si>
  <si>
    <t>Turning angle estimation methods</t>
  </si>
  <si>
    <t>10.1073/pnas.1121201109</t>
  </si>
  <si>
    <t>plot_res; samples_area; samp_duration; study_duration</t>
  </si>
  <si>
    <t>Wandering albatross flight GPS data. Calculations made in calcs sheet</t>
  </si>
  <si>
    <t>10.1111/j.1365-2745.2004.00961.x</t>
  </si>
  <si>
    <t>Edge effects on different mistletoe recruitment stages</t>
  </si>
  <si>
    <t>Adult and juvenile growth rate samples</t>
  </si>
  <si>
    <t>seedling growth</t>
  </si>
  <si>
    <t>10.1093/beheco/arm039</t>
  </si>
  <si>
    <t>10.1111/j.1365-2486.2011.02592.x</t>
  </si>
  <si>
    <t>Colorado, USA</t>
  </si>
  <si>
    <t>Drought-induced biomass declines</t>
  </si>
  <si>
    <t>Aspen biomass plots</t>
  </si>
  <si>
    <t>Landsat estimate of NPV.  Note, a DEM was also mentioned, but no details given.  Assumed same characteristics as landsat (SRTM), just added one further structural depth (height)</t>
  </si>
  <si>
    <t>doi:10.1016/j.biocon.2012.11.026</t>
  </si>
  <si>
    <t>generated data</t>
  </si>
  <si>
    <t>10.5194/bg-2-43-2005</t>
  </si>
  <si>
    <t>Mediterranean</t>
  </si>
  <si>
    <t>Seagrass meadow system respiration</t>
  </si>
  <si>
    <t>http://link.springer.com/article/10.1007/BF02784990</t>
  </si>
  <si>
    <t>Incubations</t>
  </si>
  <si>
    <t>EUBAL-1 first cruise densest readings on this</t>
  </si>
  <si>
    <t>EUBAL-1 and 2, less dense sampling</t>
  </si>
  <si>
    <t>Direct current measurements with doppler</t>
  </si>
  <si>
    <t>Plankton GPP and CR and chlA</t>
  </si>
  <si>
    <t>Fluorescence using CTD scanning</t>
  </si>
  <si>
    <t>Light penetration readings</t>
  </si>
  <si>
    <t>n_sites; sampled_area; samp_duration; t_btwn_samp; study_duration</t>
  </si>
  <si>
    <t>Solar radiation measurements during cruise</t>
  </si>
  <si>
    <t xml:space="preserve">Underwater temp, salinity measurements. </t>
  </si>
  <si>
    <t>Windspeed on EUBAL1</t>
  </si>
  <si>
    <t>Windspeed on EUBAL2</t>
  </si>
  <si>
    <t>DOI</t>
  </si>
  <si>
    <t>10.1098/rspb.2005.3268</t>
  </si>
  <si>
    <t>pollination</t>
  </si>
  <si>
    <t>plot_res is guessed area of orchid plants</t>
  </si>
  <si>
    <t>10.1016/j.agee.2009.08.012</t>
  </si>
  <si>
    <t>French Guiana</t>
  </si>
  <si>
    <t>soil macroinvertebrates</t>
  </si>
  <si>
    <t>plot_res is area of soil cores (note though, they were volumetric).  One of their plots (made up of 30 soil cores, which were each considered sites) was a revisiting of an secondary growth plot that had been burned and cleared in the interim.</t>
  </si>
  <si>
    <t>10.1016/j.biocon.2008.01.019</t>
  </si>
  <si>
    <t>USA</t>
  </si>
  <si>
    <t>Pelicans and West Nile Virus</t>
  </si>
  <si>
    <t>plot_res is based on the size of a pelican chick</t>
  </si>
  <si>
    <t>Pelican mortality</t>
  </si>
  <si>
    <t>plot_res is an estimate of island sizes using google maps, scaled by proportion of total number of nests per lake</t>
  </si>
  <si>
    <t>Mosquitoes abundance</t>
  </si>
  <si>
    <t>http://www.ndhealth.gov/WNV/Documents/Summary/2007MosquitoReport.pdf</t>
  </si>
  <si>
    <t>DOI_data_source is a link to the source of some of the mosquito data used; plot_res was assumed to be the size of the mosquito traps)</t>
  </si>
  <si>
    <t>10.1890/10-2362.1</t>
  </si>
  <si>
    <t>Cropland fires</t>
  </si>
  <si>
    <t>10.5194/acp-6-957-2006</t>
  </si>
  <si>
    <t>samp_duration estimate of one minute for Aqua and Terra MODIS satellites</t>
  </si>
  <si>
    <t>cropland cover</t>
  </si>
  <si>
    <t>10.1029/2007GB002952</t>
  </si>
  <si>
    <t>samp_duration calculated based on yield estimates, which were assumed to have been made in one day per sample unit in M3 cropland dataset product</t>
  </si>
  <si>
    <t>10.1007/s10980-004-3160-0</t>
  </si>
  <si>
    <t>England</t>
  </si>
  <si>
    <t>urban gardens landscapes</t>
  </si>
  <si>
    <t>amount of time spent surveying gardens not indicated. Assumed mean of 1 day</t>
  </si>
  <si>
    <t>urban gardens</t>
  </si>
  <si>
    <t>samp_duration, study_span</t>
  </si>
  <si>
    <t>assumed it took one day per garden to survey</t>
  </si>
  <si>
    <t>10.1111/j.1365-2745.2010.01717.x</t>
  </si>
  <si>
    <t>Brazil</t>
  </si>
  <si>
    <t>Phenology</t>
  </si>
  <si>
    <t>samp_duration, plot_res</t>
  </si>
  <si>
    <t>samp_duration assumed five minutes per tree visit, average tree crown radius of 2m</t>
  </si>
  <si>
    <t>Fruit and flower morphology</t>
  </si>
  <si>
    <t>plot_res, samp_duration</t>
  </si>
  <si>
    <t>plot_res is guess area of fruit, flower, seed samples, samp_duration assumed 20 minutes per sample processing time</t>
  </si>
  <si>
    <t>10.1016/j.agee.2003.09.015</t>
  </si>
  <si>
    <t>Argentina</t>
  </si>
  <si>
    <t>Agricultural communities</t>
  </si>
  <si>
    <t>10.1016/j.agee.2012.06.015</t>
  </si>
  <si>
    <t>Groundwater nutrients</t>
  </si>
  <si>
    <t>10.1111/j.1365-2486.2004.00844.x</t>
  </si>
  <si>
    <t>Forest emissions</t>
  </si>
  <si>
    <t>http://www.fia.fs.fed.us/library/fact-sheets/data-collections/Sampling%20and%20Plot%20Design.pdf</t>
  </si>
  <si>
    <t>samp_duration assumed to be one day per plot (1 plot = 3 sites)</t>
  </si>
  <si>
    <t>10.1111/j.1523-1739.2012.01904.x</t>
  </si>
  <si>
    <t>land-sharing land-sparing</t>
  </si>
  <si>
    <t>10.1111/1365-2745.12037</t>
  </si>
  <si>
    <t>Productivity</t>
  </si>
  <si>
    <t>samp_duration assumed to be 10 minutes</t>
  </si>
  <si>
    <t>Invasive plants</t>
  </si>
  <si>
    <t>samp_duration assumed to be 60 minutes</t>
  </si>
  <si>
    <t>Plants</t>
  </si>
  <si>
    <t>plot_res was individual plants, assumed to be .25m x .25m, samp_duration assumed to be 15 minutes</t>
  </si>
  <si>
    <t>10.1007/s00442-005-0065-9</t>
  </si>
  <si>
    <t>Pastures and grazing</t>
  </si>
  <si>
    <t>samp_duration assumed to be 15 minutes, study_span ('growing season 2000') assumed to be April 15 to September 10</t>
  </si>
  <si>
    <t>Pasture plants</t>
  </si>
  <si>
    <t>samp_duration assumed to be 3 hours, study_span ('growing season 2000') assumed to be April 15 to September 10, exclosure plots (1/3) were not counted</t>
  </si>
  <si>
    <t>10.1111/j.1365-2745.2009.01579.x</t>
  </si>
  <si>
    <t>Chile and Argentina</t>
  </si>
  <si>
    <t>High altitude plants</t>
  </si>
  <si>
    <t>plot_res, samp_duration, study_span</t>
  </si>
  <si>
    <t>plot_res (size of average cushion) assumed to be 0.25m square, 30 minutes per cushion, 90 day study period (unlisted)</t>
  </si>
  <si>
    <t>plot_res assumes transects have a 5cm width, took 5 minutes to survey, all conducted in 90 days</t>
  </si>
  <si>
    <t>10.1111/j.1366-9516.2006.00217.x</t>
  </si>
  <si>
    <t>Mexico</t>
  </si>
  <si>
    <t>Spiders</t>
  </si>
  <si>
    <t>study_duration assumes they sampled each point each month of the study, but this was ambiguous in the text</t>
  </si>
  <si>
    <t>plot_res assumed to be size of pitfall trap</t>
  </si>
  <si>
    <t>Ground vegetation</t>
  </si>
  <si>
    <t>Samp_duration assumed 10 minutes</t>
  </si>
  <si>
    <t>Leaf litter</t>
  </si>
  <si>
    <t>plot_resolution, assumed litter depth measurements had a 1cm x 3cm cross section, took 1 minute each</t>
  </si>
  <si>
    <t>10.5194/bg-9-71-2012</t>
  </si>
  <si>
    <t>NDVI</t>
  </si>
  <si>
    <t>http://phenology.cr.usgs.gov/ndvi_avhrr.php</t>
  </si>
  <si>
    <t>NDVI data was used to illustrate methodological issues with analyzing VI data, not to actually observe patterns in nature directly</t>
  </si>
  <si>
    <t>10.1007/s00442-014-2921-y</t>
  </si>
  <si>
    <t>Malaysia and Philippines</t>
  </si>
  <si>
    <t>Lizards</t>
  </si>
  <si>
    <t>Samp_duration assumed 20 minutes per lizard, study span assumed to be one year (no information given)</t>
  </si>
  <si>
    <t>10.1007/s10021-013-9684-x</t>
  </si>
  <si>
    <t>Tree mortality</t>
  </si>
  <si>
    <t>samp_duration assumed to be five days for resurveys of plots</t>
  </si>
  <si>
    <t>Wood decomposition</t>
  </si>
  <si>
    <t>plot_res assumed to be 5cm x 5cm</t>
  </si>
  <si>
    <t>plot_res, samp_duration, study_duration</t>
  </si>
  <si>
    <t xml:space="preserve">Average cross sectional area assumed to be .5m^2, </t>
  </si>
  <si>
    <t>Wood chemistry</t>
  </si>
  <si>
    <t>Assumed wood samples 1cm x 1cm, 1 day to process</t>
  </si>
  <si>
    <t>Eddy Covariance</t>
  </si>
  <si>
    <t>10.1111/j.1365-2486.2008.01610.x</t>
  </si>
  <si>
    <t>plo_res assumed gas intake integrated over .01m2</t>
  </si>
  <si>
    <t>Wood moisture</t>
  </si>
  <si>
    <t>Soil moisture</t>
  </si>
  <si>
    <t>10.1111/j.1466-8238.2012.00778.x</t>
  </si>
  <si>
    <t>Pan-tropical</t>
  </si>
  <si>
    <t>Forest architecture</t>
  </si>
  <si>
    <t>estimated average tree diameter of 50cm, assumed 1 minute to estimate tree height, study_span assumed 1 year</t>
  </si>
  <si>
    <t>10.1016/j.biocon.2007.01.005</t>
  </si>
  <si>
    <t>Slovenia</t>
  </si>
  <si>
    <t>Grass</t>
  </si>
  <si>
    <t>Insects</t>
  </si>
  <si>
    <t>10.1890/1540-9295-11.10.520</t>
  </si>
  <si>
    <t>EcolEcon1</t>
  </si>
  <si>
    <t>AmNat1</t>
  </si>
  <si>
    <t>10.1098/rspb.2012.2974</t>
  </si>
  <si>
    <t>Baltic Sea (lab)</t>
  </si>
  <si>
    <t>10.1098/rspb.2009.1881</t>
  </si>
  <si>
    <t>Antarctica</t>
  </si>
  <si>
    <t>Penguin foraging in oxidative environment</t>
  </si>
  <si>
    <t>10.1111/j.1365-2435.2009.01638.x</t>
  </si>
  <si>
    <t>plot_res; samp_dur; act_dur</t>
  </si>
  <si>
    <t>Foraging time both summers</t>
  </si>
  <si>
    <t>Foraging time for single check sample of 18 penguins in summer of 2007/2008</t>
  </si>
  <si>
    <t>plot_res; samp_dur; t_btwn_samp; act_dur</t>
  </si>
  <si>
    <t>Weight and blood samples of individual penguins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</si>
</sst>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00"/>
    <numFmt numFmtId="166" formatCode="0.0"/>
    <numFmt numFmtId="167" formatCode="0.000"/>
    <numFmt numFmtId="168" formatCode="0.0000000"/>
    <numFmt numFmtId="169" formatCode="#,##0.000"/>
  </numFmts>
  <fonts count="31" x14ac:knownFonts="1">
    <font>
      <sz val="12"/>
      <color theme="1"/>
      <name val="Calibri"/>
      <family val="2"/>
      <scheme val="minor"/>
    </font>
    <font>
      <sz val="10"/>
      <name val="Arial"/>
      <family val="2"/>
    </font>
    <font>
      <i/>
      <sz val="10"/>
      <name val="Arial"/>
      <family val="2"/>
    </font>
    <font>
      <b/>
      <sz val="9"/>
      <color indexed="81"/>
      <name val="Tahoma"/>
      <family val="2"/>
    </font>
    <font>
      <sz val="9"/>
      <color indexed="81"/>
      <name val="Tahoma"/>
      <family val="2"/>
    </font>
    <font>
      <i/>
      <sz val="9"/>
      <color indexed="81"/>
      <name val="Tahoma"/>
      <family val="2"/>
    </font>
    <font>
      <u/>
      <sz val="10"/>
      <color rgb="FF0000FF"/>
      <name val="Arial"/>
    </font>
    <font>
      <sz val="9"/>
      <name val="Arial"/>
    </font>
    <font>
      <sz val="10"/>
      <color rgb="FF333333"/>
      <name val="Arial"/>
    </font>
    <font>
      <u/>
      <sz val="9"/>
      <color rgb="FF000000"/>
      <name val="Arial"/>
    </font>
    <font>
      <sz val="10"/>
      <color rgb="FF2E2E2E"/>
      <name val="Arial"/>
    </font>
    <font>
      <i/>
      <sz val="10"/>
      <color rgb="FF333333"/>
      <name val="Arial"/>
    </font>
    <font>
      <sz val="10"/>
      <color rgb="FF333132"/>
      <name val="Arial"/>
    </font>
    <font>
      <i/>
      <sz val="10"/>
      <color rgb="FF333132"/>
      <name val="Arial"/>
    </font>
    <font>
      <sz val="8"/>
      <name val="Arial"/>
    </font>
    <font>
      <sz val="10"/>
      <color rgb="FF222222"/>
      <name val="Arial"/>
    </font>
    <font>
      <sz val="11"/>
      <name val="Arial"/>
    </font>
    <font>
      <sz val="10"/>
      <color rgb="FF000000"/>
      <name val="Arial"/>
    </font>
    <font>
      <sz val="10"/>
      <color theme="1"/>
      <name val="Arial"/>
    </font>
    <font>
      <sz val="10"/>
      <color rgb="FF444444"/>
      <name val="Arial"/>
    </font>
    <font>
      <b/>
      <sz val="9"/>
      <color indexed="81"/>
      <name val="Arial"/>
    </font>
    <font>
      <sz val="9"/>
      <color indexed="81"/>
      <name val="Arial"/>
    </font>
    <font>
      <u/>
      <sz val="10"/>
      <color theme="10"/>
      <name val="Arial"/>
    </font>
    <font>
      <sz val="10"/>
      <color indexed="8"/>
      <name val="Arial"/>
      <family val="2"/>
    </font>
    <font>
      <sz val="10"/>
      <color indexed="63"/>
      <name val="Arial"/>
      <family val="2"/>
    </font>
    <font>
      <u/>
      <sz val="10"/>
      <color indexed="12"/>
      <name val="Arial"/>
      <family val="2"/>
    </font>
    <font>
      <u/>
      <sz val="12"/>
      <color theme="11"/>
      <name val="Calibri"/>
      <family val="2"/>
      <scheme val="minor"/>
    </font>
    <font>
      <sz val="10"/>
      <color rgb="FFFFFF00"/>
      <name val="Arial"/>
    </font>
    <font>
      <sz val="12"/>
      <name val="Calibri"/>
      <scheme val="minor"/>
    </font>
    <font>
      <b/>
      <sz val="9"/>
      <color indexed="81"/>
      <name val="Calibri"/>
      <family val="2"/>
    </font>
    <font>
      <sz val="9"/>
      <color indexed="81"/>
      <name val="Calibri"/>
      <family val="2"/>
    </font>
  </fonts>
  <fills count="18">
    <fill>
      <patternFill patternType="none"/>
    </fill>
    <fill>
      <patternFill patternType="gray125"/>
    </fill>
    <fill>
      <patternFill patternType="solid">
        <fgColor rgb="FFFF5353"/>
        <bgColor indexed="64"/>
      </patternFill>
    </fill>
    <fill>
      <patternFill patternType="solid">
        <fgColor theme="9"/>
        <bgColor indexed="64"/>
      </patternFill>
    </fill>
    <fill>
      <patternFill patternType="solid">
        <fgColor rgb="FFF4CCCC"/>
        <bgColor rgb="FFF4CCCC"/>
      </patternFill>
    </fill>
    <fill>
      <patternFill patternType="solid">
        <fgColor rgb="FFD9EAD3"/>
        <bgColor rgb="FFD9EAD3"/>
      </patternFill>
    </fill>
    <fill>
      <patternFill patternType="solid">
        <fgColor rgb="FFFFFF00"/>
        <bgColor rgb="FFFFFF00"/>
      </patternFill>
    </fill>
    <fill>
      <patternFill patternType="solid">
        <fgColor theme="2" tint="-9.9978637043366805E-2"/>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499984740745262"/>
        <bgColor indexed="64"/>
      </patternFill>
    </fill>
    <fill>
      <patternFill patternType="solid">
        <fgColor rgb="FFFFFF00"/>
        <bgColor rgb="FF000000"/>
      </patternFill>
    </fill>
    <fill>
      <patternFill patternType="solid">
        <fgColor theme="5" tint="0.59999389629810485"/>
        <bgColor indexed="64"/>
      </patternFill>
    </fill>
    <fill>
      <patternFill patternType="solid">
        <fgColor rgb="FFFF0000"/>
        <bgColor indexed="64"/>
      </patternFill>
    </fill>
    <fill>
      <patternFill patternType="solid">
        <fgColor indexed="9"/>
        <bgColor indexed="26"/>
      </patternFill>
    </fill>
    <fill>
      <patternFill patternType="solid">
        <fgColor theme="9" tint="-0.249977111117893"/>
        <bgColor indexed="64"/>
      </patternFill>
    </fill>
    <fill>
      <patternFill patternType="solid">
        <fgColor theme="7" tint="0.39997558519241921"/>
        <bgColor indexed="64"/>
      </patternFill>
    </fill>
  </fills>
  <borders count="1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s>
  <cellStyleXfs count="6">
    <xf numFmtId="0" fontId="0" fillId="0" borderId="0"/>
    <xf numFmtId="0" fontId="22" fillId="0" borderId="0" applyNumberFormat="0" applyFill="0" applyBorder="0" applyAlignment="0" applyProtection="0"/>
    <xf numFmtId="0" fontId="23"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187">
    <xf numFmtId="0" fontId="0" fillId="0" borderId="0" xfId="0"/>
    <xf numFmtId="0" fontId="1" fillId="2" borderId="0" xfId="0" applyFont="1" applyFill="1" applyBorder="1"/>
    <xf numFmtId="164" fontId="1" fillId="2" borderId="0" xfId="0" applyNumberFormat="1" applyFont="1" applyFill="1" applyBorder="1"/>
    <xf numFmtId="0" fontId="1" fillId="0" borderId="0" xfId="0" applyFont="1" applyFill="1" applyBorder="1"/>
    <xf numFmtId="0" fontId="0" fillId="0" borderId="0" xfId="0" applyBorder="1"/>
    <xf numFmtId="0" fontId="0" fillId="0" borderId="0" xfId="0" applyFill="1" applyBorder="1"/>
    <xf numFmtId="0" fontId="0" fillId="3" borderId="0" xfId="0" applyFill="1"/>
    <xf numFmtId="1" fontId="0" fillId="3" borderId="0" xfId="0" applyNumberFormat="1" applyFill="1"/>
    <xf numFmtId="0" fontId="1" fillId="3" borderId="0" xfId="0" applyFont="1" applyFill="1" applyBorder="1"/>
    <xf numFmtId="0" fontId="1" fillId="2" borderId="0" xfId="0" applyFont="1" applyFill="1" applyBorder="1" applyAlignment="1">
      <alignment wrapText="1"/>
    </xf>
    <xf numFmtId="49" fontId="1" fillId="2" borderId="0" xfId="0" applyNumberFormat="1" applyFont="1" applyFill="1" applyBorder="1" applyAlignment="1">
      <alignment wrapText="1"/>
    </xf>
    <xf numFmtId="14" fontId="1" fillId="2" borderId="0" xfId="0" applyNumberFormat="1" applyFont="1" applyFill="1" applyBorder="1" applyAlignment="1">
      <alignment wrapText="1"/>
    </xf>
    <xf numFmtId="0" fontId="0" fillId="2" borderId="0" xfId="0" applyFill="1" applyBorder="1"/>
    <xf numFmtId="0" fontId="1" fillId="0" borderId="0" xfId="0" applyNumberFormat="1" applyFont="1" applyFill="1" applyBorder="1"/>
    <xf numFmtId="0" fontId="0" fillId="3" borderId="0" xfId="0" applyFill="1" applyBorder="1"/>
    <xf numFmtId="0" fontId="0" fillId="2" borderId="0" xfId="0" applyFont="1" applyFill="1" applyBorder="1"/>
    <xf numFmtId="0" fontId="1" fillId="0" borderId="0" xfId="0" applyFont="1" applyBorder="1"/>
    <xf numFmtId="0" fontId="0" fillId="0" borderId="0" xfId="0" applyFont="1" applyFill="1" applyBorder="1"/>
    <xf numFmtId="1" fontId="0" fillId="0" borderId="0" xfId="0" applyNumberFormat="1" applyBorder="1"/>
    <xf numFmtId="0" fontId="1" fillId="4" borderId="1" xfId="0" applyFont="1" applyFill="1" applyBorder="1" applyAlignment="1">
      <alignment horizontal="left"/>
    </xf>
    <xf numFmtId="0" fontId="1" fillId="4" borderId="2" xfId="0" applyFont="1" applyFill="1" applyBorder="1" applyAlignment="1"/>
    <xf numFmtId="0" fontId="1" fillId="4" borderId="2" xfId="0" applyFont="1" applyFill="1" applyBorder="1" applyAlignment="1">
      <alignment horizontal="right"/>
    </xf>
    <xf numFmtId="164" fontId="1" fillId="4" borderId="2" xfId="0" applyNumberFormat="1" applyFont="1" applyFill="1" applyBorder="1"/>
    <xf numFmtId="0" fontId="1" fillId="4" borderId="2" xfId="0" applyFont="1" applyFill="1" applyBorder="1"/>
    <xf numFmtId="0" fontId="1" fillId="4" borderId="3" xfId="0" applyFont="1" applyFill="1" applyBorder="1" applyAlignment="1"/>
    <xf numFmtId="0" fontId="0" fillId="0" borderId="0" xfId="0" applyFont="1" applyAlignment="1"/>
    <xf numFmtId="0" fontId="1" fillId="4" borderId="1" xfId="0" applyFont="1" applyFill="1" applyBorder="1" applyAlignment="1"/>
    <xf numFmtId="0" fontId="6" fillId="4" borderId="2" xfId="0" applyFont="1" applyFill="1" applyBorder="1" applyAlignment="1"/>
    <xf numFmtId="0" fontId="1" fillId="5" borderId="0" xfId="0" applyFont="1" applyFill="1" applyAlignment="1"/>
    <xf numFmtId="0" fontId="1" fillId="5" borderId="0" xfId="0" applyFont="1" applyFill="1" applyAlignment="1">
      <alignment horizontal="right"/>
    </xf>
    <xf numFmtId="0" fontId="0" fillId="5" borderId="0" xfId="0" applyFont="1" applyFill="1" applyAlignment="1">
      <alignment horizontal="left"/>
    </xf>
    <xf numFmtId="164" fontId="1" fillId="5" borderId="0" xfId="0" applyNumberFormat="1" applyFont="1" applyFill="1" applyAlignment="1"/>
    <xf numFmtId="0" fontId="6" fillId="5" borderId="0" xfId="0" applyFont="1" applyFill="1" applyAlignment="1"/>
    <xf numFmtId="0" fontId="1" fillId="5" borderId="4" xfId="0" applyFont="1" applyFill="1" applyBorder="1" applyAlignment="1"/>
    <xf numFmtId="0" fontId="6" fillId="5" borderId="5" xfId="0" applyFont="1" applyFill="1" applyBorder="1" applyAlignment="1"/>
    <xf numFmtId="0" fontId="1" fillId="5" borderId="5" xfId="0" applyFont="1" applyFill="1" applyBorder="1" applyAlignment="1">
      <alignment horizontal="right"/>
    </xf>
    <xf numFmtId="0" fontId="1" fillId="5" borderId="5" xfId="0" applyFont="1" applyFill="1" applyBorder="1" applyAlignment="1"/>
    <xf numFmtId="0" fontId="1" fillId="5" borderId="5" xfId="0" applyFont="1" applyFill="1" applyBorder="1"/>
    <xf numFmtId="0" fontId="6" fillId="5" borderId="5" xfId="0" applyFont="1" applyFill="1" applyBorder="1" applyAlignment="1">
      <alignment horizontal="left"/>
    </xf>
    <xf numFmtId="0" fontId="1" fillId="5" borderId="6" xfId="0" applyFont="1" applyFill="1" applyBorder="1" applyAlignment="1"/>
    <xf numFmtId="0" fontId="1" fillId="5" borderId="0" xfId="0" applyFont="1" applyFill="1"/>
    <xf numFmtId="0" fontId="6" fillId="5" borderId="0" xfId="0" applyFont="1" applyFill="1" applyAlignment="1">
      <alignment horizontal="left"/>
    </xf>
    <xf numFmtId="164" fontId="1" fillId="5" borderId="5" xfId="0" applyNumberFormat="1" applyFont="1" applyFill="1" applyBorder="1" applyAlignment="1"/>
    <xf numFmtId="0" fontId="1" fillId="5" borderId="7" xfId="0" applyFont="1" applyFill="1" applyBorder="1" applyAlignment="1"/>
    <xf numFmtId="0" fontId="1" fillId="5" borderId="8" xfId="0" applyFont="1" applyFill="1" applyBorder="1" applyAlignment="1"/>
    <xf numFmtId="0" fontId="1" fillId="5" borderId="8" xfId="0" applyFont="1" applyFill="1" applyBorder="1" applyAlignment="1">
      <alignment horizontal="right"/>
    </xf>
    <xf numFmtId="164" fontId="1" fillId="5" borderId="8" xfId="0" applyNumberFormat="1" applyFont="1" applyFill="1" applyBorder="1" applyAlignment="1"/>
    <xf numFmtId="0" fontId="1" fillId="5" borderId="8" xfId="0" applyFont="1" applyFill="1" applyBorder="1"/>
    <xf numFmtId="0" fontId="7" fillId="4" borderId="2" xfId="0" applyFont="1" applyFill="1" applyBorder="1" applyAlignment="1"/>
    <xf numFmtId="0" fontId="1" fillId="5" borderId="1" xfId="0" applyFont="1" applyFill="1" applyBorder="1" applyAlignment="1"/>
    <xf numFmtId="0" fontId="1" fillId="5" borderId="2" xfId="0" applyFont="1" applyFill="1" applyBorder="1" applyAlignment="1"/>
    <xf numFmtId="0" fontId="1" fillId="5" borderId="2" xfId="0" applyFont="1" applyFill="1" applyBorder="1"/>
    <xf numFmtId="0" fontId="1" fillId="4" borderId="4" xfId="0" applyFont="1" applyFill="1" applyBorder="1" applyAlignment="1"/>
    <xf numFmtId="0" fontId="1" fillId="4" borderId="5" xfId="0" applyFont="1" applyFill="1" applyBorder="1" applyAlignment="1"/>
    <xf numFmtId="0" fontId="1" fillId="4" borderId="5" xfId="0" applyFont="1" applyFill="1" applyBorder="1"/>
    <xf numFmtId="0" fontId="8" fillId="5" borderId="5" xfId="0" applyFont="1" applyFill="1" applyBorder="1" applyAlignment="1"/>
    <xf numFmtId="0" fontId="1" fillId="5" borderId="9" xfId="0" applyFont="1" applyFill="1" applyBorder="1" applyAlignment="1"/>
    <xf numFmtId="0" fontId="8" fillId="5" borderId="8" xfId="0" applyFont="1" applyFill="1" applyBorder="1" applyAlignment="1"/>
    <xf numFmtId="0" fontId="1" fillId="5" borderId="10" xfId="0" applyFont="1" applyFill="1" applyBorder="1" applyAlignment="1"/>
    <xf numFmtId="0" fontId="1" fillId="5" borderId="3" xfId="0" applyFont="1" applyFill="1" applyBorder="1"/>
    <xf numFmtId="0" fontId="1" fillId="4" borderId="2" xfId="0" applyFont="1" applyFill="1" applyBorder="1" applyAlignment="1">
      <alignment wrapText="1"/>
    </xf>
    <xf numFmtId="0" fontId="1" fillId="4" borderId="3" xfId="0" applyFont="1" applyFill="1" applyBorder="1" applyAlignment="1">
      <alignment wrapText="1"/>
    </xf>
    <xf numFmtId="0" fontId="7" fillId="5" borderId="2" xfId="0" applyFont="1" applyFill="1" applyBorder="1" applyAlignment="1"/>
    <xf numFmtId="0" fontId="1" fillId="4" borderId="0" xfId="0" applyFont="1" applyFill="1" applyAlignment="1"/>
    <xf numFmtId="0" fontId="1" fillId="4" borderId="0" xfId="0" applyFont="1" applyFill="1"/>
    <xf numFmtId="0" fontId="6" fillId="5" borderId="11" xfId="0" applyFont="1" applyFill="1" applyBorder="1" applyAlignment="1"/>
    <xf numFmtId="0" fontId="1" fillId="5" borderId="11" xfId="0" applyFont="1" applyFill="1" applyBorder="1" applyAlignment="1"/>
    <xf numFmtId="0" fontId="6" fillId="5" borderId="8" xfId="0" applyFont="1" applyFill="1" applyBorder="1" applyAlignment="1"/>
    <xf numFmtId="0" fontId="6" fillId="5" borderId="10" xfId="0" applyFont="1" applyFill="1" applyBorder="1" applyAlignment="1"/>
    <xf numFmtId="0" fontId="1" fillId="4" borderId="8" xfId="0" applyFont="1" applyFill="1" applyBorder="1"/>
    <xf numFmtId="0" fontId="9" fillId="4" borderId="2" xfId="0" applyFont="1" applyFill="1" applyBorder="1" applyAlignment="1"/>
    <xf numFmtId="0" fontId="1" fillId="6" borderId="1" xfId="0" applyFont="1" applyFill="1" applyBorder="1" applyAlignment="1"/>
    <xf numFmtId="0" fontId="1" fillId="6" borderId="2" xfId="0" applyFont="1" applyFill="1" applyBorder="1" applyAlignment="1"/>
    <xf numFmtId="0" fontId="1" fillId="6" borderId="2" xfId="0" applyFont="1" applyFill="1" applyBorder="1"/>
    <xf numFmtId="0" fontId="1" fillId="6" borderId="3" xfId="0" applyFont="1" applyFill="1" applyBorder="1" applyAlignment="1"/>
    <xf numFmtId="0" fontId="1" fillId="6" borderId="4" xfId="0" applyFont="1" applyFill="1" applyBorder="1" applyAlignment="1"/>
    <xf numFmtId="0" fontId="1" fillId="6" borderId="5" xfId="0" applyFont="1" applyFill="1" applyBorder="1" applyAlignment="1"/>
    <xf numFmtId="0" fontId="10" fillId="6" borderId="5" xfId="0" applyFont="1" applyFill="1" applyBorder="1" applyAlignment="1">
      <alignment horizontal="center"/>
    </xf>
    <xf numFmtId="3" fontId="10" fillId="6" borderId="5" xfId="0" applyNumberFormat="1" applyFont="1" applyFill="1" applyBorder="1" applyAlignment="1">
      <alignment horizontal="left"/>
    </xf>
    <xf numFmtId="0" fontId="1" fillId="6" borderId="5" xfId="0" applyFont="1" applyFill="1" applyBorder="1" applyAlignment="1">
      <alignment horizontal="right"/>
    </xf>
    <xf numFmtId="0" fontId="1" fillId="6" borderId="0" xfId="0" applyFont="1" applyFill="1" applyAlignment="1">
      <alignment horizontal="right"/>
    </xf>
    <xf numFmtId="0" fontId="1" fillId="6" borderId="9" xfId="0" applyFont="1" applyFill="1" applyBorder="1" applyAlignment="1"/>
    <xf numFmtId="0" fontId="1" fillId="6" borderId="7" xfId="0" applyFont="1" applyFill="1" applyBorder="1" applyAlignment="1"/>
    <xf numFmtId="0" fontId="1" fillId="6" borderId="8" xfId="0" applyFont="1" applyFill="1" applyBorder="1" applyAlignment="1"/>
    <xf numFmtId="0" fontId="10" fillId="6" borderId="8" xfId="0" applyFont="1" applyFill="1" applyBorder="1" applyAlignment="1">
      <alignment horizontal="center"/>
    </xf>
    <xf numFmtId="3" fontId="10" fillId="6" borderId="8" xfId="0" applyNumberFormat="1" applyFont="1" applyFill="1" applyBorder="1" applyAlignment="1">
      <alignment horizontal="left"/>
    </xf>
    <xf numFmtId="0" fontId="1" fillId="6" borderId="8" xfId="0" applyFont="1" applyFill="1" applyBorder="1" applyAlignment="1">
      <alignment horizontal="right"/>
    </xf>
    <xf numFmtId="0" fontId="1" fillId="6" borderId="10" xfId="0" applyFont="1" applyFill="1" applyBorder="1" applyAlignment="1"/>
    <xf numFmtId="0" fontId="1" fillId="4" borderId="7" xfId="0" applyFont="1" applyFill="1" applyBorder="1" applyAlignment="1"/>
    <xf numFmtId="0" fontId="1" fillId="4" borderId="8" xfId="0" applyFont="1" applyFill="1" applyBorder="1" applyAlignment="1"/>
    <xf numFmtId="0" fontId="1" fillId="4" borderId="10" xfId="0" applyFont="1" applyFill="1" applyBorder="1" applyAlignment="1"/>
    <xf numFmtId="0" fontId="8" fillId="6" borderId="0" xfId="0" applyFont="1" applyFill="1" applyAlignment="1">
      <alignment horizontal="center"/>
    </xf>
    <xf numFmtId="0" fontId="11" fillId="6" borderId="0" xfId="0" applyFont="1" applyFill="1" applyAlignment="1"/>
    <xf numFmtId="0" fontId="11" fillId="5" borderId="8" xfId="0" applyFont="1" applyFill="1" applyBorder="1" applyAlignment="1"/>
    <xf numFmtId="0" fontId="12" fillId="6" borderId="8" xfId="0" applyFont="1" applyFill="1" applyBorder="1" applyAlignment="1"/>
    <xf numFmtId="0" fontId="13" fillId="6" borderId="8" xfId="0" applyFont="1" applyFill="1" applyBorder="1" applyAlignment="1"/>
    <xf numFmtId="0" fontId="1" fillId="4" borderId="8" xfId="0" applyFont="1" applyFill="1" applyBorder="1" applyAlignment="1">
      <alignment horizontal="right"/>
    </xf>
    <xf numFmtId="0" fontId="7" fillId="4" borderId="8" xfId="0" applyFont="1" applyFill="1" applyBorder="1" applyAlignment="1"/>
    <xf numFmtId="0" fontId="14" fillId="4" borderId="8" xfId="0" applyFont="1" applyFill="1" applyBorder="1" applyAlignment="1">
      <alignment horizontal="left"/>
    </xf>
    <xf numFmtId="0" fontId="15" fillId="4" borderId="7" xfId="0" applyFont="1" applyFill="1" applyBorder="1" applyAlignment="1"/>
    <xf numFmtId="0" fontId="16" fillId="4" borderId="8" xfId="0" applyFont="1" applyFill="1" applyBorder="1" applyAlignment="1"/>
    <xf numFmtId="0" fontId="8" fillId="5" borderId="0" xfId="0" applyFont="1" applyFill="1" applyAlignment="1"/>
    <xf numFmtId="164" fontId="1" fillId="0" borderId="0" xfId="0" applyNumberFormat="1" applyFont="1" applyFill="1" applyBorder="1"/>
    <xf numFmtId="0" fontId="0" fillId="7" borderId="0" xfId="0" applyFill="1"/>
    <xf numFmtId="0" fontId="0" fillId="7" borderId="0" xfId="0" applyFont="1" applyFill="1" applyBorder="1"/>
    <xf numFmtId="0" fontId="1" fillId="7" borderId="0" xfId="0" applyFont="1" applyFill="1" applyBorder="1"/>
    <xf numFmtId="164" fontId="1" fillId="7" borderId="0" xfId="0" applyNumberFormat="1" applyFont="1" applyFill="1" applyBorder="1"/>
    <xf numFmtId="0" fontId="1" fillId="0" borderId="0" xfId="0" applyFont="1"/>
    <xf numFmtId="0" fontId="1" fillId="7" borderId="0" xfId="0" applyFont="1" applyFill="1"/>
    <xf numFmtId="0" fontId="0" fillId="0" borderId="0" xfId="0" quotePrefix="1"/>
    <xf numFmtId="0" fontId="0" fillId="7" borderId="0" xfId="0" quotePrefix="1" applyFill="1"/>
    <xf numFmtId="0" fontId="0" fillId="0" borderId="0" xfId="0" applyNumberFormat="1"/>
    <xf numFmtId="0" fontId="0" fillId="0" borderId="0" xfId="0" applyFill="1"/>
    <xf numFmtId="0" fontId="0" fillId="7" borderId="0" xfId="0" applyFont="1" applyFill="1"/>
    <xf numFmtId="0" fontId="0" fillId="0" borderId="0" xfId="0" applyFont="1" applyFill="1"/>
    <xf numFmtId="0" fontId="1" fillId="8" borderId="0" xfId="0" applyFont="1" applyFill="1"/>
    <xf numFmtId="0" fontId="1" fillId="0" borderId="0" xfId="0" applyFont="1" applyFill="1"/>
    <xf numFmtId="0" fontId="15" fillId="0" borderId="0" xfId="0" applyFont="1"/>
    <xf numFmtId="164" fontId="0" fillId="0" borderId="0" xfId="0" applyNumberFormat="1" applyFont="1" applyFill="1" applyBorder="1"/>
    <xf numFmtId="0" fontId="0" fillId="9" borderId="0" xfId="0" applyFill="1"/>
    <xf numFmtId="0" fontId="18" fillId="9" borderId="0" xfId="0" applyFont="1" applyFill="1"/>
    <xf numFmtId="0" fontId="0" fillId="9" borderId="0" xfId="0" applyFont="1" applyFill="1"/>
    <xf numFmtId="0" fontId="0" fillId="9" borderId="0" xfId="0" applyFont="1" applyFill="1" applyBorder="1"/>
    <xf numFmtId="0" fontId="18" fillId="0" borderId="0" xfId="0" applyFont="1"/>
    <xf numFmtId="0" fontId="0" fillId="0" borderId="0" xfId="0" applyFont="1"/>
    <xf numFmtId="0" fontId="0" fillId="10" borderId="0" xfId="0" applyFill="1"/>
    <xf numFmtId="0" fontId="18" fillId="0" borderId="0" xfId="0" applyFont="1" applyFill="1"/>
    <xf numFmtId="0" fontId="19" fillId="0" borderId="0" xfId="0" applyFont="1"/>
    <xf numFmtId="0" fontId="0" fillId="0" borderId="0" xfId="0" applyFill="1" applyAlignment="1">
      <alignment wrapText="1"/>
    </xf>
    <xf numFmtId="4" fontId="0" fillId="0" borderId="0" xfId="0" applyNumberFormat="1"/>
    <xf numFmtId="11" fontId="0" fillId="0" borderId="0" xfId="0" applyNumberFormat="1"/>
    <xf numFmtId="2" fontId="1" fillId="0" borderId="0" xfId="0" applyNumberFormat="1" applyFont="1" applyFill="1" applyBorder="1"/>
    <xf numFmtId="0" fontId="0" fillId="11" borderId="0" xfId="0" applyFont="1" applyFill="1" applyBorder="1"/>
    <xf numFmtId="0" fontId="1" fillId="11" borderId="0" xfId="0" applyFont="1" applyFill="1" applyBorder="1"/>
    <xf numFmtId="2" fontId="1" fillId="11" borderId="0" xfId="0" applyNumberFormat="1" applyFont="1" applyFill="1" applyBorder="1"/>
    <xf numFmtId="0" fontId="0" fillId="11" borderId="0" xfId="0" applyFill="1"/>
    <xf numFmtId="0" fontId="0" fillId="12" borderId="0" xfId="0" applyFill="1" applyBorder="1"/>
    <xf numFmtId="2" fontId="0" fillId="0" borderId="0" xfId="0" applyNumberFormat="1" applyFill="1" applyBorder="1"/>
    <xf numFmtId="0" fontId="0" fillId="0" borderId="0" xfId="0" applyNumberFormat="1" applyFill="1" applyBorder="1"/>
    <xf numFmtId="0" fontId="1" fillId="10" borderId="0" xfId="0" applyFont="1" applyFill="1" applyBorder="1"/>
    <xf numFmtId="0" fontId="22" fillId="11" borderId="0" xfId="1" applyFill="1" applyBorder="1"/>
    <xf numFmtId="11" fontId="1" fillId="0" borderId="0" xfId="0" applyNumberFormat="1" applyFont="1" applyFill="1" applyBorder="1"/>
    <xf numFmtId="0" fontId="0" fillId="13" borderId="0" xfId="0" applyFont="1" applyFill="1" applyBorder="1"/>
    <xf numFmtId="0" fontId="1" fillId="13" borderId="0" xfId="0" applyFont="1" applyFill="1" applyBorder="1"/>
    <xf numFmtId="2" fontId="1" fillId="13" borderId="0" xfId="0" applyNumberFormat="1" applyFont="1" applyFill="1" applyBorder="1"/>
    <xf numFmtId="0" fontId="0" fillId="13" borderId="0" xfId="0" applyFill="1"/>
    <xf numFmtId="0" fontId="0" fillId="11" borderId="0" xfId="0" applyFont="1" applyFill="1" applyBorder="1" applyAlignment="1">
      <alignment wrapText="1"/>
    </xf>
    <xf numFmtId="0" fontId="1" fillId="11" borderId="0" xfId="0" applyFont="1" applyFill="1" applyBorder="1" applyAlignment="1">
      <alignment wrapText="1"/>
    </xf>
    <xf numFmtId="2" fontId="1" fillId="11" borderId="0" xfId="0" applyNumberFormat="1" applyFont="1" applyFill="1" applyBorder="1" applyAlignment="1">
      <alignment wrapText="1"/>
    </xf>
    <xf numFmtId="2" fontId="0" fillId="11" borderId="0" xfId="0" applyNumberFormat="1" applyFill="1"/>
    <xf numFmtId="1" fontId="0" fillId="10" borderId="0" xfId="0" applyNumberFormat="1" applyFill="1"/>
    <xf numFmtId="2" fontId="1" fillId="10" borderId="0" xfId="0" applyNumberFormat="1" applyFont="1" applyFill="1" applyBorder="1"/>
    <xf numFmtId="0" fontId="0" fillId="0" borderId="0" xfId="0" applyAlignment="1">
      <alignment horizontal="right"/>
    </xf>
    <xf numFmtId="2" fontId="0" fillId="13" borderId="0" xfId="0" applyNumberFormat="1" applyFill="1"/>
    <xf numFmtId="165" fontId="1" fillId="0" borderId="0" xfId="0" applyNumberFormat="1" applyFont="1" applyFill="1" applyBorder="1"/>
    <xf numFmtId="166" fontId="0" fillId="0" borderId="0" xfId="0" applyNumberFormat="1"/>
    <xf numFmtId="167" fontId="0" fillId="0" borderId="0" xfId="0" applyNumberFormat="1" applyFill="1"/>
    <xf numFmtId="2" fontId="0" fillId="0" borderId="0" xfId="0" applyNumberFormat="1"/>
    <xf numFmtId="167" fontId="0" fillId="0" borderId="0" xfId="0" applyNumberFormat="1"/>
    <xf numFmtId="0" fontId="0" fillId="14" borderId="0" xfId="0" applyFill="1"/>
    <xf numFmtId="2" fontId="0" fillId="0" borderId="0" xfId="0" applyNumberFormat="1" applyFont="1" applyFill="1" applyBorder="1"/>
    <xf numFmtId="0" fontId="0" fillId="11" borderId="0" xfId="0" applyFont="1" applyFill="1"/>
    <xf numFmtId="165" fontId="0" fillId="0" borderId="0" xfId="0" applyNumberFormat="1" applyFont="1" applyFill="1" applyBorder="1"/>
    <xf numFmtId="1" fontId="0" fillId="0" borderId="0" xfId="0" applyNumberFormat="1"/>
    <xf numFmtId="168" fontId="0" fillId="0" borderId="0" xfId="0" applyNumberFormat="1"/>
    <xf numFmtId="168" fontId="0" fillId="0" borderId="0" xfId="0" applyNumberFormat="1" applyFont="1" applyFill="1" applyBorder="1"/>
    <xf numFmtId="0" fontId="1" fillId="0" borderId="0" xfId="2" applyFont="1" applyAlignment="1"/>
    <xf numFmtId="0" fontId="1" fillId="0" borderId="0" xfId="2" applyFont="1"/>
    <xf numFmtId="0" fontId="1" fillId="0" borderId="0" xfId="2" applyFont="1" applyAlignment="1">
      <alignment wrapText="1"/>
    </xf>
    <xf numFmtId="0" fontId="23" fillId="0" borderId="0" xfId="2"/>
    <xf numFmtId="0" fontId="24" fillId="15" borderId="0" xfId="2" applyFont="1" applyFill="1" applyAlignment="1"/>
    <xf numFmtId="0" fontId="1" fillId="0" borderId="0" xfId="2" applyFont="1" applyAlignment="1">
      <alignment horizontal="right"/>
    </xf>
    <xf numFmtId="0" fontId="1" fillId="0" borderId="0" xfId="2" applyFont="1" applyFill="1"/>
    <xf numFmtId="0" fontId="25" fillId="0" borderId="0" xfId="2" applyFont="1" applyAlignment="1"/>
    <xf numFmtId="0" fontId="7" fillId="15" borderId="0" xfId="2" applyFont="1" applyFill="1" applyAlignment="1"/>
    <xf numFmtId="0" fontId="1" fillId="0" borderId="0" xfId="2" applyFont="1" applyFill="1" applyAlignment="1"/>
    <xf numFmtId="0" fontId="1" fillId="10" borderId="0" xfId="2" applyFont="1" applyFill="1" applyAlignment="1"/>
    <xf numFmtId="0" fontId="1" fillId="15" borderId="0" xfId="2" applyFont="1" applyFill="1" applyAlignment="1"/>
    <xf numFmtId="0" fontId="23" fillId="0" borderId="0" xfId="2" applyAlignment="1">
      <alignment wrapText="1"/>
    </xf>
    <xf numFmtId="169" fontId="1" fillId="0" borderId="0" xfId="2" applyNumberFormat="1" applyFont="1" applyAlignment="1"/>
    <xf numFmtId="0" fontId="23" fillId="0" borderId="0" xfId="2" applyFont="1" applyFill="1" applyAlignment="1"/>
    <xf numFmtId="0" fontId="1" fillId="16" borderId="0" xfId="2" applyFont="1" applyFill="1" applyAlignment="1"/>
    <xf numFmtId="0" fontId="23" fillId="16" borderId="0" xfId="2" applyFont="1" applyFill="1" applyAlignment="1"/>
    <xf numFmtId="0" fontId="27" fillId="17" borderId="0" xfId="0" applyFont="1" applyFill="1" applyBorder="1"/>
    <xf numFmtId="168" fontId="0" fillId="11" borderId="0" xfId="0" applyNumberFormat="1" applyFont="1" applyFill="1" applyBorder="1"/>
    <xf numFmtId="168" fontId="18" fillId="0" borderId="0" xfId="0" applyNumberFormat="1" applyFont="1" applyFill="1" applyBorder="1"/>
    <xf numFmtId="0" fontId="28" fillId="0" borderId="0" xfId="0" applyFont="1" applyFill="1"/>
  </cellXfs>
  <cellStyles count="6">
    <cellStyle name="Excel Built-in Normal" xfId="2"/>
    <cellStyle name="Followed Hyperlink" xfId="3" builtinId="9" hidden="1"/>
    <cellStyle name="Followed Hyperlink" xfId="4" builtinId="9" hidden="1"/>
    <cellStyle name="Followed Hyperlink" xfId="5"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http://dx.doi.org/10.1890/1540-9295-10.6.283" TargetMode="External"/><Relationship Id="rId12" Type="http://schemas.openxmlformats.org/officeDocument/2006/relationships/hyperlink" Target="http://dx.doi.org/10.1016/j.ecolecon.2013.01.003" TargetMode="External"/><Relationship Id="rId13" Type="http://schemas.openxmlformats.org/officeDocument/2006/relationships/hyperlink" Target="http://www.ndhealth.gov/WNV/Documents/Summary/2007MosquitoReport.pdf" TargetMode="External"/><Relationship Id="rId14" Type="http://schemas.openxmlformats.org/officeDocument/2006/relationships/hyperlink" Target="http://www.fia.fs.fed.us/library/fact-sheets/data-collections/Sampling%20and%20Plot%20Design.pdf" TargetMode="External"/><Relationship Id="rId15" Type="http://schemas.openxmlformats.org/officeDocument/2006/relationships/hyperlink" Target="http://phenology.cr.usgs.gov/ndvi_avhrr.php" TargetMode="External"/><Relationship Id="rId16" Type="http://schemas.openxmlformats.org/officeDocument/2006/relationships/vmlDrawing" Target="../drawings/vmlDrawing1.vml"/><Relationship Id="rId17" Type="http://schemas.openxmlformats.org/officeDocument/2006/relationships/comments" Target="../comments1.xml"/><Relationship Id="rId1" Type="http://schemas.openxmlformats.org/officeDocument/2006/relationships/hyperlink" Target="http://dx.doi.org/10.1890/08-1463.1" TargetMode="External"/><Relationship Id="rId2" Type="http://schemas.openxmlformats.org/officeDocument/2006/relationships/hyperlink" Target="http://www.bioone.org/doi/pdf/10.2108/zsj.19.703" TargetMode="External"/><Relationship Id="rId3" Type="http://schemas.openxmlformats.org/officeDocument/2006/relationships/hyperlink" Target="http://dx.doi.org.proxy-bc.researchport.umd.edu/10.5061/dryad.73fr5." TargetMode="External"/><Relationship Id="rId4" Type="http://schemas.openxmlformats.org/officeDocument/2006/relationships/hyperlink" Target="http://www.jstor.org/stable/2408916" TargetMode="External"/><Relationship Id="rId5" Type="http://schemas.openxmlformats.org/officeDocument/2006/relationships/hyperlink" Target="http://dx.doi.org.proxy-bc.researchport.umd.edu/10.5061/dryad.73fr5." TargetMode="External"/><Relationship Id="rId6" Type="http://schemas.openxmlformats.org/officeDocument/2006/relationships/hyperlink" Target="http://www.jstor.org/stable/2408916" TargetMode="External"/><Relationship Id="rId7" Type="http://schemas.openxmlformats.org/officeDocument/2006/relationships/hyperlink" Target="http://cchdo.ucsd.edu/data/7444/a5repeat.pdf" TargetMode="External"/><Relationship Id="rId8" Type="http://schemas.openxmlformats.org/officeDocument/2006/relationships/hyperlink" Target="http://cdiac.ornl.gov/ftp/oceans/a14a13woce/Rios2003JGR108.pdf" TargetMode="External"/><Relationship Id="rId9" Type="http://schemas.openxmlformats.org/officeDocument/2006/relationships/hyperlink" Target="http://cdiac.ornl.gov/oceans/ndp_085/" TargetMode="External"/><Relationship Id="rId10" Type="http://schemas.openxmlformats.org/officeDocument/2006/relationships/hyperlink" Target="http://cdiac.ornl.gov/oceans/ndp_08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513"/>
  <sheetViews>
    <sheetView tabSelected="1" topLeftCell="A442" workbookViewId="0">
      <selection activeCell="J469" sqref="J469"/>
    </sheetView>
  </sheetViews>
  <sheetFormatPr baseColWidth="10" defaultRowHeight="15" x14ac:dyDescent="0"/>
  <cols>
    <col min="1" max="1" width="22.33203125" customWidth="1"/>
    <col min="2" max="2" width="19.1640625" customWidth="1"/>
  </cols>
  <sheetData>
    <row r="1" spans="1:28">
      <c r="B1" t="s">
        <v>1020</v>
      </c>
    </row>
    <row r="2" spans="1:28" s="4" customFormat="1" ht="12" customHeight="1">
      <c r="A2" s="1" t="s">
        <v>0</v>
      </c>
      <c r="B2" s="1" t="s">
        <v>1</v>
      </c>
      <c r="C2" s="1">
        <v>2007</v>
      </c>
      <c r="D2" s="1" t="s">
        <v>2</v>
      </c>
      <c r="E2" s="1" t="s">
        <v>3</v>
      </c>
      <c r="F2" s="1" t="s">
        <v>4</v>
      </c>
      <c r="G2" s="1"/>
      <c r="H2" s="1"/>
      <c r="I2" s="2"/>
      <c r="J2" s="1"/>
      <c r="K2" s="1"/>
      <c r="L2" s="1"/>
      <c r="M2" s="1"/>
      <c r="N2" s="1"/>
      <c r="O2" s="1"/>
      <c r="P2" s="1"/>
      <c r="Q2" s="1"/>
      <c r="R2" s="1"/>
      <c r="S2" s="1"/>
      <c r="T2" s="1" t="s">
        <v>5</v>
      </c>
      <c r="U2" s="3"/>
      <c r="V2" s="3"/>
      <c r="W2" s="3"/>
      <c r="X2" s="3"/>
      <c r="Y2" s="3"/>
      <c r="Z2" s="3"/>
      <c r="AA2" s="3"/>
      <c r="AB2" s="3"/>
    </row>
    <row r="3" spans="1:28" s="5" customFormat="1">
      <c r="A3" s="3" t="s">
        <v>6</v>
      </c>
      <c r="B3" s="5" t="s">
        <v>7</v>
      </c>
      <c r="C3" s="3">
        <v>2013</v>
      </c>
      <c r="D3" s="3" t="s">
        <v>8</v>
      </c>
      <c r="E3" s="3" t="s">
        <v>9</v>
      </c>
      <c r="F3" s="3" t="s">
        <v>10</v>
      </c>
      <c r="G3" s="3">
        <f>(3/4)*(PI())*((0.001)*(0.0014))</f>
        <v>3.2986722862692827E-6</v>
      </c>
      <c r="H3" s="3">
        <v>1</v>
      </c>
      <c r="I3" s="3">
        <f t="shared" ref="I3:I8" si="0">(G3*H3)/10000</f>
        <v>3.2986722862692825E-10</v>
      </c>
      <c r="J3" s="3">
        <f t="shared" ref="J3:J8" si="1">(0.01667)/(60*24)</f>
        <v>1.1576388888888889E-5</v>
      </c>
      <c r="K3" s="3">
        <f>15/(60*24)</f>
        <v>1.0416666666666666E-2</v>
      </c>
      <c r="L3" s="3">
        <f>39.5/24</f>
        <v>1.6458333333333333</v>
      </c>
      <c r="M3" s="3">
        <v>289</v>
      </c>
      <c r="N3" s="3">
        <v>0</v>
      </c>
      <c r="O3" s="3">
        <v>0</v>
      </c>
      <c r="P3" s="3">
        <v>1</v>
      </c>
      <c r="Q3" s="3">
        <v>0</v>
      </c>
      <c r="R3" s="3"/>
      <c r="S3" s="3" t="s">
        <v>11</v>
      </c>
      <c r="T3" s="3" t="s">
        <v>12</v>
      </c>
      <c r="U3" s="3"/>
      <c r="V3" s="3"/>
      <c r="W3" s="3"/>
      <c r="X3" s="3"/>
      <c r="Y3" s="3"/>
      <c r="Z3" s="3"/>
      <c r="AA3" s="3"/>
    </row>
    <row r="4" spans="1:28" s="5" customFormat="1">
      <c r="A4" s="3" t="s">
        <v>6</v>
      </c>
      <c r="B4" s="5" t="s">
        <v>7</v>
      </c>
      <c r="C4" s="3">
        <v>2013</v>
      </c>
      <c r="D4" s="3" t="s">
        <v>8</v>
      </c>
      <c r="E4" s="3" t="s">
        <v>9</v>
      </c>
      <c r="F4" s="3" t="s">
        <v>10</v>
      </c>
      <c r="G4" s="3">
        <f>(3/4)*(PI())*((0.001)*(0.0014))</f>
        <v>3.2986722862692827E-6</v>
      </c>
      <c r="H4" s="3">
        <v>1</v>
      </c>
      <c r="I4" s="3">
        <f t="shared" si="0"/>
        <v>3.2986722862692825E-10</v>
      </c>
      <c r="J4" s="3">
        <f t="shared" si="1"/>
        <v>1.1576388888888889E-5</v>
      </c>
      <c r="K4" s="3">
        <f>0.01667/(60*24)</f>
        <v>1.1576388888888889E-5</v>
      </c>
      <c r="L4" s="3">
        <f>29/24</f>
        <v>1.2083333333333333</v>
      </c>
      <c r="M4" s="3">
        <v>289</v>
      </c>
      <c r="N4" s="3">
        <v>0</v>
      </c>
      <c r="O4" s="3">
        <v>0</v>
      </c>
      <c r="P4" s="3">
        <v>1</v>
      </c>
      <c r="Q4" s="3">
        <v>0</v>
      </c>
      <c r="R4" s="3"/>
      <c r="S4" s="3" t="s">
        <v>11</v>
      </c>
      <c r="T4" s="3" t="s">
        <v>13</v>
      </c>
      <c r="U4" s="3"/>
      <c r="V4" s="3"/>
      <c r="W4" s="3"/>
      <c r="X4" s="3"/>
      <c r="Y4" s="3"/>
      <c r="Z4" s="3"/>
      <c r="AA4" s="3"/>
    </row>
    <row r="5" spans="1:28" s="5" customFormat="1">
      <c r="A5" s="3" t="s">
        <v>6</v>
      </c>
      <c r="B5" s="3" t="s">
        <v>7</v>
      </c>
      <c r="C5" s="3">
        <v>2013</v>
      </c>
      <c r="D5" s="3" t="s">
        <v>8</v>
      </c>
      <c r="E5" s="3" t="s">
        <v>9</v>
      </c>
      <c r="F5" s="3" t="s">
        <v>10</v>
      </c>
      <c r="G5" s="3">
        <f>PI()*(0.0076/2)^2</f>
        <v>4.5364597917836615E-5</v>
      </c>
      <c r="H5" s="3">
        <v>1</v>
      </c>
      <c r="I5" s="3">
        <f t="shared" si="0"/>
        <v>4.5364597917836615E-9</v>
      </c>
      <c r="J5" s="3">
        <f t="shared" si="1"/>
        <v>1.1576388888888889E-5</v>
      </c>
      <c r="K5" s="3">
        <f>15/(60*24)</f>
        <v>1.0416666666666666E-2</v>
      </c>
      <c r="L5" s="3">
        <f>39.5/24</f>
        <v>1.6458333333333333</v>
      </c>
      <c r="M5" s="3">
        <v>289</v>
      </c>
      <c r="N5" s="3">
        <v>0</v>
      </c>
      <c r="O5" s="3">
        <v>0</v>
      </c>
      <c r="P5" s="3">
        <v>0</v>
      </c>
      <c r="Q5" s="3">
        <v>0</v>
      </c>
      <c r="R5" s="3"/>
      <c r="S5" s="3" t="s">
        <v>11</v>
      </c>
      <c r="T5" s="3" t="s">
        <v>14</v>
      </c>
      <c r="U5" s="3"/>
      <c r="V5" s="3"/>
      <c r="W5" s="3"/>
      <c r="X5" s="3"/>
      <c r="Y5" s="3"/>
      <c r="Z5" s="3"/>
      <c r="AA5" s="3"/>
    </row>
    <row r="6" spans="1:28" s="5" customFormat="1">
      <c r="A6" s="3" t="s">
        <v>6</v>
      </c>
      <c r="B6" s="5" t="s">
        <v>7</v>
      </c>
      <c r="C6" s="3">
        <v>2013</v>
      </c>
      <c r="D6" s="3" t="s">
        <v>8</v>
      </c>
      <c r="E6" s="3" t="s">
        <v>9</v>
      </c>
      <c r="F6" s="3" t="s">
        <v>10</v>
      </c>
      <c r="G6" s="3">
        <f>PI()*(0.0076/2)^2</f>
        <v>4.5364597917836615E-5</v>
      </c>
      <c r="H6" s="3">
        <v>1</v>
      </c>
      <c r="I6" s="3">
        <f t="shared" si="0"/>
        <v>4.5364597917836615E-9</v>
      </c>
      <c r="J6" s="3">
        <f t="shared" si="1"/>
        <v>1.1576388888888889E-5</v>
      </c>
      <c r="K6" s="3">
        <f>0.01667/(60*24)</f>
        <v>1.1576388888888889E-5</v>
      </c>
      <c r="L6" s="3">
        <f>29/24</f>
        <v>1.2083333333333333</v>
      </c>
      <c r="M6" s="3">
        <v>289</v>
      </c>
      <c r="N6" s="3">
        <v>0</v>
      </c>
      <c r="O6" s="3">
        <v>0</v>
      </c>
      <c r="P6" s="3">
        <v>0</v>
      </c>
      <c r="Q6" s="3">
        <v>0</v>
      </c>
      <c r="R6" s="3"/>
      <c r="S6" s="3" t="s">
        <v>11</v>
      </c>
      <c r="T6" s="3" t="s">
        <v>15</v>
      </c>
      <c r="U6" s="3"/>
      <c r="V6" s="3"/>
      <c r="W6" s="3"/>
      <c r="X6" s="3"/>
      <c r="Y6" s="3"/>
      <c r="Z6" s="3"/>
      <c r="AA6" s="3"/>
    </row>
    <row r="7" spans="1:28" s="5" customFormat="1">
      <c r="A7" s="3" t="s">
        <v>6</v>
      </c>
      <c r="B7" s="5" t="s">
        <v>7</v>
      </c>
      <c r="C7" s="3">
        <v>2013</v>
      </c>
      <c r="D7" s="3" t="s">
        <v>8</v>
      </c>
      <c r="E7" s="3" t="s">
        <v>9</v>
      </c>
      <c r="F7" s="3" t="s">
        <v>10</v>
      </c>
      <c r="G7" s="3">
        <f>PI()*(0.0238/2)^2</f>
        <v>4.4488093567485068E-4</v>
      </c>
      <c r="H7" s="3">
        <v>1</v>
      </c>
      <c r="I7" s="3">
        <f t="shared" si="0"/>
        <v>4.448809356748507E-8</v>
      </c>
      <c r="J7" s="3">
        <f t="shared" si="1"/>
        <v>1.1576388888888889E-5</v>
      </c>
      <c r="K7" s="3">
        <f>15/(60*24)</f>
        <v>1.0416666666666666E-2</v>
      </c>
      <c r="L7" s="3">
        <f>39.5/24</f>
        <v>1.6458333333333333</v>
      </c>
      <c r="M7" s="3">
        <v>289</v>
      </c>
      <c r="N7" s="3">
        <v>0</v>
      </c>
      <c r="O7" s="3">
        <v>0</v>
      </c>
      <c r="P7" s="3">
        <v>1</v>
      </c>
      <c r="Q7" s="3">
        <v>0</v>
      </c>
      <c r="R7" s="3"/>
      <c r="S7" s="3" t="s">
        <v>11</v>
      </c>
      <c r="T7" s="3" t="s">
        <v>16</v>
      </c>
      <c r="U7" s="3"/>
      <c r="V7" s="3"/>
      <c r="W7" s="3"/>
      <c r="X7" s="3"/>
      <c r="Y7" s="3"/>
      <c r="Z7" s="3"/>
      <c r="AA7" s="3"/>
      <c r="AB7" s="3"/>
    </row>
    <row r="8" spans="1:28" s="5" customFormat="1">
      <c r="A8" s="3" t="s">
        <v>6</v>
      </c>
      <c r="B8" s="5" t="s">
        <v>7</v>
      </c>
      <c r="C8" s="3">
        <v>2013</v>
      </c>
      <c r="D8" s="3" t="s">
        <v>8</v>
      </c>
      <c r="E8" s="3" t="s">
        <v>9</v>
      </c>
      <c r="F8" s="3" t="s">
        <v>10</v>
      </c>
      <c r="G8" s="3">
        <f>PI()*(0.0238/2)^2</f>
        <v>4.4488093567485068E-4</v>
      </c>
      <c r="H8" s="3">
        <v>1</v>
      </c>
      <c r="I8" s="3">
        <f t="shared" si="0"/>
        <v>4.448809356748507E-8</v>
      </c>
      <c r="J8" s="3">
        <f t="shared" si="1"/>
        <v>1.1576388888888889E-5</v>
      </c>
      <c r="K8" s="3">
        <f>0.01667/(60*24)</f>
        <v>1.1576388888888889E-5</v>
      </c>
      <c r="L8" s="3">
        <f>29/24</f>
        <v>1.2083333333333333</v>
      </c>
      <c r="M8" s="3">
        <v>289</v>
      </c>
      <c r="N8" s="3">
        <v>0</v>
      </c>
      <c r="O8" s="3">
        <v>0</v>
      </c>
      <c r="P8" s="3">
        <v>1</v>
      </c>
      <c r="Q8" s="3">
        <v>0</v>
      </c>
      <c r="R8" s="3"/>
      <c r="S8" s="3" t="s">
        <v>11</v>
      </c>
      <c r="T8" s="3" t="s">
        <v>17</v>
      </c>
      <c r="U8" s="3"/>
      <c r="V8" s="3"/>
      <c r="W8" s="3"/>
      <c r="X8" s="3"/>
      <c r="Y8" s="3"/>
      <c r="Z8" s="3"/>
      <c r="AA8" s="3"/>
      <c r="AB8" s="3"/>
    </row>
    <row r="9" spans="1:28" s="5" customFormat="1">
      <c r="A9" s="3" t="s">
        <v>18</v>
      </c>
      <c r="B9" s="5" t="s">
        <v>19</v>
      </c>
      <c r="C9" s="3">
        <v>2010</v>
      </c>
      <c r="D9" s="3" t="s">
        <v>20</v>
      </c>
      <c r="E9" s="3" t="s">
        <v>21</v>
      </c>
      <c r="F9" s="3" t="s">
        <v>22</v>
      </c>
      <c r="G9" s="3"/>
      <c r="H9" s="3"/>
      <c r="I9" s="3"/>
      <c r="J9" s="3"/>
      <c r="K9" s="3"/>
      <c r="L9" s="3"/>
      <c r="M9" s="3"/>
      <c r="N9" s="3"/>
      <c r="O9" s="3"/>
      <c r="P9" s="3"/>
      <c r="Q9" s="3"/>
      <c r="R9" s="3"/>
      <c r="S9" s="3"/>
      <c r="T9" s="3" t="s">
        <v>23</v>
      </c>
      <c r="U9" s="3"/>
      <c r="V9" s="3"/>
      <c r="W9" s="3"/>
      <c r="X9" s="3"/>
      <c r="Y9" s="3"/>
      <c r="Z9" s="3"/>
      <c r="AA9" s="3"/>
      <c r="AB9" s="3"/>
    </row>
    <row r="10" spans="1:28">
      <c r="A10" s="6" t="s">
        <v>24</v>
      </c>
      <c r="B10" s="6" t="s">
        <v>25</v>
      </c>
      <c r="C10" s="6">
        <v>2008</v>
      </c>
      <c r="D10" s="6" t="s">
        <v>26</v>
      </c>
      <c r="E10" s="6" t="s">
        <v>27</v>
      </c>
      <c r="F10" s="6" t="s">
        <v>28</v>
      </c>
      <c r="G10" s="6">
        <f>PI()*((0.14)^2)</f>
        <v>6.1575216010359951E-2</v>
      </c>
      <c r="H10" s="7">
        <f>67</f>
        <v>67</v>
      </c>
      <c r="I10" s="6">
        <f>(G10*H10)/10000</f>
        <v>4.1255394726941164E-4</v>
      </c>
      <c r="J10" s="6">
        <f>AVERAGE(27,35)</f>
        <v>31</v>
      </c>
      <c r="K10" s="6">
        <v>365</v>
      </c>
      <c r="L10" s="6">
        <f>J10*(2008-1992)</f>
        <v>496</v>
      </c>
      <c r="M10" s="6">
        <f>365*16</f>
        <v>5840</v>
      </c>
      <c r="N10" s="6">
        <v>0</v>
      </c>
      <c r="O10" s="6">
        <v>1</v>
      </c>
      <c r="P10" s="6">
        <v>2</v>
      </c>
      <c r="Q10" s="6">
        <v>0</v>
      </c>
      <c r="R10" s="6"/>
      <c r="S10" s="6" t="s">
        <v>29</v>
      </c>
      <c r="T10" s="6" t="s">
        <v>30</v>
      </c>
    </row>
    <row r="11" spans="1:28" s="5" customFormat="1">
      <c r="A11" s="3" t="s">
        <v>24</v>
      </c>
      <c r="B11" s="3" t="s">
        <v>31</v>
      </c>
      <c r="C11" s="3">
        <v>2008</v>
      </c>
      <c r="D11" s="5" t="s">
        <v>26</v>
      </c>
      <c r="E11" s="3" t="s">
        <v>32</v>
      </c>
      <c r="F11" s="3" t="s">
        <v>33</v>
      </c>
      <c r="G11" s="3">
        <f>(AVERAGE(1,1)/(1))*(10000)</f>
        <v>10000</v>
      </c>
      <c r="H11" s="3">
        <v>1</v>
      </c>
      <c r="I11" s="3">
        <f>(G11*H11)/10000</f>
        <v>1</v>
      </c>
      <c r="J11" s="3">
        <f>2/24</f>
        <v>8.3333333333333329E-2</v>
      </c>
      <c r="K11" s="3">
        <f>365</f>
        <v>365</v>
      </c>
      <c r="L11" s="3">
        <v>1</v>
      </c>
      <c r="M11" s="3">
        <f>365*2</f>
        <v>730</v>
      </c>
      <c r="N11" s="3">
        <v>2</v>
      </c>
      <c r="O11" s="3">
        <v>3</v>
      </c>
      <c r="P11" s="3">
        <v>1</v>
      </c>
      <c r="Q11" s="3">
        <v>1</v>
      </c>
      <c r="R11" s="5" t="s">
        <v>34</v>
      </c>
      <c r="S11" s="3" t="s">
        <v>35</v>
      </c>
      <c r="T11" s="5" t="s">
        <v>36</v>
      </c>
      <c r="U11" s="3"/>
      <c r="V11" s="3"/>
      <c r="W11" s="3"/>
      <c r="X11" s="3"/>
      <c r="Y11" s="3"/>
      <c r="Z11" s="3"/>
      <c r="AA11" s="3"/>
    </row>
    <row r="12" spans="1:28" s="5" customFormat="1">
      <c r="A12" s="3" t="s">
        <v>24</v>
      </c>
      <c r="B12" s="3" t="s">
        <v>31</v>
      </c>
      <c r="C12" s="3">
        <v>2008</v>
      </c>
      <c r="D12" s="5" t="s">
        <v>26</v>
      </c>
      <c r="E12" s="3" t="s">
        <v>32</v>
      </c>
      <c r="F12" s="3" t="s">
        <v>33</v>
      </c>
      <c r="G12" s="3">
        <f>(AVERAGE(1,2)/6)*(10000)</f>
        <v>2500</v>
      </c>
      <c r="H12" s="3">
        <v>1.5</v>
      </c>
      <c r="I12" s="3">
        <f t="shared" ref="I12:I81" si="2">(G12*H12)/10000</f>
        <v>0.375</v>
      </c>
      <c r="J12" s="3">
        <f t="shared" ref="J12:J24" si="3">2/24</f>
        <v>8.3333333333333329E-2</v>
      </c>
      <c r="K12" s="3">
        <f>365</f>
        <v>365</v>
      </c>
      <c r="L12" s="3">
        <v>1</v>
      </c>
      <c r="M12" s="3">
        <f t="shared" ref="M12:M24" si="4">365*2</f>
        <v>730</v>
      </c>
      <c r="N12" s="3">
        <v>2</v>
      </c>
      <c r="O12" s="3">
        <v>3</v>
      </c>
      <c r="P12" s="3">
        <v>1</v>
      </c>
      <c r="Q12" s="3">
        <v>1</v>
      </c>
      <c r="R12" s="5" t="s">
        <v>34</v>
      </c>
      <c r="S12" s="3" t="s">
        <v>35</v>
      </c>
      <c r="T12" s="5" t="s">
        <v>37</v>
      </c>
      <c r="U12" s="3"/>
      <c r="V12" s="3"/>
      <c r="W12" s="3"/>
      <c r="X12" s="3"/>
      <c r="Y12" s="3"/>
      <c r="Z12" s="3"/>
      <c r="AA12" s="3"/>
    </row>
    <row r="13" spans="1:28" s="5" customFormat="1">
      <c r="A13" s="3" t="s">
        <v>24</v>
      </c>
      <c r="B13" s="3" t="s">
        <v>31</v>
      </c>
      <c r="C13" s="3">
        <v>2008</v>
      </c>
      <c r="D13" s="5" t="s">
        <v>26</v>
      </c>
      <c r="E13" s="3" t="s">
        <v>32</v>
      </c>
      <c r="F13" s="3" t="s">
        <v>33</v>
      </c>
      <c r="G13" s="3">
        <f>(AVERAGE(2,3)/6)*(10000)</f>
        <v>4166.666666666667</v>
      </c>
      <c r="H13" s="3">
        <v>2.5</v>
      </c>
      <c r="I13" s="3">
        <f t="shared" si="2"/>
        <v>1.0416666666666667</v>
      </c>
      <c r="J13" s="3">
        <f t="shared" si="3"/>
        <v>8.3333333333333329E-2</v>
      </c>
      <c r="K13" s="3">
        <f>365</f>
        <v>365</v>
      </c>
      <c r="L13" s="3">
        <v>1</v>
      </c>
      <c r="M13" s="3">
        <f t="shared" si="4"/>
        <v>730</v>
      </c>
      <c r="N13" s="3">
        <v>2</v>
      </c>
      <c r="O13" s="3">
        <v>3</v>
      </c>
      <c r="P13" s="3">
        <v>1</v>
      </c>
      <c r="Q13" s="3">
        <v>1</v>
      </c>
      <c r="R13" s="5" t="s">
        <v>34</v>
      </c>
      <c r="S13" s="3" t="s">
        <v>35</v>
      </c>
      <c r="T13" s="5" t="s">
        <v>38</v>
      </c>
      <c r="U13" s="3"/>
      <c r="V13" s="3"/>
      <c r="W13" s="3"/>
      <c r="X13" s="3"/>
      <c r="Y13" s="3"/>
      <c r="Z13" s="3"/>
      <c r="AA13" s="3"/>
    </row>
    <row r="14" spans="1:28" s="5" customFormat="1">
      <c r="A14" s="3" t="s">
        <v>24</v>
      </c>
      <c r="B14" s="3" t="s">
        <v>31</v>
      </c>
      <c r="C14" s="3">
        <v>2008</v>
      </c>
      <c r="D14" s="5" t="s">
        <v>26</v>
      </c>
      <c r="E14" s="3" t="s">
        <v>32</v>
      </c>
      <c r="F14" s="3" t="s">
        <v>33</v>
      </c>
      <c r="G14" s="3">
        <f>(AVERAGE(2,4)/2)*(10000)</f>
        <v>15000</v>
      </c>
      <c r="H14" s="3">
        <v>3</v>
      </c>
      <c r="I14" s="3">
        <f t="shared" si="2"/>
        <v>4.5</v>
      </c>
      <c r="J14" s="3">
        <f t="shared" si="3"/>
        <v>8.3333333333333329E-2</v>
      </c>
      <c r="K14" s="3">
        <f>365</f>
        <v>365</v>
      </c>
      <c r="L14" s="3">
        <v>1</v>
      </c>
      <c r="M14" s="3">
        <f t="shared" si="4"/>
        <v>730</v>
      </c>
      <c r="N14" s="3">
        <v>2</v>
      </c>
      <c r="O14" s="3">
        <v>3</v>
      </c>
      <c r="P14" s="3">
        <v>1</v>
      </c>
      <c r="Q14" s="3">
        <v>1</v>
      </c>
      <c r="R14" s="5" t="s">
        <v>34</v>
      </c>
      <c r="S14" s="3" t="s">
        <v>35</v>
      </c>
      <c r="T14" s="5" t="s">
        <v>39</v>
      </c>
      <c r="U14" s="3"/>
      <c r="V14" s="3"/>
      <c r="W14" s="3"/>
      <c r="X14" s="3"/>
      <c r="Y14" s="3"/>
      <c r="Z14" s="3"/>
      <c r="AA14" s="3"/>
    </row>
    <row r="15" spans="1:28" s="5" customFormat="1">
      <c r="A15" s="3" t="s">
        <v>24</v>
      </c>
      <c r="B15" s="3" t="s">
        <v>31</v>
      </c>
      <c r="C15" s="3">
        <v>2008</v>
      </c>
      <c r="D15" s="5" t="s">
        <v>26</v>
      </c>
      <c r="E15" s="3" t="s">
        <v>32</v>
      </c>
      <c r="F15" s="3" t="s">
        <v>33</v>
      </c>
      <c r="G15" s="3">
        <f>(AVERAGE(1,1)/1)*(10000)</f>
        <v>10000</v>
      </c>
      <c r="H15" s="3">
        <v>1</v>
      </c>
      <c r="I15" s="3">
        <f t="shared" si="2"/>
        <v>1</v>
      </c>
      <c r="J15" s="3">
        <f t="shared" si="3"/>
        <v>8.3333333333333329E-2</v>
      </c>
      <c r="K15" s="3">
        <f>365</f>
        <v>365</v>
      </c>
      <c r="L15" s="3">
        <v>1</v>
      </c>
      <c r="M15" s="3">
        <f t="shared" si="4"/>
        <v>730</v>
      </c>
      <c r="N15" s="3">
        <v>2</v>
      </c>
      <c r="O15" s="3">
        <v>3</v>
      </c>
      <c r="P15" s="3">
        <v>1</v>
      </c>
      <c r="Q15" s="3">
        <v>1</v>
      </c>
      <c r="R15" s="5" t="s">
        <v>34</v>
      </c>
      <c r="S15" s="3" t="s">
        <v>35</v>
      </c>
      <c r="T15" s="5" t="s">
        <v>40</v>
      </c>
      <c r="U15" s="3"/>
      <c r="V15" s="3"/>
      <c r="W15" s="3"/>
      <c r="X15" s="3"/>
      <c r="Y15" s="3"/>
      <c r="Z15" s="3"/>
      <c r="AA15" s="3"/>
    </row>
    <row r="16" spans="1:28" s="5" customFormat="1">
      <c r="A16" s="3" t="s">
        <v>24</v>
      </c>
      <c r="B16" s="3" t="s">
        <v>31</v>
      </c>
      <c r="C16" s="3">
        <v>2008</v>
      </c>
      <c r="D16" s="5" t="s">
        <v>26</v>
      </c>
      <c r="E16" s="3" t="s">
        <v>32</v>
      </c>
      <c r="F16" s="3" t="s">
        <v>33</v>
      </c>
      <c r="G16" s="3">
        <f>(AVERAGE(7,7)/1)*(10000)</f>
        <v>70000</v>
      </c>
      <c r="H16" s="3">
        <v>7</v>
      </c>
      <c r="I16" s="3">
        <f t="shared" si="2"/>
        <v>49</v>
      </c>
      <c r="J16" s="3">
        <f t="shared" si="3"/>
        <v>8.3333333333333329E-2</v>
      </c>
      <c r="K16" s="3">
        <f>365</f>
        <v>365</v>
      </c>
      <c r="L16" s="3">
        <v>1</v>
      </c>
      <c r="M16" s="3">
        <f t="shared" si="4"/>
        <v>730</v>
      </c>
      <c r="N16" s="3">
        <v>2</v>
      </c>
      <c r="O16" s="3">
        <v>3</v>
      </c>
      <c r="P16" s="3">
        <v>1</v>
      </c>
      <c r="Q16" s="3">
        <v>1</v>
      </c>
      <c r="R16" s="5" t="s">
        <v>34</v>
      </c>
      <c r="S16" s="3" t="s">
        <v>35</v>
      </c>
      <c r="T16" s="5" t="s">
        <v>41</v>
      </c>
      <c r="U16" s="3"/>
      <c r="V16" s="3"/>
      <c r="W16" s="3"/>
      <c r="X16" s="3"/>
      <c r="Y16" s="3"/>
      <c r="Z16" s="3"/>
      <c r="AA16" s="3"/>
    </row>
    <row r="17" spans="1:28" s="5" customFormat="1">
      <c r="A17" s="3" t="s">
        <v>24</v>
      </c>
      <c r="B17" s="3" t="s">
        <v>31</v>
      </c>
      <c r="C17" s="3">
        <v>2008</v>
      </c>
      <c r="D17" s="5" t="s">
        <v>26</v>
      </c>
      <c r="E17" s="3" t="s">
        <v>32</v>
      </c>
      <c r="F17" s="3" t="s">
        <v>33</v>
      </c>
      <c r="G17" s="3">
        <f>(AVERAGE(1,1)/17)*(10000)</f>
        <v>588.23529411764707</v>
      </c>
      <c r="H17" s="3">
        <v>1</v>
      </c>
      <c r="I17" s="3">
        <f t="shared" si="2"/>
        <v>5.8823529411764705E-2</v>
      </c>
      <c r="J17" s="3">
        <f t="shared" si="3"/>
        <v>8.3333333333333329E-2</v>
      </c>
      <c r="K17" s="3">
        <f>365</f>
        <v>365</v>
      </c>
      <c r="L17" s="3">
        <v>1</v>
      </c>
      <c r="M17" s="3">
        <f t="shared" si="4"/>
        <v>730</v>
      </c>
      <c r="N17" s="3">
        <v>2</v>
      </c>
      <c r="O17" s="3">
        <v>3</v>
      </c>
      <c r="P17" s="3">
        <v>1</v>
      </c>
      <c r="Q17" s="3">
        <v>1</v>
      </c>
      <c r="R17" s="5" t="s">
        <v>34</v>
      </c>
      <c r="S17" s="3" t="s">
        <v>35</v>
      </c>
      <c r="T17" s="5" t="s">
        <v>42</v>
      </c>
      <c r="U17" s="3"/>
      <c r="V17" s="3"/>
      <c r="W17" s="3"/>
      <c r="X17" s="3"/>
      <c r="Y17" s="3"/>
      <c r="Z17" s="3"/>
      <c r="AA17" s="3"/>
    </row>
    <row r="18" spans="1:28" s="5" customFormat="1">
      <c r="A18" s="3" t="s">
        <v>24</v>
      </c>
      <c r="B18" s="3" t="s">
        <v>31</v>
      </c>
      <c r="C18" s="3">
        <v>2008</v>
      </c>
      <c r="D18" s="5" t="s">
        <v>26</v>
      </c>
      <c r="E18" s="3" t="s">
        <v>32</v>
      </c>
      <c r="F18" s="3" t="s">
        <v>33</v>
      </c>
      <c r="G18" s="3">
        <f>(AVERAGE(10,9)/9)*(10000)</f>
        <v>10555.555555555557</v>
      </c>
      <c r="H18" s="3">
        <v>9.5</v>
      </c>
      <c r="I18" s="3">
        <f t="shared" si="2"/>
        <v>10.027777777777779</v>
      </c>
      <c r="J18" s="3">
        <f t="shared" si="3"/>
        <v>8.3333333333333329E-2</v>
      </c>
      <c r="K18" s="3">
        <f>365</f>
        <v>365</v>
      </c>
      <c r="L18" s="3">
        <v>1</v>
      </c>
      <c r="M18" s="3">
        <f t="shared" si="4"/>
        <v>730</v>
      </c>
      <c r="N18" s="3">
        <v>2</v>
      </c>
      <c r="O18" s="3">
        <v>3</v>
      </c>
      <c r="P18" s="3">
        <v>1</v>
      </c>
      <c r="Q18" s="3">
        <v>1</v>
      </c>
      <c r="R18" s="5" t="s">
        <v>34</v>
      </c>
      <c r="S18" s="3" t="s">
        <v>35</v>
      </c>
      <c r="T18" s="5" t="s">
        <v>43</v>
      </c>
      <c r="U18" s="3"/>
      <c r="V18" s="3"/>
      <c r="W18" s="3"/>
      <c r="X18" s="3"/>
      <c r="Y18" s="3"/>
      <c r="Z18" s="3"/>
      <c r="AA18" s="3"/>
    </row>
    <row r="19" spans="1:28" s="5" customFormat="1">
      <c r="A19" s="3" t="s">
        <v>24</v>
      </c>
      <c r="B19" s="3" t="s">
        <v>31</v>
      </c>
      <c r="C19" s="3">
        <v>2008</v>
      </c>
      <c r="D19" s="5" t="s">
        <v>26</v>
      </c>
      <c r="E19" s="3" t="s">
        <v>32</v>
      </c>
      <c r="F19" s="3" t="s">
        <v>33</v>
      </c>
      <c r="G19" s="3">
        <f>(AVERAGE(10,10)/8)*(10000)</f>
        <v>12500</v>
      </c>
      <c r="H19" s="3">
        <v>10</v>
      </c>
      <c r="I19" s="3">
        <f t="shared" si="2"/>
        <v>12.5</v>
      </c>
      <c r="J19" s="3">
        <f t="shared" si="3"/>
        <v>8.3333333333333329E-2</v>
      </c>
      <c r="K19" s="3">
        <f>365</f>
        <v>365</v>
      </c>
      <c r="L19" s="3">
        <v>1</v>
      </c>
      <c r="M19" s="3">
        <f t="shared" si="4"/>
        <v>730</v>
      </c>
      <c r="N19" s="3">
        <v>2</v>
      </c>
      <c r="O19" s="3">
        <v>3</v>
      </c>
      <c r="P19" s="3">
        <v>1</v>
      </c>
      <c r="Q19" s="3">
        <v>1</v>
      </c>
      <c r="R19" s="5" t="s">
        <v>34</v>
      </c>
      <c r="S19" s="3" t="s">
        <v>35</v>
      </c>
      <c r="T19" s="5" t="s">
        <v>44</v>
      </c>
      <c r="U19" s="3"/>
      <c r="V19" s="3"/>
      <c r="W19" s="3"/>
      <c r="X19" s="3"/>
      <c r="Y19" s="3"/>
      <c r="Z19" s="3"/>
      <c r="AA19" s="3"/>
    </row>
    <row r="20" spans="1:28" s="5" customFormat="1">
      <c r="A20" s="3" t="s">
        <v>24</v>
      </c>
      <c r="B20" s="3" t="s">
        <v>31</v>
      </c>
      <c r="C20" s="3">
        <v>2008</v>
      </c>
      <c r="D20" s="5" t="s">
        <v>26</v>
      </c>
      <c r="E20" s="3" t="s">
        <v>32</v>
      </c>
      <c r="F20" s="3" t="s">
        <v>33</v>
      </c>
      <c r="G20" s="3">
        <f>(AVERAGE(10,11)/1)*(10000)</f>
        <v>105000</v>
      </c>
      <c r="H20" s="3">
        <v>10.5</v>
      </c>
      <c r="I20" s="3">
        <f t="shared" si="2"/>
        <v>110.25</v>
      </c>
      <c r="J20" s="3">
        <f t="shared" si="3"/>
        <v>8.3333333333333329E-2</v>
      </c>
      <c r="K20" s="3">
        <f>365</f>
        <v>365</v>
      </c>
      <c r="L20" s="3">
        <v>1</v>
      </c>
      <c r="M20" s="3">
        <f t="shared" si="4"/>
        <v>730</v>
      </c>
      <c r="N20" s="3">
        <v>2</v>
      </c>
      <c r="O20" s="3">
        <v>3</v>
      </c>
      <c r="P20" s="3">
        <v>1</v>
      </c>
      <c r="Q20" s="3">
        <v>1</v>
      </c>
      <c r="R20" s="5" t="s">
        <v>34</v>
      </c>
      <c r="S20" s="3" t="s">
        <v>35</v>
      </c>
      <c r="T20" s="5" t="s">
        <v>45</v>
      </c>
      <c r="U20" s="3"/>
      <c r="V20" s="3"/>
      <c r="W20" s="3"/>
      <c r="X20" s="3"/>
      <c r="Y20" s="3"/>
      <c r="Z20" s="3"/>
      <c r="AA20" s="3"/>
    </row>
    <row r="21" spans="1:28" s="5" customFormat="1">
      <c r="A21" s="3" t="s">
        <v>24</v>
      </c>
      <c r="B21" s="3" t="s">
        <v>31</v>
      </c>
      <c r="C21" s="3">
        <v>2008</v>
      </c>
      <c r="D21" s="5" t="s">
        <v>26</v>
      </c>
      <c r="E21" s="3" t="s">
        <v>32</v>
      </c>
      <c r="F21" s="3" t="s">
        <v>33</v>
      </c>
      <c r="G21" s="3">
        <f>(AVERAGE(1,1)/5)*(10000)</f>
        <v>2000</v>
      </c>
      <c r="H21" s="3">
        <v>1</v>
      </c>
      <c r="I21" s="3">
        <f t="shared" si="2"/>
        <v>0.2</v>
      </c>
      <c r="J21" s="3">
        <f t="shared" si="3"/>
        <v>8.3333333333333329E-2</v>
      </c>
      <c r="K21" s="3">
        <f>365</f>
        <v>365</v>
      </c>
      <c r="L21" s="3">
        <v>1</v>
      </c>
      <c r="M21" s="3">
        <f t="shared" si="4"/>
        <v>730</v>
      </c>
      <c r="N21" s="3">
        <v>2</v>
      </c>
      <c r="O21" s="3">
        <v>3</v>
      </c>
      <c r="P21" s="3">
        <v>1</v>
      </c>
      <c r="Q21" s="3">
        <v>1</v>
      </c>
      <c r="R21" s="5" t="s">
        <v>34</v>
      </c>
      <c r="S21" s="3" t="s">
        <v>35</v>
      </c>
      <c r="T21" s="5" t="s">
        <v>46</v>
      </c>
      <c r="U21" s="3"/>
      <c r="V21" s="3"/>
      <c r="W21" s="3"/>
      <c r="X21" s="3"/>
      <c r="Y21" s="3"/>
      <c r="Z21" s="3"/>
      <c r="AA21" s="3"/>
    </row>
    <row r="22" spans="1:28" s="5" customFormat="1">
      <c r="A22" s="3" t="s">
        <v>24</v>
      </c>
      <c r="B22" s="3" t="s">
        <v>31</v>
      </c>
      <c r="C22" s="3">
        <v>2008</v>
      </c>
      <c r="D22" s="5" t="s">
        <v>26</v>
      </c>
      <c r="E22" s="3" t="s">
        <v>32</v>
      </c>
      <c r="F22" s="3" t="s">
        <v>33</v>
      </c>
      <c r="G22" s="3">
        <f>(AVERAGE(12,14)/9)*(10000)</f>
        <v>14444.444444444443</v>
      </c>
      <c r="H22" s="3">
        <v>13</v>
      </c>
      <c r="I22" s="3">
        <f t="shared" si="2"/>
        <v>18.777777777777775</v>
      </c>
      <c r="J22" s="3">
        <f t="shared" si="3"/>
        <v>8.3333333333333329E-2</v>
      </c>
      <c r="K22" s="3">
        <f>365</f>
        <v>365</v>
      </c>
      <c r="L22" s="3">
        <v>1</v>
      </c>
      <c r="M22" s="3">
        <f t="shared" si="4"/>
        <v>730</v>
      </c>
      <c r="N22" s="3">
        <v>2</v>
      </c>
      <c r="O22" s="3">
        <v>3</v>
      </c>
      <c r="P22" s="3">
        <v>1</v>
      </c>
      <c r="Q22" s="3">
        <v>1</v>
      </c>
      <c r="R22" s="5" t="s">
        <v>34</v>
      </c>
      <c r="S22" s="3" t="s">
        <v>35</v>
      </c>
      <c r="T22" s="5" t="s">
        <v>47</v>
      </c>
      <c r="U22" s="3"/>
      <c r="V22" s="3"/>
      <c r="W22" s="3"/>
      <c r="X22" s="3"/>
      <c r="Y22" s="3"/>
      <c r="Z22" s="3"/>
      <c r="AA22" s="3"/>
    </row>
    <row r="23" spans="1:28" s="5" customFormat="1">
      <c r="A23" s="3" t="s">
        <v>24</v>
      </c>
      <c r="B23" s="3" t="s">
        <v>31</v>
      </c>
      <c r="C23" s="3">
        <v>2008</v>
      </c>
      <c r="D23" s="5" t="s">
        <v>26</v>
      </c>
      <c r="E23" s="3" t="s">
        <v>32</v>
      </c>
      <c r="F23" s="3" t="s">
        <v>33</v>
      </c>
      <c r="G23" s="3">
        <f>(AVERAGE(15,14)/9)*(10000)</f>
        <v>16111.111111111111</v>
      </c>
      <c r="H23" s="3">
        <v>14.5</v>
      </c>
      <c r="I23" s="3">
        <f t="shared" si="2"/>
        <v>23.361111111111111</v>
      </c>
      <c r="J23" s="3">
        <f t="shared" si="3"/>
        <v>8.3333333333333329E-2</v>
      </c>
      <c r="K23" s="3">
        <f>365</f>
        <v>365</v>
      </c>
      <c r="L23" s="3">
        <v>1</v>
      </c>
      <c r="M23" s="3">
        <f t="shared" si="4"/>
        <v>730</v>
      </c>
      <c r="N23" s="3">
        <v>2</v>
      </c>
      <c r="O23" s="3">
        <v>3</v>
      </c>
      <c r="P23" s="3">
        <v>1</v>
      </c>
      <c r="Q23" s="3">
        <v>1</v>
      </c>
      <c r="R23" s="5" t="s">
        <v>34</v>
      </c>
      <c r="S23" s="3" t="s">
        <v>35</v>
      </c>
      <c r="T23" s="5" t="s">
        <v>48</v>
      </c>
      <c r="U23" s="3"/>
      <c r="V23" s="3"/>
      <c r="W23" s="3"/>
      <c r="X23" s="3"/>
      <c r="Y23" s="3"/>
      <c r="Z23" s="3"/>
      <c r="AA23" s="3"/>
    </row>
    <row r="24" spans="1:28" s="5" customFormat="1">
      <c r="A24" s="3" t="s">
        <v>24</v>
      </c>
      <c r="B24" s="3" t="s">
        <v>31</v>
      </c>
      <c r="C24" s="3">
        <v>2008</v>
      </c>
      <c r="D24" s="5" t="s">
        <v>26</v>
      </c>
      <c r="E24" s="3" t="s">
        <v>32</v>
      </c>
      <c r="F24" s="3" t="s">
        <v>33</v>
      </c>
      <c r="G24" s="3">
        <f>(AVERAGE(19,19)/44)*(10000)</f>
        <v>4318.181818181818</v>
      </c>
      <c r="H24" s="3">
        <v>19</v>
      </c>
      <c r="I24" s="3">
        <f t="shared" si="2"/>
        <v>8.204545454545455</v>
      </c>
      <c r="J24" s="3">
        <f t="shared" si="3"/>
        <v>8.3333333333333329E-2</v>
      </c>
      <c r="K24" s="3">
        <f>365</f>
        <v>365</v>
      </c>
      <c r="L24" s="3">
        <v>1</v>
      </c>
      <c r="M24" s="3">
        <f t="shared" si="4"/>
        <v>730</v>
      </c>
      <c r="N24" s="3">
        <v>2</v>
      </c>
      <c r="O24" s="3">
        <v>3</v>
      </c>
      <c r="P24" s="3">
        <v>1</v>
      </c>
      <c r="Q24" s="3">
        <v>1</v>
      </c>
      <c r="R24" s="5" t="s">
        <v>34</v>
      </c>
      <c r="S24" s="3" t="s">
        <v>35</v>
      </c>
      <c r="T24" s="5" t="s">
        <v>49</v>
      </c>
      <c r="U24" s="3"/>
      <c r="V24" s="3"/>
      <c r="W24" s="3"/>
      <c r="X24" s="3"/>
      <c r="Y24" s="3"/>
      <c r="Z24" s="3"/>
      <c r="AA24" s="3"/>
    </row>
    <row r="25" spans="1:28" s="4" customFormat="1">
      <c r="A25" s="3" t="s">
        <v>50</v>
      </c>
      <c r="B25" s="183" t="s">
        <v>1127</v>
      </c>
      <c r="C25" s="3">
        <v>2013</v>
      </c>
      <c r="D25" s="3" t="s">
        <v>26</v>
      </c>
      <c r="E25" s="3" t="s">
        <v>51</v>
      </c>
      <c r="F25" s="3" t="s">
        <v>52</v>
      </c>
      <c r="G25" s="3">
        <f>4*4</f>
        <v>16</v>
      </c>
      <c r="H25" s="3">
        <v>59</v>
      </c>
      <c r="I25" s="3">
        <f t="shared" si="2"/>
        <v>9.4399999999999998E-2</v>
      </c>
      <c r="J25" s="3">
        <f>30/(60*24)</f>
        <v>2.0833333333333332E-2</v>
      </c>
      <c r="K25" s="3">
        <f>12/24</f>
        <v>0.5</v>
      </c>
      <c r="L25" s="3">
        <f>J25*2</f>
        <v>4.1666666666666664E-2</v>
      </c>
      <c r="M25" s="3">
        <v>272</v>
      </c>
      <c r="N25" s="3">
        <v>3</v>
      </c>
      <c r="O25" s="3">
        <v>2</v>
      </c>
      <c r="P25" s="3">
        <v>0</v>
      </c>
      <c r="Q25" s="3">
        <v>2</v>
      </c>
      <c r="R25" s="3" t="s">
        <v>53</v>
      </c>
      <c r="S25" s="3" t="s">
        <v>54</v>
      </c>
      <c r="T25" s="3" t="s">
        <v>55</v>
      </c>
      <c r="U25" s="3"/>
      <c r="V25" s="3"/>
      <c r="W25" s="3"/>
      <c r="X25" s="3"/>
      <c r="Y25" s="3"/>
      <c r="Z25" s="3"/>
      <c r="AA25" s="3"/>
      <c r="AB25" s="3"/>
    </row>
    <row r="26" spans="1:28" s="4" customFormat="1">
      <c r="A26" s="3" t="s">
        <v>50</v>
      </c>
      <c r="B26" s="183" t="s">
        <v>1127</v>
      </c>
      <c r="C26" s="3">
        <v>2013</v>
      </c>
      <c r="D26" s="3" t="s">
        <v>26</v>
      </c>
      <c r="E26" s="3" t="s">
        <v>56</v>
      </c>
      <c r="F26" s="3" t="s">
        <v>52</v>
      </c>
      <c r="G26" s="3">
        <f>4*4</f>
        <v>16</v>
      </c>
      <c r="H26" s="3">
        <v>8</v>
      </c>
      <c r="I26" s="3">
        <f t="shared" si="2"/>
        <v>1.2800000000000001E-2</v>
      </c>
      <c r="J26" s="3">
        <f>30/(60*24)</f>
        <v>2.0833333333333332E-2</v>
      </c>
      <c r="K26" s="3">
        <f>12/24</f>
        <v>0.5</v>
      </c>
      <c r="L26" s="3">
        <f>J26*2</f>
        <v>4.1666666666666664E-2</v>
      </c>
      <c r="M26" s="3">
        <v>272</v>
      </c>
      <c r="N26" s="3">
        <v>3</v>
      </c>
      <c r="O26" s="3">
        <v>2</v>
      </c>
      <c r="P26" s="3">
        <v>0</v>
      </c>
      <c r="Q26" s="3">
        <v>2</v>
      </c>
      <c r="R26" s="3" t="s">
        <v>53</v>
      </c>
      <c r="S26" s="3" t="s">
        <v>54</v>
      </c>
      <c r="T26" s="3" t="s">
        <v>57</v>
      </c>
      <c r="U26" s="3"/>
      <c r="V26" s="3"/>
      <c r="W26" s="3"/>
      <c r="X26" s="3"/>
      <c r="Y26" s="3"/>
      <c r="Z26" s="3"/>
      <c r="AA26" s="3"/>
      <c r="AB26" s="3"/>
    </row>
    <row r="27" spans="1:28" s="4" customFormat="1">
      <c r="A27" s="3" t="s">
        <v>50</v>
      </c>
      <c r="B27" s="183" t="s">
        <v>1127</v>
      </c>
      <c r="C27" s="3">
        <v>2013</v>
      </c>
      <c r="D27" s="3" t="s">
        <v>8</v>
      </c>
      <c r="E27" s="3" t="s">
        <v>51</v>
      </c>
      <c r="F27" s="3" t="s">
        <v>52</v>
      </c>
      <c r="G27" s="3">
        <f>PI()*(0.1735/2)^2</f>
        <v>2.3642251864130836E-2</v>
      </c>
      <c r="H27" s="3">
        <f>10*6</f>
        <v>60</v>
      </c>
      <c r="I27" s="3">
        <f t="shared" si="2"/>
        <v>1.4185351118478501E-4</v>
      </c>
      <c r="J27" s="3">
        <f>0.01667/(60*24)</f>
        <v>1.1576388888888889E-5</v>
      </c>
      <c r="K27" s="3">
        <f>15/(60*24)</f>
        <v>1.0416666666666666E-2</v>
      </c>
      <c r="L27" s="3">
        <f>J27*11808</f>
        <v>0.13669400000000001</v>
      </c>
      <c r="M27" s="3">
        <v>152</v>
      </c>
      <c r="N27" s="3">
        <v>0</v>
      </c>
      <c r="O27" s="3">
        <v>2</v>
      </c>
      <c r="P27" s="3">
        <v>0</v>
      </c>
      <c r="Q27" s="3">
        <v>0</v>
      </c>
      <c r="R27" s="3" t="s">
        <v>53</v>
      </c>
      <c r="S27" s="3" t="s">
        <v>58</v>
      </c>
      <c r="T27" s="3" t="s">
        <v>59</v>
      </c>
      <c r="U27" s="3"/>
      <c r="V27" s="3"/>
      <c r="W27" s="3"/>
      <c r="X27" s="3"/>
      <c r="Y27" s="3"/>
      <c r="Z27" s="3"/>
      <c r="AA27" s="3"/>
      <c r="AB27" s="3"/>
    </row>
    <row r="28" spans="1:28" s="4" customFormat="1">
      <c r="A28" s="3" t="s">
        <v>50</v>
      </c>
      <c r="B28" s="183" t="s">
        <v>1127</v>
      </c>
      <c r="C28" s="3">
        <v>2013</v>
      </c>
      <c r="D28" s="3" t="s">
        <v>26</v>
      </c>
      <c r="E28" s="3" t="s">
        <v>51</v>
      </c>
      <c r="F28" s="3" t="s">
        <v>52</v>
      </c>
      <c r="G28" s="3">
        <f>2*20</f>
        <v>40</v>
      </c>
      <c r="H28" s="3">
        <v>59</v>
      </c>
      <c r="I28" s="3">
        <f t="shared" si="2"/>
        <v>0.23599999999999999</v>
      </c>
      <c r="J28" s="3">
        <f>1/(60*24)</f>
        <v>6.9444444444444447E-4</v>
      </c>
      <c r="K28" s="3">
        <v>1</v>
      </c>
      <c r="L28" s="8">
        <f>J28*1</f>
        <v>6.9444444444444447E-4</v>
      </c>
      <c r="M28" s="3">
        <v>272</v>
      </c>
      <c r="N28" s="3">
        <v>1</v>
      </c>
      <c r="O28" s="3">
        <v>2</v>
      </c>
      <c r="P28" s="3">
        <v>0</v>
      </c>
      <c r="Q28" s="3">
        <v>2</v>
      </c>
      <c r="R28" s="3" t="s">
        <v>53</v>
      </c>
      <c r="S28" s="3" t="s">
        <v>60</v>
      </c>
      <c r="T28" s="3" t="s">
        <v>61</v>
      </c>
      <c r="U28" s="3"/>
      <c r="V28" s="3"/>
      <c r="W28" s="3"/>
      <c r="X28" s="3"/>
      <c r="Y28" s="3"/>
      <c r="Z28" s="3"/>
      <c r="AA28" s="3"/>
      <c r="AB28" s="3"/>
    </row>
    <row r="29" spans="1:28" s="4" customFormat="1">
      <c r="A29" s="3" t="s">
        <v>50</v>
      </c>
      <c r="B29" s="183" t="s">
        <v>1127</v>
      </c>
      <c r="C29" s="3">
        <v>2013</v>
      </c>
      <c r="D29" s="3" t="s">
        <v>26</v>
      </c>
      <c r="E29" s="3" t="s">
        <v>56</v>
      </c>
      <c r="F29" s="3" t="s">
        <v>52</v>
      </c>
      <c r="G29" s="3">
        <f>2*20</f>
        <v>40</v>
      </c>
      <c r="H29" s="3">
        <v>8</v>
      </c>
      <c r="I29" s="3">
        <f t="shared" si="2"/>
        <v>3.2000000000000001E-2</v>
      </c>
      <c r="J29" s="3">
        <f>1/(60*24)</f>
        <v>6.9444444444444447E-4</v>
      </c>
      <c r="K29" s="3">
        <v>1</v>
      </c>
      <c r="L29" s="8">
        <v>6.9444444444444447E-4</v>
      </c>
      <c r="M29" s="3">
        <v>272</v>
      </c>
      <c r="N29" s="3">
        <v>1</v>
      </c>
      <c r="O29" s="3">
        <v>2</v>
      </c>
      <c r="P29" s="3">
        <v>0</v>
      </c>
      <c r="Q29" s="3">
        <v>2</v>
      </c>
      <c r="R29" s="3" t="s">
        <v>53</v>
      </c>
      <c r="S29" s="3" t="s">
        <v>60</v>
      </c>
      <c r="T29" s="3" t="s">
        <v>62</v>
      </c>
      <c r="U29" s="3"/>
      <c r="V29" s="3"/>
      <c r="W29" s="3"/>
      <c r="X29" s="3"/>
      <c r="Y29" s="3"/>
      <c r="Z29" s="3"/>
      <c r="AA29" s="3"/>
      <c r="AB29" s="3"/>
    </row>
    <row r="30" spans="1:28" s="5" customFormat="1">
      <c r="A30" s="3" t="s">
        <v>18</v>
      </c>
      <c r="B30" s="3" t="s">
        <v>63</v>
      </c>
      <c r="C30" s="3">
        <v>2013</v>
      </c>
      <c r="D30" s="3" t="s">
        <v>26</v>
      </c>
      <c r="E30" s="3" t="s">
        <v>64</v>
      </c>
      <c r="F30" s="3" t="s">
        <v>65</v>
      </c>
      <c r="G30" s="3">
        <f>550*30</f>
        <v>16500</v>
      </c>
      <c r="H30" s="3">
        <v>1</v>
      </c>
      <c r="I30" s="3">
        <f t="shared" si="2"/>
        <v>1.65</v>
      </c>
      <c r="J30" s="3">
        <f>3/24</f>
        <v>0.125</v>
      </c>
      <c r="K30" s="3">
        <f>AVERAGE(2,325,31,343,17,45)</f>
        <v>127.16666666666667</v>
      </c>
      <c r="L30" s="3">
        <f>J30*10</f>
        <v>1.25</v>
      </c>
      <c r="M30" s="3">
        <f>821</f>
        <v>821</v>
      </c>
      <c r="N30" s="3">
        <v>2</v>
      </c>
      <c r="O30" s="3">
        <v>1</v>
      </c>
      <c r="P30" s="3">
        <v>0</v>
      </c>
      <c r="Q30" s="3">
        <v>1</v>
      </c>
      <c r="R30" s="3"/>
      <c r="S30" s="3" t="s">
        <v>66</v>
      </c>
      <c r="T30" s="3" t="s">
        <v>67</v>
      </c>
      <c r="U30" s="3"/>
      <c r="V30" s="3"/>
      <c r="W30" s="3"/>
      <c r="X30" s="3"/>
      <c r="Y30" s="3"/>
      <c r="Z30" s="3"/>
      <c r="AA30" s="3"/>
      <c r="AB30" s="3"/>
    </row>
    <row r="31" spans="1:28" s="4" customFormat="1" ht="12" customHeight="1">
      <c r="A31" s="9" t="s">
        <v>50</v>
      </c>
      <c r="B31" s="10" t="s">
        <v>68</v>
      </c>
      <c r="C31" s="9">
        <v>2007</v>
      </c>
      <c r="D31" s="9" t="s">
        <v>69</v>
      </c>
      <c r="E31" s="9"/>
      <c r="F31" s="9"/>
      <c r="G31" s="9"/>
      <c r="H31" s="9"/>
      <c r="I31" s="9"/>
      <c r="J31" s="9"/>
      <c r="K31" s="9"/>
      <c r="L31" s="9"/>
      <c r="M31" s="11"/>
      <c r="N31" s="9"/>
      <c r="O31" s="9"/>
      <c r="P31" s="9"/>
      <c r="Q31" s="9"/>
      <c r="R31" s="9"/>
      <c r="S31" s="9"/>
      <c r="T31" s="9" t="s">
        <v>70</v>
      </c>
      <c r="U31" s="3"/>
      <c r="V31" s="3"/>
      <c r="W31" s="3"/>
      <c r="X31" s="3"/>
      <c r="Y31" s="3"/>
      <c r="Z31" s="3"/>
      <c r="AA31" s="3"/>
      <c r="AB31" s="3"/>
    </row>
    <row r="32" spans="1:28" s="4" customFormat="1" ht="25">
      <c r="A32" s="9" t="s">
        <v>50</v>
      </c>
      <c r="B32" s="1" t="s">
        <v>71</v>
      </c>
      <c r="C32" s="12">
        <v>2013</v>
      </c>
      <c r="D32" s="1" t="s">
        <v>71</v>
      </c>
      <c r="E32" s="12"/>
      <c r="F32" s="12"/>
      <c r="G32" s="12"/>
      <c r="H32" s="12"/>
      <c r="I32" s="12"/>
      <c r="J32" s="12"/>
      <c r="K32" s="12"/>
      <c r="L32" s="12"/>
      <c r="M32" s="12"/>
      <c r="N32" s="12"/>
      <c r="O32" s="12"/>
      <c r="P32" s="12"/>
      <c r="Q32" s="12"/>
      <c r="R32" s="12"/>
      <c r="S32" s="12"/>
      <c r="T32" s="12" t="s">
        <v>72</v>
      </c>
    </row>
    <row r="33" spans="1:20" s="4" customFormat="1">
      <c r="A33" s="3" t="s">
        <v>18</v>
      </c>
      <c r="B33" s="3" t="s">
        <v>73</v>
      </c>
      <c r="C33" s="3">
        <v>2010</v>
      </c>
      <c r="D33" s="3" t="s">
        <v>8</v>
      </c>
      <c r="E33" s="3" t="s">
        <v>74</v>
      </c>
      <c r="F33" s="3" t="s">
        <v>75</v>
      </c>
      <c r="G33" s="5">
        <v>8.9490417352885163E-4</v>
      </c>
      <c r="H33" s="5">
        <v>10</v>
      </c>
      <c r="I33" s="5">
        <f t="shared" si="2"/>
        <v>8.9490417352885158E-7</v>
      </c>
      <c r="J33" s="3">
        <f>(0.01667)/(60*24)</f>
        <v>1.1576388888888889E-5</v>
      </c>
      <c r="K33" s="5">
        <f>15/(60*24)</f>
        <v>1.0416666666666666E-2</v>
      </c>
      <c r="L33" s="5">
        <f>J33*61</f>
        <v>7.0615972222222228E-4</v>
      </c>
      <c r="M33" s="13">
        <v>61</v>
      </c>
      <c r="N33" s="3">
        <v>0</v>
      </c>
      <c r="O33" s="3">
        <v>0</v>
      </c>
      <c r="P33" s="3">
        <v>0</v>
      </c>
      <c r="Q33" s="3">
        <v>0</v>
      </c>
      <c r="R33" s="5"/>
      <c r="S33" s="3" t="s">
        <v>76</v>
      </c>
      <c r="T33" s="3" t="s">
        <v>77</v>
      </c>
    </row>
    <row r="34" spans="1:20" s="4" customFormat="1">
      <c r="A34" s="3" t="s">
        <v>18</v>
      </c>
      <c r="B34" s="3" t="s">
        <v>73</v>
      </c>
      <c r="C34" s="3">
        <v>2010</v>
      </c>
      <c r="D34" s="3" t="s">
        <v>8</v>
      </c>
      <c r="E34" s="3" t="s">
        <v>74</v>
      </c>
      <c r="F34" s="3" t="s">
        <v>75</v>
      </c>
      <c r="G34" s="5">
        <v>1.1092388980384689E-3</v>
      </c>
      <c r="H34" s="5">
        <v>5</v>
      </c>
      <c r="I34" s="5">
        <f t="shared" si="2"/>
        <v>5.5461944901923441E-7</v>
      </c>
      <c r="J34" s="3">
        <f>(0.01667)/(60*24)</f>
        <v>1.1576388888888889E-5</v>
      </c>
      <c r="K34" s="5">
        <f>15/(60*24)</f>
        <v>1.0416666666666666E-2</v>
      </c>
      <c r="L34" s="5">
        <f>J34*366</f>
        <v>4.2369583333333339E-3</v>
      </c>
      <c r="M34" s="13">
        <v>366</v>
      </c>
      <c r="N34" s="3">
        <v>0</v>
      </c>
      <c r="O34" s="3">
        <v>0</v>
      </c>
      <c r="P34" s="3">
        <v>0</v>
      </c>
      <c r="Q34" s="3">
        <v>0</v>
      </c>
      <c r="R34" s="5"/>
      <c r="S34" s="3" t="s">
        <v>76</v>
      </c>
      <c r="T34" s="3" t="s">
        <v>78</v>
      </c>
    </row>
    <row r="35" spans="1:20" s="5" customFormat="1">
      <c r="A35" s="3" t="s">
        <v>18</v>
      </c>
      <c r="B35" s="3" t="s">
        <v>73</v>
      </c>
      <c r="C35" s="3">
        <v>2010</v>
      </c>
      <c r="D35" s="5" t="s">
        <v>26</v>
      </c>
      <c r="E35" s="3" t="s">
        <v>74</v>
      </c>
      <c r="F35" s="3" t="s">
        <v>75</v>
      </c>
      <c r="G35" s="5">
        <f>0.3048*0.3048</f>
        <v>9.2903040000000006E-2</v>
      </c>
      <c r="H35" s="5">
        <v>1063</v>
      </c>
      <c r="I35" s="5">
        <f t="shared" si="2"/>
        <v>9.8755931519999996E-3</v>
      </c>
      <c r="J35" s="5">
        <f>30/(60*24)</f>
        <v>2.0833333333333332E-2</v>
      </c>
      <c r="K35" s="5">
        <v>11.3</v>
      </c>
      <c r="L35" s="14">
        <f>J35*4</f>
        <v>8.3333333333333329E-2</v>
      </c>
      <c r="M35" s="13">
        <v>1217</v>
      </c>
      <c r="N35" s="3">
        <v>1</v>
      </c>
      <c r="O35" s="3">
        <v>0</v>
      </c>
      <c r="P35" s="3">
        <v>0</v>
      </c>
      <c r="Q35" s="3">
        <v>2</v>
      </c>
      <c r="S35" s="3" t="s">
        <v>79</v>
      </c>
      <c r="T35" s="3" t="s">
        <v>80</v>
      </c>
    </row>
    <row r="36" spans="1:20" s="4" customFormat="1">
      <c r="A36" s="3" t="s">
        <v>18</v>
      </c>
      <c r="B36" s="3" t="s">
        <v>73</v>
      </c>
      <c r="C36" s="3">
        <v>2010</v>
      </c>
      <c r="D36" s="5" t="s">
        <v>26</v>
      </c>
      <c r="E36" s="3" t="s">
        <v>74</v>
      </c>
      <c r="F36" s="3" t="s">
        <v>75</v>
      </c>
      <c r="G36" s="5">
        <v>3.4500000000000003E-2</v>
      </c>
      <c r="H36" s="5">
        <v>2</v>
      </c>
      <c r="I36" s="5">
        <f t="shared" si="2"/>
        <v>6.9000000000000009E-6</v>
      </c>
      <c r="J36" s="5">
        <f>1/24</f>
        <v>4.1666666666666664E-2</v>
      </c>
      <c r="K36" s="5">
        <v>2</v>
      </c>
      <c r="L36" s="14">
        <f>(J36*(1872/48))</f>
        <v>1.625</v>
      </c>
      <c r="M36" s="13">
        <v>78</v>
      </c>
      <c r="N36" s="3">
        <v>1</v>
      </c>
      <c r="O36" s="3">
        <v>0</v>
      </c>
      <c r="P36" s="3">
        <v>0</v>
      </c>
      <c r="Q36" s="3">
        <v>2</v>
      </c>
      <c r="R36" s="5"/>
      <c r="S36" s="3" t="s">
        <v>81</v>
      </c>
      <c r="T36" s="3" t="s">
        <v>82</v>
      </c>
    </row>
    <row r="37" spans="1:20" s="4" customFormat="1">
      <c r="A37" s="1" t="s">
        <v>18</v>
      </c>
      <c r="B37" s="1" t="s">
        <v>83</v>
      </c>
      <c r="C37" s="1">
        <v>2011</v>
      </c>
      <c r="D37" s="12" t="s">
        <v>84</v>
      </c>
      <c r="E37" s="12"/>
      <c r="F37" s="12"/>
      <c r="G37" s="12"/>
      <c r="H37" s="12"/>
      <c r="I37" s="12"/>
      <c r="J37" s="12"/>
      <c r="K37" s="12"/>
      <c r="L37" s="12"/>
      <c r="M37" s="12"/>
      <c r="N37" s="12"/>
      <c r="O37" s="12"/>
      <c r="P37" s="12"/>
      <c r="Q37" s="12"/>
      <c r="R37" s="12"/>
      <c r="S37" s="12"/>
      <c r="T37" s="1" t="s">
        <v>85</v>
      </c>
    </row>
    <row r="38" spans="1:20" s="4" customFormat="1">
      <c r="A38" s="1" t="s">
        <v>18</v>
      </c>
      <c r="B38" s="1" t="s">
        <v>86</v>
      </c>
      <c r="C38" s="1">
        <v>2012</v>
      </c>
      <c r="D38" s="15" t="s">
        <v>2</v>
      </c>
      <c r="E38" s="12"/>
      <c r="F38" s="12"/>
      <c r="G38" s="12"/>
      <c r="H38" s="12"/>
      <c r="I38" s="12"/>
      <c r="J38" s="12"/>
      <c r="K38" s="12"/>
      <c r="L38" s="12"/>
      <c r="M38" s="12"/>
      <c r="N38" s="12"/>
      <c r="O38" s="12"/>
      <c r="P38" s="12"/>
      <c r="Q38" s="12"/>
      <c r="R38" s="12"/>
      <c r="S38" s="12"/>
      <c r="T38" s="1" t="s">
        <v>87</v>
      </c>
    </row>
    <row r="39" spans="1:20" s="5" customFormat="1">
      <c r="A39" s="3" t="s">
        <v>24</v>
      </c>
      <c r="B39" s="3" t="s">
        <v>88</v>
      </c>
      <c r="C39" s="3">
        <v>2014</v>
      </c>
      <c r="D39" s="3" t="s">
        <v>26</v>
      </c>
      <c r="E39" s="3" t="s">
        <v>89</v>
      </c>
      <c r="F39" s="3" t="s">
        <v>90</v>
      </c>
      <c r="G39" s="5">
        <f>AVERAGE((1500*300),(PI()*(300^2)))</f>
        <v>366371.66941154073</v>
      </c>
      <c r="H39" s="5">
        <v>76</v>
      </c>
      <c r="I39" s="5">
        <f t="shared" si="2"/>
        <v>2784.4246875277095</v>
      </c>
      <c r="J39" s="5">
        <f>5/(60*24)</f>
        <v>3.472222222222222E-3</v>
      </c>
      <c r="K39" s="5">
        <v>1</v>
      </c>
      <c r="L39" s="14">
        <f>J39*1</f>
        <v>3.472222222222222E-3</v>
      </c>
      <c r="M39" s="5">
        <v>1340</v>
      </c>
      <c r="N39" s="5">
        <v>2</v>
      </c>
      <c r="O39" s="5">
        <v>0</v>
      </c>
      <c r="P39" s="5">
        <v>0</v>
      </c>
      <c r="Q39" s="5">
        <v>2</v>
      </c>
      <c r="S39" s="3" t="s">
        <v>91</v>
      </c>
      <c r="T39" s="3" t="s">
        <v>92</v>
      </c>
    </row>
    <row r="40" spans="1:20" s="4" customFormat="1" ht="15.75" customHeight="1">
      <c r="A40" s="1" t="s">
        <v>93</v>
      </c>
      <c r="B40" s="1" t="s">
        <v>94</v>
      </c>
      <c r="C40" s="1">
        <v>2009</v>
      </c>
      <c r="D40" s="15" t="s">
        <v>2</v>
      </c>
      <c r="E40" s="12"/>
      <c r="F40" s="12"/>
      <c r="G40" s="12"/>
      <c r="H40" s="12"/>
      <c r="I40" s="12"/>
      <c r="J40" s="12"/>
      <c r="K40" s="12"/>
      <c r="L40" s="12"/>
      <c r="M40" s="12"/>
      <c r="N40" s="12"/>
      <c r="O40" s="12"/>
      <c r="P40" s="12"/>
      <c r="Q40" s="12"/>
      <c r="R40" s="12"/>
      <c r="S40" s="12"/>
      <c r="T40" s="1" t="s">
        <v>87</v>
      </c>
    </row>
    <row r="41" spans="1:20" s="4" customFormat="1" ht="15.75" customHeight="1">
      <c r="A41" s="1" t="s">
        <v>95</v>
      </c>
      <c r="B41" s="1" t="s">
        <v>96</v>
      </c>
      <c r="C41" s="12">
        <v>2009</v>
      </c>
      <c r="D41" s="1" t="s">
        <v>69</v>
      </c>
      <c r="E41" s="12"/>
      <c r="F41" s="12"/>
      <c r="G41" s="12"/>
      <c r="H41" s="12"/>
      <c r="I41" s="12"/>
      <c r="J41" s="12"/>
      <c r="K41" s="12"/>
      <c r="L41" s="12"/>
      <c r="M41" s="12"/>
      <c r="N41" s="12"/>
      <c r="O41" s="12"/>
      <c r="P41" s="12"/>
      <c r="Q41" s="12"/>
      <c r="R41" s="12"/>
      <c r="S41" s="12"/>
      <c r="T41" s="1" t="s">
        <v>97</v>
      </c>
    </row>
    <row r="42" spans="1:20" s="5" customFormat="1">
      <c r="A42" s="5" t="s">
        <v>18</v>
      </c>
      <c r="B42" s="3" t="s">
        <v>98</v>
      </c>
      <c r="C42" s="5">
        <v>2008</v>
      </c>
      <c r="D42" s="3" t="s">
        <v>26</v>
      </c>
      <c r="E42" s="3" t="s">
        <v>99</v>
      </c>
      <c r="F42" s="3" t="s">
        <v>100</v>
      </c>
      <c r="G42" s="3">
        <f>(0.25*1.5)</f>
        <v>0.375</v>
      </c>
      <c r="H42" s="5">
        <v>664</v>
      </c>
      <c r="I42" s="5">
        <f t="shared" si="2"/>
        <v>2.4899999999999999E-2</v>
      </c>
      <c r="J42" s="5">
        <f>15/(60*24)</f>
        <v>1.0416666666666666E-2</v>
      </c>
      <c r="K42" s="5">
        <f>AVERAGE(120,60,91,89)</f>
        <v>90</v>
      </c>
      <c r="L42" s="14">
        <f>J42*5</f>
        <v>5.2083333333333329E-2</v>
      </c>
      <c r="M42" s="5">
        <f>515</f>
        <v>515</v>
      </c>
      <c r="N42" s="5">
        <v>2</v>
      </c>
      <c r="O42" s="5">
        <v>1</v>
      </c>
      <c r="P42" s="5">
        <v>0</v>
      </c>
      <c r="Q42" s="5">
        <v>0</v>
      </c>
      <c r="S42" s="3" t="s">
        <v>11</v>
      </c>
      <c r="T42" s="3" t="s">
        <v>101</v>
      </c>
    </row>
    <row r="43" spans="1:20" s="5" customFormat="1" ht="15.75" customHeight="1">
      <c r="A43" s="12" t="s">
        <v>95</v>
      </c>
      <c r="B43" s="1" t="s">
        <v>102</v>
      </c>
      <c r="C43" s="12">
        <v>2005</v>
      </c>
      <c r="D43" s="1" t="s">
        <v>103</v>
      </c>
      <c r="E43" s="12"/>
      <c r="F43" s="12"/>
      <c r="G43" s="12"/>
      <c r="H43" s="12"/>
      <c r="I43" s="12"/>
      <c r="J43" s="12"/>
      <c r="K43" s="12"/>
      <c r="L43" s="12"/>
      <c r="M43" s="12"/>
      <c r="N43" s="12"/>
      <c r="O43" s="12"/>
      <c r="P43" s="12"/>
      <c r="Q43" s="12"/>
      <c r="R43" s="12"/>
      <c r="S43" s="12"/>
      <c r="T43" s="1" t="s">
        <v>104</v>
      </c>
    </row>
    <row r="44" spans="1:20" s="5" customFormat="1" ht="15.75" customHeight="1">
      <c r="A44" s="12" t="s">
        <v>6</v>
      </c>
      <c r="B44" s="1" t="s">
        <v>105</v>
      </c>
      <c r="C44" s="12">
        <v>2013</v>
      </c>
      <c r="D44" s="12" t="s">
        <v>106</v>
      </c>
      <c r="E44" s="1"/>
      <c r="F44" s="12"/>
      <c r="G44" s="12"/>
      <c r="H44" s="1"/>
      <c r="I44" s="12"/>
      <c r="J44" s="12"/>
      <c r="K44" s="12"/>
      <c r="L44" s="12"/>
      <c r="M44" s="12"/>
      <c r="N44" s="12"/>
      <c r="O44" s="12"/>
      <c r="P44" s="12"/>
      <c r="Q44" s="12"/>
      <c r="R44" s="1"/>
      <c r="S44" s="12"/>
      <c r="T44" s="1" t="s">
        <v>107</v>
      </c>
    </row>
    <row r="45" spans="1:20" s="5" customFormat="1" ht="15.75" customHeight="1">
      <c r="A45" s="12" t="s">
        <v>18</v>
      </c>
      <c r="B45" s="12" t="s">
        <v>108</v>
      </c>
      <c r="C45" s="12">
        <v>2012</v>
      </c>
      <c r="D45" s="1" t="s">
        <v>2</v>
      </c>
      <c r="E45" s="12"/>
      <c r="F45" s="12"/>
      <c r="G45" s="12"/>
      <c r="H45" s="12"/>
      <c r="I45" s="12"/>
      <c r="J45" s="12"/>
      <c r="K45" s="12"/>
      <c r="L45" s="12"/>
      <c r="M45" s="12"/>
      <c r="N45" s="12"/>
      <c r="O45" s="12"/>
      <c r="P45" s="12"/>
      <c r="Q45" s="12"/>
      <c r="R45" s="12"/>
      <c r="S45" s="12"/>
      <c r="T45" s="1" t="s">
        <v>87</v>
      </c>
    </row>
    <row r="46" spans="1:20" s="5" customFormat="1" ht="15.75" customHeight="1">
      <c r="A46" s="12" t="s">
        <v>50</v>
      </c>
      <c r="B46" s="12" t="s">
        <v>109</v>
      </c>
      <c r="C46" s="12">
        <v>2005</v>
      </c>
      <c r="D46" s="1" t="s">
        <v>69</v>
      </c>
      <c r="E46" s="12"/>
      <c r="F46" s="12"/>
      <c r="G46" s="12"/>
      <c r="H46" s="12"/>
      <c r="I46" s="12"/>
      <c r="J46" s="12"/>
      <c r="K46" s="12"/>
      <c r="L46" s="12"/>
      <c r="M46" s="12"/>
      <c r="N46" s="12"/>
      <c r="O46" s="12"/>
      <c r="P46" s="12"/>
      <c r="Q46" s="12"/>
      <c r="R46" s="12"/>
      <c r="S46" s="12"/>
      <c r="T46" s="1" t="s">
        <v>110</v>
      </c>
    </row>
    <row r="47" spans="1:20" s="5" customFormat="1">
      <c r="A47" s="5" t="s">
        <v>111</v>
      </c>
      <c r="B47" s="5" t="s">
        <v>112</v>
      </c>
      <c r="C47" s="5">
        <v>2003</v>
      </c>
      <c r="D47" s="3" t="s">
        <v>26</v>
      </c>
      <c r="E47" s="5" t="s">
        <v>113</v>
      </c>
      <c r="G47" s="5">
        <v>5.0000000000000001E-4</v>
      </c>
      <c r="H47" s="14">
        <f>24+(4*17)+(15+15+10)</f>
        <v>132</v>
      </c>
      <c r="I47" s="5">
        <f t="shared" si="2"/>
        <v>6.6000000000000003E-6</v>
      </c>
      <c r="J47" s="5">
        <f>5/(60*24)</f>
        <v>3.472222222222222E-3</v>
      </c>
      <c r="K47" s="5">
        <f>AVERAGE(180,272)</f>
        <v>226</v>
      </c>
      <c r="L47" s="8">
        <f>J47*1</f>
        <v>3.472222222222222E-3</v>
      </c>
      <c r="M47" s="5">
        <v>821</v>
      </c>
      <c r="N47" s="5">
        <v>3</v>
      </c>
      <c r="O47" s="5">
        <v>0</v>
      </c>
      <c r="P47" s="5">
        <v>0</v>
      </c>
      <c r="Q47" s="5">
        <v>3</v>
      </c>
      <c r="R47" s="5" t="s">
        <v>114</v>
      </c>
      <c r="S47" s="5" t="s">
        <v>115</v>
      </c>
      <c r="T47" s="8" t="s">
        <v>116</v>
      </c>
    </row>
    <row r="48" spans="1:20" s="4" customFormat="1" ht="15.75" customHeight="1">
      <c r="A48" s="12" t="s">
        <v>95</v>
      </c>
      <c r="B48" s="12" t="s">
        <v>117</v>
      </c>
      <c r="C48" s="12">
        <v>2013</v>
      </c>
      <c r="D48" s="1" t="s">
        <v>118</v>
      </c>
      <c r="E48" s="12"/>
      <c r="F48" s="12"/>
      <c r="G48" s="12"/>
      <c r="H48" s="12"/>
      <c r="I48" s="12"/>
      <c r="J48" s="12"/>
      <c r="K48" s="12"/>
      <c r="L48" s="12"/>
      <c r="M48" s="12"/>
      <c r="N48" s="12"/>
      <c r="O48" s="12"/>
      <c r="P48" s="12"/>
      <c r="Q48" s="12"/>
      <c r="R48" s="12"/>
      <c r="S48" s="12"/>
      <c r="T48" s="1" t="s">
        <v>87</v>
      </c>
    </row>
    <row r="49" spans="1:20" s="5" customFormat="1">
      <c r="A49" s="4" t="s">
        <v>119</v>
      </c>
      <c r="B49" s="4" t="s">
        <v>120</v>
      </c>
      <c r="C49" s="4">
        <v>2013</v>
      </c>
      <c r="D49" s="4" t="s">
        <v>26</v>
      </c>
      <c r="E49" s="16" t="s">
        <v>121</v>
      </c>
      <c r="F49" s="16" t="s">
        <v>122</v>
      </c>
      <c r="G49" s="4">
        <f>50*2</f>
        <v>100</v>
      </c>
      <c r="H49" s="4">
        <v>812</v>
      </c>
      <c r="I49" s="5">
        <f t="shared" si="2"/>
        <v>8.1199999999999992</v>
      </c>
      <c r="J49" s="5">
        <f>30/(60*24)</f>
        <v>2.0833333333333332E-2</v>
      </c>
      <c r="K49" s="4">
        <f>AVERAGE(74,250,74,267,71)</f>
        <v>147.19999999999999</v>
      </c>
      <c r="L49" s="14">
        <f>J49*3</f>
        <v>6.25E-2</v>
      </c>
      <c r="M49" s="4">
        <v>844</v>
      </c>
      <c r="N49" s="4">
        <v>2</v>
      </c>
      <c r="O49" s="4">
        <v>1</v>
      </c>
      <c r="P49" s="4">
        <v>1</v>
      </c>
      <c r="Q49" s="4">
        <v>1</v>
      </c>
      <c r="R49" s="4"/>
      <c r="S49" s="16" t="s">
        <v>79</v>
      </c>
      <c r="T49" s="4" t="s">
        <v>123</v>
      </c>
    </row>
    <row r="50" spans="1:20" s="5" customFormat="1" ht="15.75" customHeight="1">
      <c r="A50" s="12" t="s">
        <v>50</v>
      </c>
      <c r="B50" s="12" t="s">
        <v>124</v>
      </c>
      <c r="C50" s="12">
        <v>2012</v>
      </c>
      <c r="D50" s="1" t="s">
        <v>125</v>
      </c>
      <c r="E50" s="12"/>
      <c r="F50" s="12"/>
      <c r="G50" s="12"/>
      <c r="H50" s="12"/>
      <c r="I50" s="12"/>
      <c r="J50" s="12"/>
      <c r="K50" s="12"/>
      <c r="L50" s="12"/>
      <c r="M50" s="12"/>
      <c r="N50" s="12"/>
      <c r="O50" s="12"/>
      <c r="P50" s="12"/>
      <c r="Q50" s="12"/>
      <c r="R50" s="12"/>
      <c r="S50" s="12"/>
      <c r="T50" s="1" t="s">
        <v>126</v>
      </c>
    </row>
    <row r="51" spans="1:20" s="4" customFormat="1" ht="15.75" customHeight="1">
      <c r="A51" s="12" t="s">
        <v>127</v>
      </c>
      <c r="B51" s="12" t="s">
        <v>128</v>
      </c>
      <c r="C51" s="12">
        <v>2010</v>
      </c>
      <c r="D51" s="1" t="s">
        <v>84</v>
      </c>
      <c r="E51" s="12"/>
      <c r="F51" s="12"/>
      <c r="G51" s="12"/>
      <c r="H51" s="12"/>
      <c r="I51" s="12"/>
      <c r="J51" s="12"/>
      <c r="K51" s="12"/>
      <c r="L51" s="12"/>
      <c r="M51" s="12"/>
      <c r="N51" s="12"/>
      <c r="O51" s="12"/>
      <c r="P51" s="12"/>
      <c r="Q51" s="12"/>
      <c r="R51" s="12"/>
      <c r="S51" s="12"/>
      <c r="T51" s="1" t="s">
        <v>129</v>
      </c>
    </row>
    <row r="52" spans="1:20" s="5" customFormat="1" ht="15.75" customHeight="1">
      <c r="A52" s="12" t="s">
        <v>130</v>
      </c>
      <c r="B52" s="12" t="s">
        <v>131</v>
      </c>
      <c r="C52" s="12">
        <v>2012</v>
      </c>
      <c r="D52" s="1" t="s">
        <v>132</v>
      </c>
      <c r="E52" s="12"/>
      <c r="F52" s="12"/>
      <c r="G52" s="12"/>
      <c r="H52" s="12"/>
      <c r="I52" s="12"/>
      <c r="J52" s="12"/>
      <c r="K52" s="12"/>
      <c r="L52" s="12"/>
      <c r="M52" s="12"/>
      <c r="N52" s="12"/>
      <c r="O52" s="12"/>
      <c r="P52" s="12"/>
      <c r="Q52" s="12"/>
      <c r="R52" s="12"/>
      <c r="S52" s="12"/>
      <c r="T52" s="1" t="s">
        <v>133</v>
      </c>
    </row>
    <row r="53" spans="1:20" s="4" customFormat="1">
      <c r="A53" s="4" t="s">
        <v>134</v>
      </c>
      <c r="B53" s="4" t="s">
        <v>135</v>
      </c>
      <c r="C53" s="4">
        <v>2011</v>
      </c>
      <c r="D53" s="16" t="s">
        <v>26</v>
      </c>
      <c r="E53" s="16" t="s">
        <v>136</v>
      </c>
      <c r="G53" s="4">
        <v>215.6</v>
      </c>
      <c r="H53" s="4">
        <v>90</v>
      </c>
      <c r="I53" s="5">
        <f t="shared" si="2"/>
        <v>1.9403999999999999</v>
      </c>
      <c r="J53" s="3">
        <f>15/(60*24)</f>
        <v>1.0416666666666666E-2</v>
      </c>
      <c r="K53" s="4">
        <f>18/(60*24)</f>
        <v>1.2500000000000001E-2</v>
      </c>
      <c r="L53" s="14">
        <f>J53*3</f>
        <v>3.125E-2</v>
      </c>
      <c r="M53" s="4">
        <v>10</v>
      </c>
      <c r="N53" s="4">
        <v>3</v>
      </c>
      <c r="O53" s="4">
        <v>3</v>
      </c>
      <c r="P53" s="4">
        <v>0</v>
      </c>
      <c r="Q53" s="5">
        <v>2</v>
      </c>
      <c r="S53" s="4" t="s">
        <v>137</v>
      </c>
      <c r="T53" s="16" t="s">
        <v>138</v>
      </c>
    </row>
    <row r="54" spans="1:20" s="5" customFormat="1">
      <c r="A54" s="5" t="s">
        <v>134</v>
      </c>
      <c r="B54" s="5" t="s">
        <v>135</v>
      </c>
      <c r="C54" s="5">
        <v>2011</v>
      </c>
      <c r="D54" s="3" t="s">
        <v>26</v>
      </c>
      <c r="E54" s="3" t="s">
        <v>136</v>
      </c>
      <c r="G54" s="5">
        <v>207.6</v>
      </c>
      <c r="H54" s="5">
        <v>60</v>
      </c>
      <c r="I54" s="5">
        <f t="shared" si="2"/>
        <v>1.2456</v>
      </c>
      <c r="J54" s="3">
        <f>15/(60*24)</f>
        <v>1.0416666666666666E-2</v>
      </c>
      <c r="K54" s="5">
        <f>18/(60*24)</f>
        <v>1.2500000000000001E-2</v>
      </c>
      <c r="L54" s="14">
        <f>J54*3</f>
        <v>3.125E-2</v>
      </c>
      <c r="M54" s="5">
        <v>10</v>
      </c>
      <c r="N54" s="5">
        <v>3</v>
      </c>
      <c r="O54" s="5">
        <v>2</v>
      </c>
      <c r="P54" s="5">
        <v>0</v>
      </c>
      <c r="Q54" s="5">
        <v>2</v>
      </c>
      <c r="S54" s="5" t="s">
        <v>137</v>
      </c>
      <c r="T54" s="17" t="s">
        <v>139</v>
      </c>
    </row>
    <row r="55" spans="1:20" s="4" customFormat="1">
      <c r="A55" s="4" t="s">
        <v>134</v>
      </c>
      <c r="B55" s="4" t="s">
        <v>135</v>
      </c>
      <c r="C55" s="4">
        <v>2011</v>
      </c>
      <c r="D55" s="16" t="s">
        <v>26</v>
      </c>
      <c r="E55" s="16" t="s">
        <v>136</v>
      </c>
      <c r="G55" s="4">
        <v>1</v>
      </c>
      <c r="H55" s="4">
        <f>(90+60)*(4)</f>
        <v>600</v>
      </c>
      <c r="I55" s="5">
        <f t="shared" si="2"/>
        <v>0.06</v>
      </c>
      <c r="J55" s="8">
        <f>5/(60*24)</f>
        <v>3.472222222222222E-3</v>
      </c>
      <c r="K55" s="4">
        <f>18/(60*24)</f>
        <v>1.2500000000000001E-2</v>
      </c>
      <c r="L55" s="14">
        <f>J55*2</f>
        <v>6.9444444444444441E-3</v>
      </c>
      <c r="M55" s="4">
        <v>10</v>
      </c>
      <c r="N55" s="4">
        <v>2</v>
      </c>
      <c r="O55" s="4">
        <v>1</v>
      </c>
      <c r="P55" s="4">
        <v>0</v>
      </c>
      <c r="Q55" s="5">
        <v>0</v>
      </c>
      <c r="S55" s="4" t="s">
        <v>137</v>
      </c>
      <c r="T55" s="14" t="s">
        <v>140</v>
      </c>
    </row>
    <row r="56" spans="1:20" s="4" customFormat="1">
      <c r="A56" s="5" t="s">
        <v>6</v>
      </c>
      <c r="B56" s="5" t="s">
        <v>141</v>
      </c>
      <c r="C56" s="5">
        <v>2013</v>
      </c>
      <c r="D56" s="3" t="s">
        <v>8</v>
      </c>
      <c r="E56" s="3" t="s">
        <v>142</v>
      </c>
      <c r="F56" s="5" t="s">
        <v>143</v>
      </c>
      <c r="G56" s="5">
        <f>PI()*(0.039)^2</f>
        <v>4.7783624261100756E-3</v>
      </c>
      <c r="H56" s="5">
        <v>2</v>
      </c>
      <c r="I56" s="5">
        <f t="shared" si="2"/>
        <v>9.5567248522201522E-7</v>
      </c>
      <c r="J56" s="3">
        <f>1/(60*24)</f>
        <v>6.9444444444444447E-4</v>
      </c>
      <c r="K56" s="3">
        <v>1</v>
      </c>
      <c r="L56" s="5">
        <v>1</v>
      </c>
      <c r="M56" s="5">
        <v>31</v>
      </c>
      <c r="N56" s="5">
        <v>0</v>
      </c>
      <c r="O56" s="5">
        <v>0</v>
      </c>
      <c r="P56" s="5">
        <v>1</v>
      </c>
      <c r="Q56" s="5">
        <v>0</v>
      </c>
      <c r="R56" s="5"/>
      <c r="S56" s="5" t="s">
        <v>144</v>
      </c>
      <c r="T56" s="5" t="s">
        <v>145</v>
      </c>
    </row>
    <row r="57" spans="1:20" s="4" customFormat="1">
      <c r="A57" s="5" t="s">
        <v>6</v>
      </c>
      <c r="B57" s="5" t="s">
        <v>141</v>
      </c>
      <c r="C57" s="5">
        <v>2013</v>
      </c>
      <c r="D57" s="3" t="s">
        <v>8</v>
      </c>
      <c r="E57" s="3" t="s">
        <v>142</v>
      </c>
      <c r="F57" s="5" t="s">
        <v>143</v>
      </c>
      <c r="G57" s="5">
        <f>PI()*(0.1)^2</f>
        <v>3.1415926535897934E-2</v>
      </c>
      <c r="H57" s="5">
        <f>(2*10)</f>
        <v>20</v>
      </c>
      <c r="I57" s="5">
        <f t="shared" si="2"/>
        <v>6.2831853071795856E-5</v>
      </c>
      <c r="J57" s="3">
        <f>5/(60*24)</f>
        <v>3.472222222222222E-3</v>
      </c>
      <c r="K57" s="5">
        <f>30/(60*24)</f>
        <v>2.0833333333333332E-2</v>
      </c>
      <c r="L57" s="5">
        <v>1</v>
      </c>
      <c r="M57" s="5">
        <v>31</v>
      </c>
      <c r="N57" s="5">
        <v>2</v>
      </c>
      <c r="O57" s="5">
        <v>1</v>
      </c>
      <c r="P57" s="5">
        <v>2</v>
      </c>
      <c r="Q57" s="5">
        <v>3</v>
      </c>
      <c r="R57" s="5"/>
      <c r="S57" s="5" t="s">
        <v>144</v>
      </c>
      <c r="T57" s="5" t="s">
        <v>146</v>
      </c>
    </row>
    <row r="58" spans="1:20" s="5" customFormat="1" ht="15.75" customHeight="1">
      <c r="A58" s="12" t="s">
        <v>134</v>
      </c>
      <c r="B58" s="12" t="s">
        <v>147</v>
      </c>
      <c r="C58" s="12">
        <v>2013</v>
      </c>
      <c r="D58" s="1" t="s">
        <v>118</v>
      </c>
      <c r="E58" s="12"/>
      <c r="F58" s="12"/>
      <c r="G58" s="12"/>
      <c r="H58" s="12"/>
      <c r="I58" s="12"/>
      <c r="J58" s="12"/>
      <c r="K58" s="12"/>
      <c r="L58" s="12"/>
      <c r="M58" s="12"/>
      <c r="N58" s="12"/>
      <c r="O58" s="12"/>
      <c r="P58" s="12"/>
      <c r="Q58" s="12"/>
      <c r="R58" s="12"/>
      <c r="S58" s="12"/>
      <c r="T58" s="1" t="s">
        <v>148</v>
      </c>
    </row>
    <row r="59" spans="1:20" s="5" customFormat="1" ht="15.75" customHeight="1">
      <c r="A59" s="12" t="s">
        <v>149</v>
      </c>
      <c r="B59" s="12" t="s">
        <v>150</v>
      </c>
      <c r="C59" s="12">
        <v>2010</v>
      </c>
      <c r="D59" s="1" t="s">
        <v>69</v>
      </c>
      <c r="E59" s="12"/>
      <c r="F59" s="12"/>
      <c r="G59" s="12"/>
      <c r="H59" s="12"/>
      <c r="I59" s="12"/>
      <c r="J59" s="12"/>
      <c r="K59" s="12"/>
      <c r="L59" s="12"/>
      <c r="M59" s="12"/>
      <c r="N59" s="12"/>
      <c r="O59" s="12"/>
      <c r="P59" s="12"/>
      <c r="Q59" s="12"/>
      <c r="R59" s="12"/>
      <c r="S59" s="12"/>
      <c r="T59" s="15" t="s">
        <v>151</v>
      </c>
    </row>
    <row r="60" spans="1:20" s="5" customFormat="1" ht="15.75" customHeight="1">
      <c r="A60" s="12" t="s">
        <v>6</v>
      </c>
      <c r="B60" s="1" t="s">
        <v>152</v>
      </c>
      <c r="C60" s="12">
        <v>2014</v>
      </c>
      <c r="D60" s="1" t="s">
        <v>118</v>
      </c>
      <c r="E60" s="12"/>
      <c r="F60" s="12"/>
      <c r="G60" s="12"/>
      <c r="H60" s="12"/>
      <c r="I60" s="12"/>
      <c r="J60" s="12"/>
      <c r="K60" s="12"/>
      <c r="L60" s="12"/>
      <c r="M60" s="12"/>
      <c r="N60" s="12"/>
      <c r="O60" s="12"/>
      <c r="P60" s="12"/>
      <c r="Q60" s="12"/>
      <c r="R60" s="12"/>
      <c r="S60" s="12"/>
      <c r="T60" s="1" t="s">
        <v>153</v>
      </c>
    </row>
    <row r="61" spans="1:20" s="5" customFormat="1" ht="15.75" customHeight="1">
      <c r="A61" s="12" t="s">
        <v>119</v>
      </c>
      <c r="B61" s="12" t="s">
        <v>154</v>
      </c>
      <c r="C61" s="12">
        <v>2006</v>
      </c>
      <c r="D61" s="1" t="s">
        <v>118</v>
      </c>
      <c r="E61" s="12"/>
      <c r="F61" s="12"/>
      <c r="G61" s="12"/>
      <c r="H61" s="12"/>
      <c r="I61" s="12"/>
      <c r="J61" s="12"/>
      <c r="K61" s="12"/>
      <c r="L61" s="12"/>
      <c r="M61" s="12"/>
      <c r="N61" s="12"/>
      <c r="O61" s="12"/>
      <c r="P61" s="12"/>
      <c r="Q61" s="12"/>
      <c r="R61" s="12"/>
      <c r="S61" s="12"/>
      <c r="T61" s="1" t="s">
        <v>155</v>
      </c>
    </row>
    <row r="62" spans="1:20" s="4" customFormat="1">
      <c r="A62" s="5" t="s">
        <v>95</v>
      </c>
      <c r="B62" s="5" t="s">
        <v>156</v>
      </c>
      <c r="C62" s="5">
        <v>2012</v>
      </c>
      <c r="D62" s="3" t="s">
        <v>26</v>
      </c>
      <c r="E62" s="3" t="s">
        <v>157</v>
      </c>
      <c r="F62" s="3" t="s">
        <v>158</v>
      </c>
      <c r="G62" s="5">
        <f>10*10</f>
        <v>100</v>
      </c>
      <c r="H62" s="5">
        <f>4*3</f>
        <v>12</v>
      </c>
      <c r="I62" s="5">
        <f t="shared" si="2"/>
        <v>0.12</v>
      </c>
      <c r="J62" s="5">
        <f>1/24</f>
        <v>4.1666666666666664E-2</v>
      </c>
      <c r="K62" s="5">
        <f>30*11</f>
        <v>330</v>
      </c>
      <c r="L62" s="14">
        <f>J62*3</f>
        <v>0.125</v>
      </c>
      <c r="M62" s="5">
        <f>365*3</f>
        <v>1095</v>
      </c>
      <c r="N62" s="5">
        <v>2</v>
      </c>
      <c r="O62" s="5">
        <v>2</v>
      </c>
      <c r="P62" s="5">
        <v>1</v>
      </c>
      <c r="Q62" s="5">
        <v>1</v>
      </c>
      <c r="R62" s="5"/>
      <c r="S62" s="3" t="s">
        <v>159</v>
      </c>
      <c r="T62" s="3" t="s">
        <v>160</v>
      </c>
    </row>
    <row r="63" spans="1:20" s="4" customFormat="1">
      <c r="A63" s="5" t="s">
        <v>95</v>
      </c>
      <c r="B63" s="5" t="s">
        <v>156</v>
      </c>
      <c r="C63" s="5">
        <v>2012</v>
      </c>
      <c r="D63" s="3" t="s">
        <v>8</v>
      </c>
      <c r="E63" s="3" t="s">
        <v>157</v>
      </c>
      <c r="F63" s="3" t="s">
        <v>158</v>
      </c>
      <c r="G63" s="5">
        <f>PI()*(0.03/2)^2</f>
        <v>7.0685834705770342E-4</v>
      </c>
      <c r="H63" s="5">
        <f>4*2</f>
        <v>8</v>
      </c>
      <c r="I63" s="5">
        <f t="shared" si="2"/>
        <v>5.6548667764616277E-7</v>
      </c>
      <c r="J63" s="5">
        <f>1/(60*24)</f>
        <v>6.9444444444444447E-4</v>
      </c>
      <c r="K63" s="5">
        <f>1/24</f>
        <v>4.1666666666666664E-2</v>
      </c>
      <c r="L63" s="5">
        <f>J63*1577000</f>
        <v>1095.1388888888889</v>
      </c>
      <c r="M63" s="5">
        <v>30</v>
      </c>
      <c r="N63" s="5">
        <v>0</v>
      </c>
      <c r="O63" s="5">
        <v>0</v>
      </c>
      <c r="P63" s="5">
        <v>0</v>
      </c>
      <c r="Q63" s="5">
        <v>0</v>
      </c>
      <c r="R63" s="5"/>
      <c r="S63" s="3" t="s">
        <v>161</v>
      </c>
      <c r="T63" s="3" t="s">
        <v>162</v>
      </c>
    </row>
    <row r="64" spans="1:20" s="4" customFormat="1">
      <c r="A64" s="5" t="s">
        <v>95</v>
      </c>
      <c r="B64" s="5" t="s">
        <v>156</v>
      </c>
      <c r="C64" s="5">
        <v>2012</v>
      </c>
      <c r="D64" s="3" t="s">
        <v>8</v>
      </c>
      <c r="E64" s="3" t="s">
        <v>157</v>
      </c>
      <c r="F64" s="3" t="s">
        <v>158</v>
      </c>
      <c r="G64" s="5">
        <f>PI()*(0.142/2)^2</f>
        <v>1.5836768566746144E-2</v>
      </c>
      <c r="H64" s="5">
        <f>2*2</f>
        <v>4</v>
      </c>
      <c r="I64" s="5">
        <f t="shared" si="2"/>
        <v>6.3347074266984576E-6</v>
      </c>
      <c r="J64" s="5">
        <f>(1/60)/(60*24)</f>
        <v>1.1574074074074073E-5</v>
      </c>
      <c r="K64" s="5">
        <f>1/24</f>
        <v>4.1666666666666664E-2</v>
      </c>
      <c r="L64" s="5">
        <v>1</v>
      </c>
      <c r="M64" s="5">
        <f>365*3</f>
        <v>1095</v>
      </c>
      <c r="N64" s="5">
        <v>0</v>
      </c>
      <c r="O64" s="5">
        <v>0</v>
      </c>
      <c r="P64" s="5">
        <v>1</v>
      </c>
      <c r="Q64" s="5">
        <v>0</v>
      </c>
      <c r="R64" s="5"/>
      <c r="S64" s="3" t="s">
        <v>163</v>
      </c>
      <c r="T64" s="3" t="s">
        <v>164</v>
      </c>
    </row>
    <row r="65" spans="1:20" s="4" customFormat="1">
      <c r="A65" s="5" t="s">
        <v>95</v>
      </c>
      <c r="B65" s="5" t="s">
        <v>156</v>
      </c>
      <c r="C65" s="5">
        <v>2012</v>
      </c>
      <c r="D65" s="3" t="s">
        <v>8</v>
      </c>
      <c r="E65" s="3" t="s">
        <v>157</v>
      </c>
      <c r="F65" s="3" t="s">
        <v>158</v>
      </c>
      <c r="G65" s="5">
        <f>2*(0.01206)</f>
        <v>2.4119999999999999E-2</v>
      </c>
      <c r="H65" s="5">
        <f>4*4</f>
        <v>16</v>
      </c>
      <c r="I65" s="5">
        <f t="shared" si="2"/>
        <v>3.8591999999999999E-5</v>
      </c>
      <c r="J65" s="5">
        <f>(0.01/60)/(60*24)</f>
        <v>1.1574074074074074E-7</v>
      </c>
      <c r="K65" s="5">
        <f>1/24</f>
        <v>4.1666666666666664E-2</v>
      </c>
      <c r="L65" s="5">
        <v>1</v>
      </c>
      <c r="M65" s="5">
        <f>365*3</f>
        <v>1095</v>
      </c>
      <c r="N65" s="5">
        <v>0</v>
      </c>
      <c r="O65" s="5">
        <v>0</v>
      </c>
      <c r="P65" s="5">
        <v>1</v>
      </c>
      <c r="Q65" s="5">
        <v>0</v>
      </c>
      <c r="R65" s="5"/>
      <c r="S65" s="3" t="s">
        <v>165</v>
      </c>
      <c r="T65" s="3" t="s">
        <v>166</v>
      </c>
    </row>
    <row r="66" spans="1:20" s="4" customFormat="1">
      <c r="A66" s="5" t="s">
        <v>95</v>
      </c>
      <c r="B66" s="5" t="s">
        <v>156</v>
      </c>
      <c r="C66" s="5">
        <v>2012</v>
      </c>
      <c r="D66" s="3" t="s">
        <v>26</v>
      </c>
      <c r="E66" s="3" t="s">
        <v>157</v>
      </c>
      <c r="F66" s="3" t="s">
        <v>158</v>
      </c>
      <c r="G66" s="5">
        <v>0.5292</v>
      </c>
      <c r="H66" s="5">
        <f>2*2</f>
        <v>4</v>
      </c>
      <c r="I66" s="5">
        <f t="shared" si="2"/>
        <v>2.1168000000000001E-4</v>
      </c>
      <c r="J66" s="5">
        <f>(1/60)/(60*24)</f>
        <v>1.1574074074074073E-5</v>
      </c>
      <c r="K66" s="5">
        <v>0</v>
      </c>
      <c r="L66" s="5">
        <v>1</v>
      </c>
      <c r="M66" s="5">
        <v>30</v>
      </c>
      <c r="N66" s="5">
        <v>2</v>
      </c>
      <c r="O66" s="5">
        <v>1</v>
      </c>
      <c r="P66" s="5">
        <v>0</v>
      </c>
      <c r="Q66" s="5">
        <v>1</v>
      </c>
      <c r="R66" s="5"/>
      <c r="S66" s="3" t="s">
        <v>161</v>
      </c>
      <c r="T66" s="3" t="s">
        <v>167</v>
      </c>
    </row>
    <row r="67" spans="1:20" s="4" customFormat="1">
      <c r="A67" s="5" t="s">
        <v>95</v>
      </c>
      <c r="B67" s="5" t="s">
        <v>156</v>
      </c>
      <c r="C67" s="5">
        <v>2012</v>
      </c>
      <c r="D67" s="3" t="s">
        <v>26</v>
      </c>
      <c r="E67" s="3" t="s">
        <v>157</v>
      </c>
      <c r="F67" s="3" t="s">
        <v>158</v>
      </c>
      <c r="G67" s="5">
        <v>1E-3</v>
      </c>
      <c r="H67" s="5">
        <v>4</v>
      </c>
      <c r="I67" s="5">
        <f t="shared" si="2"/>
        <v>3.9999999999999998E-7</v>
      </c>
      <c r="J67" s="5">
        <f>1/(60*24)</f>
        <v>6.9444444444444447E-4</v>
      </c>
      <c r="K67" s="5">
        <v>0</v>
      </c>
      <c r="L67" s="5">
        <v>1</v>
      </c>
      <c r="M67" s="5">
        <v>30</v>
      </c>
      <c r="N67" s="5">
        <v>2</v>
      </c>
      <c r="O67" s="5">
        <v>1</v>
      </c>
      <c r="P67" s="5">
        <v>0</v>
      </c>
      <c r="Q67" s="5">
        <v>1</v>
      </c>
      <c r="R67" s="5"/>
      <c r="S67" s="3" t="s">
        <v>168</v>
      </c>
      <c r="T67" s="3" t="s">
        <v>169</v>
      </c>
    </row>
    <row r="68" spans="1:20" s="4" customFormat="1">
      <c r="A68" s="5" t="s">
        <v>95</v>
      </c>
      <c r="B68" s="5" t="s">
        <v>156</v>
      </c>
      <c r="C68" s="5">
        <v>2012</v>
      </c>
      <c r="D68" s="3" t="s">
        <v>26</v>
      </c>
      <c r="E68" s="3" t="s">
        <v>157</v>
      </c>
      <c r="F68" s="3" t="s">
        <v>158</v>
      </c>
      <c r="G68" s="5">
        <v>0.25</v>
      </c>
      <c r="H68" s="5">
        <f>4*6</f>
        <v>24</v>
      </c>
      <c r="I68" s="5">
        <f t="shared" si="2"/>
        <v>5.9999999999999995E-4</v>
      </c>
      <c r="J68" s="5">
        <v>1</v>
      </c>
      <c r="K68" s="5">
        <f>9*30</f>
        <v>270</v>
      </c>
      <c r="L68" s="5">
        <f>3*(30+(2*31))</f>
        <v>276</v>
      </c>
      <c r="M68" s="5">
        <f>365*3</f>
        <v>1095</v>
      </c>
      <c r="N68" s="5">
        <v>2</v>
      </c>
      <c r="O68" s="5">
        <v>1</v>
      </c>
      <c r="P68" s="5">
        <v>1</v>
      </c>
      <c r="Q68" s="5">
        <v>1</v>
      </c>
      <c r="R68" s="5"/>
      <c r="S68" s="3" t="s">
        <v>170</v>
      </c>
      <c r="T68" s="3" t="s">
        <v>171</v>
      </c>
    </row>
    <row r="69" spans="1:20" s="4" customFormat="1">
      <c r="A69" s="5" t="s">
        <v>95</v>
      </c>
      <c r="B69" s="5" t="s">
        <v>156</v>
      </c>
      <c r="C69" s="5">
        <v>2012</v>
      </c>
      <c r="D69" s="3" t="s">
        <v>26</v>
      </c>
      <c r="E69" s="3" t="s">
        <v>157</v>
      </c>
      <c r="F69" s="3" t="s">
        <v>158</v>
      </c>
      <c r="G69" s="5">
        <f>PI()*(0.035/2)^2</f>
        <v>9.6211275016187424E-4</v>
      </c>
      <c r="H69" s="5">
        <f>4*40</f>
        <v>160</v>
      </c>
      <c r="I69" s="5">
        <f t="shared" si="2"/>
        <v>1.5393804002589989E-5</v>
      </c>
      <c r="J69" s="5">
        <f>5/(60*24)</f>
        <v>3.472222222222222E-3</v>
      </c>
      <c r="K69" s="3">
        <f>20/(60*24)</f>
        <v>1.3888888888888888E-2</v>
      </c>
      <c r="L69" s="14">
        <f>J69*3</f>
        <v>1.0416666666666666E-2</v>
      </c>
      <c r="M69" s="5">
        <v>30</v>
      </c>
      <c r="N69" s="5">
        <v>2</v>
      </c>
      <c r="O69" s="5">
        <v>1</v>
      </c>
      <c r="P69" s="5">
        <v>2</v>
      </c>
      <c r="Q69" s="5">
        <v>0</v>
      </c>
      <c r="R69" s="5"/>
      <c r="S69" s="3" t="s">
        <v>172</v>
      </c>
      <c r="T69" s="3" t="s">
        <v>173</v>
      </c>
    </row>
    <row r="70" spans="1:20" s="4" customFormat="1">
      <c r="A70" s="5" t="s">
        <v>95</v>
      </c>
      <c r="B70" s="5" t="s">
        <v>156</v>
      </c>
      <c r="C70" s="5">
        <v>2012</v>
      </c>
      <c r="D70" s="3" t="s">
        <v>8</v>
      </c>
      <c r="E70" s="3" t="s">
        <v>157</v>
      </c>
      <c r="F70" s="3" t="s">
        <v>158</v>
      </c>
      <c r="G70" s="5">
        <f>PI()*(0.2/2)^2</f>
        <v>3.1415926535897934E-2</v>
      </c>
      <c r="H70" s="5">
        <f>12*4</f>
        <v>48</v>
      </c>
      <c r="I70" s="5">
        <f t="shared" si="2"/>
        <v>1.5079644737231009E-4</v>
      </c>
      <c r="J70" s="5">
        <f>1/(60*24)</f>
        <v>6.9444444444444447E-4</v>
      </c>
      <c r="K70" s="5">
        <f>21</f>
        <v>21</v>
      </c>
      <c r="L70" s="5">
        <f>J70*((51+1)*2)</f>
        <v>7.2222222222222229E-2</v>
      </c>
      <c r="M70" s="5">
        <f>334</f>
        <v>334</v>
      </c>
      <c r="N70" s="5">
        <v>2</v>
      </c>
      <c r="O70" s="5">
        <v>1</v>
      </c>
      <c r="P70" s="5">
        <v>2</v>
      </c>
      <c r="Q70" s="5">
        <v>0</v>
      </c>
      <c r="R70" s="5"/>
      <c r="S70" s="3" t="s">
        <v>174</v>
      </c>
      <c r="T70" s="3" t="s">
        <v>175</v>
      </c>
    </row>
    <row r="71" spans="1:20" s="4" customFormat="1">
      <c r="A71" s="5" t="s">
        <v>95</v>
      </c>
      <c r="B71" s="5" t="s">
        <v>156</v>
      </c>
      <c r="C71" s="5">
        <v>2012</v>
      </c>
      <c r="D71" s="3" t="s">
        <v>26</v>
      </c>
      <c r="E71" s="3" t="s">
        <v>157</v>
      </c>
      <c r="F71" s="3" t="s">
        <v>158</v>
      </c>
      <c r="G71" s="5">
        <f>2*PI()*(0.003)*(0.003+0.1)</f>
        <v>1.9415042599184923E-3</v>
      </c>
      <c r="H71" s="5">
        <f>12*4</f>
        <v>48</v>
      </c>
      <c r="I71" s="5">
        <f t="shared" si="2"/>
        <v>9.3192204476087624E-6</v>
      </c>
      <c r="J71" s="5">
        <f>1/(60*24)</f>
        <v>6.9444444444444447E-4</v>
      </c>
      <c r="K71" s="5">
        <f>21</f>
        <v>21</v>
      </c>
      <c r="L71" s="5">
        <f>J71*(51)</f>
        <v>3.5416666666666666E-2</v>
      </c>
      <c r="M71" s="5">
        <f>334</f>
        <v>334</v>
      </c>
      <c r="N71" s="5">
        <v>0</v>
      </c>
      <c r="O71" s="5">
        <v>0</v>
      </c>
      <c r="P71" s="5">
        <v>0</v>
      </c>
      <c r="Q71" s="5">
        <v>0</v>
      </c>
      <c r="R71" s="5"/>
      <c r="S71" s="3" t="s">
        <v>176</v>
      </c>
      <c r="T71" s="3" t="s">
        <v>177</v>
      </c>
    </row>
    <row r="72" spans="1:20" s="4" customFormat="1">
      <c r="A72" s="5" t="s">
        <v>95</v>
      </c>
      <c r="B72" s="5" t="s">
        <v>156</v>
      </c>
      <c r="C72" s="5">
        <v>2012</v>
      </c>
      <c r="D72" s="3" t="s">
        <v>26</v>
      </c>
      <c r="E72" s="3" t="s">
        <v>157</v>
      </c>
      <c r="F72" s="3" t="s">
        <v>158</v>
      </c>
      <c r="G72" s="5">
        <f>3*(2*PI()*(0.04)*(0.04+0.17))</f>
        <v>0.1583362697409256</v>
      </c>
      <c r="H72" s="5">
        <f>12*4</f>
        <v>48</v>
      </c>
      <c r="I72" s="5">
        <f t="shared" si="2"/>
        <v>7.6001409475644286E-4</v>
      </c>
      <c r="J72" s="5">
        <f>1/(60*24)</f>
        <v>6.9444444444444447E-4</v>
      </c>
      <c r="K72" s="5">
        <f>21</f>
        <v>21</v>
      </c>
      <c r="L72" s="5">
        <f>J72*(51)</f>
        <v>3.5416666666666666E-2</v>
      </c>
      <c r="M72" s="5">
        <f>334</f>
        <v>334</v>
      </c>
      <c r="N72" s="5">
        <v>0</v>
      </c>
      <c r="O72" s="5">
        <v>0</v>
      </c>
      <c r="P72" s="5">
        <v>1</v>
      </c>
      <c r="Q72" s="5">
        <v>0</v>
      </c>
      <c r="R72" s="5"/>
      <c r="S72" s="3" t="s">
        <v>176</v>
      </c>
      <c r="T72" s="3" t="s">
        <v>178</v>
      </c>
    </row>
    <row r="73" spans="1:20" s="4" customFormat="1">
      <c r="A73" s="5" t="s">
        <v>95</v>
      </c>
      <c r="B73" s="5" t="s">
        <v>156</v>
      </c>
      <c r="C73" s="5">
        <v>2012</v>
      </c>
      <c r="D73" s="3" t="s">
        <v>8</v>
      </c>
      <c r="E73" s="3" t="s">
        <v>157</v>
      </c>
      <c r="F73" s="3" t="s">
        <v>158</v>
      </c>
      <c r="G73" s="5">
        <f>PI()*(0.2/2)^2</f>
        <v>3.1415926535897934E-2</v>
      </c>
      <c r="H73" s="5">
        <f>4+7</f>
        <v>11</v>
      </c>
      <c r="I73" s="5">
        <f t="shared" si="2"/>
        <v>3.4557519189487729E-5</v>
      </c>
      <c r="J73" s="5">
        <f>1/(60*24)</f>
        <v>6.9444444444444447E-4</v>
      </c>
      <c r="K73" s="5">
        <f>62/4</f>
        <v>15.5</v>
      </c>
      <c r="L73" s="14">
        <f>J73*4</f>
        <v>2.7777777777777779E-3</v>
      </c>
      <c r="M73" s="5">
        <f>31*2</f>
        <v>62</v>
      </c>
      <c r="N73" s="5">
        <v>2</v>
      </c>
      <c r="O73" s="5">
        <v>1</v>
      </c>
      <c r="P73" s="5">
        <v>2</v>
      </c>
      <c r="Q73" s="5">
        <v>0</v>
      </c>
      <c r="R73" s="5"/>
      <c r="S73" s="3" t="s">
        <v>179</v>
      </c>
      <c r="T73" s="3" t="s">
        <v>180</v>
      </c>
    </row>
    <row r="74" spans="1:20" s="4" customFormat="1">
      <c r="A74" s="5" t="s">
        <v>95</v>
      </c>
      <c r="B74" s="5" t="s">
        <v>156</v>
      </c>
      <c r="C74" s="5">
        <v>2012</v>
      </c>
      <c r="D74" s="3" t="s">
        <v>26</v>
      </c>
      <c r="E74" s="3" t="s">
        <v>157</v>
      </c>
      <c r="F74" s="3" t="s">
        <v>158</v>
      </c>
      <c r="G74" s="5">
        <f>PI()*(0.035/2)^2</f>
        <v>9.6211275016187424E-4</v>
      </c>
      <c r="H74" s="14">
        <f>4*2*6</f>
        <v>48</v>
      </c>
      <c r="I74" s="5">
        <f t="shared" si="2"/>
        <v>4.6181412007769963E-6</v>
      </c>
      <c r="J74" s="5">
        <f>5/(60*24)</f>
        <v>3.472222222222222E-3</v>
      </c>
      <c r="K74" s="5">
        <f>1/24</f>
        <v>4.1666666666666664E-2</v>
      </c>
      <c r="L74" s="14">
        <f>J74*1</f>
        <v>3.472222222222222E-3</v>
      </c>
      <c r="M74" s="5">
        <v>31</v>
      </c>
      <c r="N74" s="5">
        <v>1</v>
      </c>
      <c r="O74" s="5">
        <v>1</v>
      </c>
      <c r="P74" s="5">
        <v>2</v>
      </c>
      <c r="Q74" s="5">
        <v>0</v>
      </c>
      <c r="R74" s="5"/>
      <c r="S74" s="3" t="s">
        <v>172</v>
      </c>
      <c r="T74" s="3" t="s">
        <v>181</v>
      </c>
    </row>
    <row r="75" spans="1:20" s="5" customFormat="1">
      <c r="A75" s="5" t="s">
        <v>18</v>
      </c>
      <c r="B75" s="5" t="s">
        <v>182</v>
      </c>
      <c r="C75" s="5">
        <v>2007</v>
      </c>
      <c r="D75" s="3" t="s">
        <v>26</v>
      </c>
      <c r="E75" s="3" t="s">
        <v>183</v>
      </c>
      <c r="F75" s="3" t="s">
        <v>184</v>
      </c>
      <c r="G75" s="3">
        <f>PI()*(0.0508/2)^2</f>
        <v>2.0268299163899908E-3</v>
      </c>
      <c r="H75" s="5">
        <v>4</v>
      </c>
      <c r="I75" s="5">
        <f t="shared" si="2"/>
        <v>8.1073196655599628E-7</v>
      </c>
      <c r="J75" s="5">
        <f>2/(60*24)</f>
        <v>1.3888888888888889E-3</v>
      </c>
      <c r="K75" s="5">
        <f>1/24</f>
        <v>4.1666666666666664E-2</v>
      </c>
      <c r="L75" s="14">
        <f>J75*2</f>
        <v>2.7777777777777779E-3</v>
      </c>
      <c r="M75" s="5">
        <v>30</v>
      </c>
      <c r="N75" s="5">
        <v>3</v>
      </c>
      <c r="O75" s="5">
        <v>1</v>
      </c>
      <c r="P75" s="5">
        <v>0</v>
      </c>
      <c r="Q75" s="5">
        <v>3</v>
      </c>
      <c r="S75" s="3" t="s">
        <v>185</v>
      </c>
      <c r="T75" s="3" t="s">
        <v>186</v>
      </c>
    </row>
    <row r="76" spans="1:20" s="5" customFormat="1">
      <c r="A76" s="5" t="s">
        <v>18</v>
      </c>
      <c r="B76" s="5" t="s">
        <v>182</v>
      </c>
      <c r="C76" s="5">
        <v>2007</v>
      </c>
      <c r="D76" s="3" t="s">
        <v>26</v>
      </c>
      <c r="E76" s="3" t="s">
        <v>187</v>
      </c>
      <c r="F76" s="3" t="s">
        <v>184</v>
      </c>
      <c r="G76" s="3">
        <f>PI()*(0.1/2)^2</f>
        <v>7.8539816339744835E-3</v>
      </c>
      <c r="H76" s="5">
        <v>1</v>
      </c>
      <c r="I76" s="5">
        <f t="shared" si="2"/>
        <v>7.8539816339744833E-7</v>
      </c>
      <c r="J76" s="5">
        <f>5/(60*24)</f>
        <v>3.472222222222222E-3</v>
      </c>
      <c r="K76" s="5">
        <f>1/24</f>
        <v>4.1666666666666664E-2</v>
      </c>
      <c r="L76" s="5">
        <f>15</f>
        <v>15</v>
      </c>
      <c r="M76" s="5">
        <v>30</v>
      </c>
      <c r="N76" s="5">
        <v>3</v>
      </c>
      <c r="O76" s="5">
        <v>0</v>
      </c>
      <c r="P76" s="5">
        <v>0</v>
      </c>
      <c r="Q76" s="5">
        <v>3</v>
      </c>
      <c r="R76" s="3" t="s">
        <v>188</v>
      </c>
      <c r="S76" s="3" t="s">
        <v>189</v>
      </c>
      <c r="T76" s="3" t="s">
        <v>190</v>
      </c>
    </row>
    <row r="77" spans="1:20" s="5" customFormat="1">
      <c r="A77" s="5" t="s">
        <v>18</v>
      </c>
      <c r="B77" s="5" t="s">
        <v>182</v>
      </c>
      <c r="C77" s="5">
        <v>2007</v>
      </c>
      <c r="D77" s="3" t="s">
        <v>26</v>
      </c>
      <c r="E77" s="3" t="s">
        <v>191</v>
      </c>
      <c r="F77" s="3" t="s">
        <v>184</v>
      </c>
      <c r="G77" s="3">
        <f>PI()*(0.0508/2)^2</f>
        <v>2.0268299163899908E-3</v>
      </c>
      <c r="H77" s="5">
        <v>1</v>
      </c>
      <c r="I77" s="5">
        <f t="shared" si="2"/>
        <v>2.0268299163899907E-7</v>
      </c>
      <c r="J77" s="5">
        <f>1/(60*24)</f>
        <v>6.9444444444444447E-4</v>
      </c>
      <c r="K77" s="5">
        <f>1/24</f>
        <v>4.1666666666666664E-2</v>
      </c>
      <c r="L77" s="5">
        <v>15</v>
      </c>
      <c r="M77" s="5">
        <v>30</v>
      </c>
      <c r="N77" s="5">
        <v>3</v>
      </c>
      <c r="O77" s="5">
        <v>0</v>
      </c>
      <c r="P77" s="5">
        <v>0</v>
      </c>
      <c r="Q77" s="5">
        <v>3</v>
      </c>
      <c r="R77" s="3" t="s">
        <v>188</v>
      </c>
      <c r="S77" s="3" t="s">
        <v>189</v>
      </c>
      <c r="T77" s="3" t="s">
        <v>192</v>
      </c>
    </row>
    <row r="78" spans="1:20" s="5" customFormat="1">
      <c r="A78" s="5" t="s">
        <v>18</v>
      </c>
      <c r="B78" s="5" t="s">
        <v>182</v>
      </c>
      <c r="C78" s="5">
        <v>2007</v>
      </c>
      <c r="D78" s="3" t="s">
        <v>26</v>
      </c>
      <c r="E78" s="3" t="s">
        <v>193</v>
      </c>
      <c r="F78" s="3" t="s">
        <v>184</v>
      </c>
      <c r="G78" s="3">
        <f>PI()*(0.0508/2)^2</f>
        <v>2.0268299163899908E-3</v>
      </c>
      <c r="H78" s="5">
        <v>4</v>
      </c>
      <c r="I78" s="5">
        <f t="shared" si="2"/>
        <v>8.1073196655599628E-7</v>
      </c>
      <c r="J78" s="5">
        <f>1/(60*24)</f>
        <v>6.9444444444444447E-4</v>
      </c>
      <c r="K78" s="5">
        <f>1/24</f>
        <v>4.1666666666666664E-2</v>
      </c>
      <c r="L78" s="5">
        <f>J78*1</f>
        <v>6.9444444444444447E-4</v>
      </c>
      <c r="M78" s="5">
        <f>31</f>
        <v>31</v>
      </c>
      <c r="N78" s="5">
        <v>3</v>
      </c>
      <c r="O78" s="5">
        <v>0</v>
      </c>
      <c r="P78" s="5">
        <v>0</v>
      </c>
      <c r="Q78" s="5">
        <v>3</v>
      </c>
      <c r="R78" s="3" t="s">
        <v>194</v>
      </c>
      <c r="S78" s="3" t="s">
        <v>195</v>
      </c>
      <c r="T78" s="3" t="s">
        <v>196</v>
      </c>
    </row>
    <row r="79" spans="1:20" s="5" customFormat="1">
      <c r="A79" s="5" t="s">
        <v>18</v>
      </c>
      <c r="B79" s="5" t="s">
        <v>182</v>
      </c>
      <c r="C79" s="5">
        <v>2007</v>
      </c>
      <c r="D79" s="3" t="s">
        <v>26</v>
      </c>
      <c r="E79" s="3" t="s">
        <v>197</v>
      </c>
      <c r="F79" s="3" t="s">
        <v>184</v>
      </c>
      <c r="G79" s="3">
        <f>PI()*(0.1/2)^2</f>
        <v>7.8539816339744835E-3</v>
      </c>
      <c r="H79" s="5">
        <v>1</v>
      </c>
      <c r="I79" s="5">
        <f t="shared" si="2"/>
        <v>7.8539816339744833E-7</v>
      </c>
      <c r="J79" s="5">
        <f>5/(60*24)</f>
        <v>3.472222222222222E-3</v>
      </c>
      <c r="K79" s="5">
        <v>0</v>
      </c>
      <c r="L79" s="5">
        <v>1</v>
      </c>
      <c r="M79" s="5">
        <v>30</v>
      </c>
      <c r="N79" s="5">
        <v>3</v>
      </c>
      <c r="O79" s="5">
        <v>0</v>
      </c>
      <c r="P79" s="5">
        <v>0</v>
      </c>
      <c r="Q79" s="5">
        <v>3</v>
      </c>
      <c r="R79" s="5" t="s">
        <v>198</v>
      </c>
      <c r="S79" s="3" t="s">
        <v>163</v>
      </c>
      <c r="T79" s="3" t="s">
        <v>199</v>
      </c>
    </row>
    <row r="80" spans="1:20" s="5" customFormat="1">
      <c r="A80" s="5" t="s">
        <v>6</v>
      </c>
      <c r="B80" s="5" t="s">
        <v>200</v>
      </c>
      <c r="C80" s="5">
        <v>2013</v>
      </c>
      <c r="D80" s="5" t="s">
        <v>26</v>
      </c>
      <c r="E80" s="5" t="s">
        <v>201</v>
      </c>
      <c r="F80" s="3" t="s">
        <v>202</v>
      </c>
      <c r="G80" s="5">
        <f>PI()*(0.0635/2)^2</f>
        <v>3.1669217443593611E-3</v>
      </c>
      <c r="H80" s="5">
        <v>12</v>
      </c>
      <c r="I80" s="5">
        <f t="shared" si="2"/>
        <v>3.800306093231233E-6</v>
      </c>
      <c r="J80" s="5">
        <f>10/(60*24)</f>
        <v>6.9444444444444441E-3</v>
      </c>
      <c r="K80" s="3">
        <f>5/(60*24)</f>
        <v>3.472222222222222E-3</v>
      </c>
      <c r="L80" s="14">
        <f>J80*1</f>
        <v>6.9444444444444441E-3</v>
      </c>
      <c r="M80" s="5">
        <v>30</v>
      </c>
      <c r="N80" s="5">
        <v>2</v>
      </c>
      <c r="O80" s="5">
        <v>1</v>
      </c>
      <c r="P80" s="5">
        <v>1</v>
      </c>
      <c r="Q80" s="5">
        <v>0</v>
      </c>
      <c r="S80" s="3" t="s">
        <v>203</v>
      </c>
      <c r="T80" s="3" t="s">
        <v>204</v>
      </c>
    </row>
    <row r="81" spans="1:20" s="5" customFormat="1">
      <c r="A81" s="5" t="s">
        <v>119</v>
      </c>
      <c r="B81" s="5" t="s">
        <v>205</v>
      </c>
      <c r="C81" s="5">
        <v>2011</v>
      </c>
      <c r="D81" s="3" t="s">
        <v>26</v>
      </c>
      <c r="E81" s="3" t="s">
        <v>206</v>
      </c>
      <c r="F81" s="3" t="s">
        <v>207</v>
      </c>
      <c r="G81" s="5">
        <f>PI()*(70/2)^2</f>
        <v>3848.4510006474966</v>
      </c>
      <c r="H81" s="5">
        <v>3</v>
      </c>
      <c r="I81" s="5">
        <f t="shared" si="2"/>
        <v>1.1545353001942491</v>
      </c>
      <c r="J81" s="5">
        <f>9/24</f>
        <v>0.375</v>
      </c>
      <c r="K81" s="5">
        <v>1</v>
      </c>
      <c r="L81" s="5">
        <f>J81*3</f>
        <v>1.125</v>
      </c>
      <c r="M81" s="5">
        <f>30+(2*31)</f>
        <v>92</v>
      </c>
      <c r="N81" s="5">
        <v>2</v>
      </c>
      <c r="O81" s="5">
        <v>3</v>
      </c>
      <c r="P81" s="5">
        <v>1</v>
      </c>
      <c r="Q81" s="5">
        <v>0</v>
      </c>
      <c r="S81" s="3" t="s">
        <v>208</v>
      </c>
      <c r="T81" s="3" t="s">
        <v>209</v>
      </c>
    </row>
    <row r="82" spans="1:20" s="5" customFormat="1">
      <c r="A82" s="5" t="s">
        <v>127</v>
      </c>
      <c r="B82" s="3" t="s">
        <v>210</v>
      </c>
      <c r="C82" s="5">
        <v>2006</v>
      </c>
      <c r="D82" s="3" t="s">
        <v>26</v>
      </c>
      <c r="E82" s="3" t="s">
        <v>211</v>
      </c>
      <c r="F82" s="3" t="s">
        <v>212</v>
      </c>
      <c r="G82" s="5">
        <v>0.25</v>
      </c>
      <c r="H82" s="5">
        <f>(10*27*16)</f>
        <v>4320</v>
      </c>
      <c r="I82" s="5">
        <f>(G82*H82)/10000</f>
        <v>0.108</v>
      </c>
      <c r="J82" s="5">
        <f>10/(60*24)</f>
        <v>6.9444444444444441E-3</v>
      </c>
      <c r="K82" s="3">
        <v>365</v>
      </c>
      <c r="L82" s="14">
        <f>J82*5</f>
        <v>3.4722222222222224E-2</v>
      </c>
      <c r="M82" s="5">
        <f>5*365</f>
        <v>1825</v>
      </c>
      <c r="N82" s="5">
        <v>3</v>
      </c>
      <c r="O82" s="5">
        <v>1</v>
      </c>
      <c r="P82" s="5">
        <v>2</v>
      </c>
      <c r="Q82" s="5">
        <v>3</v>
      </c>
      <c r="S82" s="3" t="s">
        <v>144</v>
      </c>
      <c r="T82" s="8" t="s">
        <v>213</v>
      </c>
    </row>
    <row r="83" spans="1:20" s="5" customFormat="1">
      <c r="A83" s="5" t="s">
        <v>93</v>
      </c>
      <c r="B83" s="5" t="s">
        <v>214</v>
      </c>
      <c r="C83" s="5">
        <v>2010</v>
      </c>
      <c r="D83" s="3" t="s">
        <v>26</v>
      </c>
      <c r="E83" s="3" t="s">
        <v>215</v>
      </c>
      <c r="F83" s="3" t="s">
        <v>216</v>
      </c>
      <c r="G83" s="5">
        <f>1.23*0.0254</f>
        <v>3.1241999999999999E-2</v>
      </c>
      <c r="H83" s="5">
        <f>80+791+636</f>
        <v>1507</v>
      </c>
      <c r="I83" s="5">
        <f>(G83*H83)/10000</f>
        <v>4.7081694E-3</v>
      </c>
      <c r="J83" s="5">
        <f>15/(60*24)</f>
        <v>1.0416666666666666E-2</v>
      </c>
      <c r="K83" s="5">
        <v>2</v>
      </c>
      <c r="L83" s="14">
        <f>J83*1</f>
        <v>1.0416666666666666E-2</v>
      </c>
      <c r="M83" s="5">
        <v>365</v>
      </c>
      <c r="N83" s="5">
        <v>0</v>
      </c>
      <c r="O83" s="5">
        <v>0</v>
      </c>
      <c r="P83" s="5">
        <v>1</v>
      </c>
      <c r="Q83" s="5">
        <v>0</v>
      </c>
      <c r="R83" s="5" t="s">
        <v>217</v>
      </c>
      <c r="S83" s="5" t="s">
        <v>218</v>
      </c>
      <c r="T83" s="3" t="s">
        <v>219</v>
      </c>
    </row>
    <row r="84" spans="1:20" s="5" customFormat="1">
      <c r="A84" s="5" t="s">
        <v>93</v>
      </c>
      <c r="B84" s="5" t="s">
        <v>214</v>
      </c>
      <c r="C84" s="5">
        <v>2010</v>
      </c>
      <c r="D84" s="3" t="s">
        <v>26</v>
      </c>
      <c r="E84" s="3" t="s">
        <v>220</v>
      </c>
      <c r="F84" s="3" t="s">
        <v>216</v>
      </c>
      <c r="G84" s="5">
        <f>1.23*0.0254</f>
        <v>3.1241999999999999E-2</v>
      </c>
      <c r="H84" s="5">
        <v>108</v>
      </c>
      <c r="I84" s="5">
        <f>(G84*H84)/10000</f>
        <v>3.3741359999999999E-4</v>
      </c>
      <c r="J84" s="5">
        <f>20/(60*24)</f>
        <v>1.3888888888888888E-2</v>
      </c>
      <c r="K84" s="5">
        <f>5/24</f>
        <v>0.20833333333333334</v>
      </c>
      <c r="L84" s="14">
        <f>J84*1</f>
        <v>1.3888888888888888E-2</v>
      </c>
      <c r="M84" s="5">
        <v>2922</v>
      </c>
      <c r="N84" s="5">
        <v>0</v>
      </c>
      <c r="O84" s="5">
        <v>0</v>
      </c>
      <c r="P84" s="5">
        <v>1</v>
      </c>
      <c r="Q84" s="5">
        <v>0</v>
      </c>
      <c r="R84" s="3" t="s">
        <v>221</v>
      </c>
      <c r="S84" s="5" t="s">
        <v>218</v>
      </c>
      <c r="T84" s="3" t="s">
        <v>222</v>
      </c>
    </row>
    <row r="85" spans="1:20" s="5" customFormat="1">
      <c r="A85" s="5" t="s">
        <v>93</v>
      </c>
      <c r="B85" s="5" t="s">
        <v>214</v>
      </c>
      <c r="C85" s="5">
        <v>2010</v>
      </c>
      <c r="D85" s="3" t="s">
        <v>26</v>
      </c>
      <c r="E85" s="3" t="s">
        <v>223</v>
      </c>
      <c r="F85" s="3" t="s">
        <v>216</v>
      </c>
      <c r="G85" s="5">
        <f>1.23*0.0254</f>
        <v>3.1241999999999999E-2</v>
      </c>
      <c r="H85" s="5">
        <f>116+12</f>
        <v>128</v>
      </c>
      <c r="I85" s="5">
        <f t="shared" ref="I85:I87" si="5">(G85*H85)/10000</f>
        <v>3.9989760000000001E-4</v>
      </c>
      <c r="J85" s="5">
        <f>15/(60*24)</f>
        <v>1.0416666666666666E-2</v>
      </c>
      <c r="K85" s="5">
        <f>5/24</f>
        <v>0.20833333333333334</v>
      </c>
      <c r="L85" s="14">
        <f>J85*1</f>
        <v>1.0416666666666666E-2</v>
      </c>
      <c r="M85" s="5">
        <v>5478</v>
      </c>
      <c r="N85" s="5">
        <v>0</v>
      </c>
      <c r="O85" s="5">
        <v>0</v>
      </c>
      <c r="P85" s="5">
        <v>1</v>
      </c>
      <c r="Q85" s="5">
        <v>0</v>
      </c>
      <c r="R85" s="5" t="s">
        <v>224</v>
      </c>
      <c r="S85" s="5" t="s">
        <v>218</v>
      </c>
      <c r="T85" s="3" t="s">
        <v>225</v>
      </c>
    </row>
    <row r="86" spans="1:20" s="5" customFormat="1">
      <c r="A86" s="5" t="s">
        <v>93</v>
      </c>
      <c r="B86" s="5" t="s">
        <v>214</v>
      </c>
      <c r="C86" s="5">
        <v>2010</v>
      </c>
      <c r="D86" s="3" t="s">
        <v>26</v>
      </c>
      <c r="E86" s="3" t="s">
        <v>223</v>
      </c>
      <c r="F86" s="3" t="s">
        <v>216</v>
      </c>
      <c r="G86" s="5">
        <f>1.23*0.0254</f>
        <v>3.1241999999999999E-2</v>
      </c>
      <c r="H86" s="5">
        <f>5+5</f>
        <v>10</v>
      </c>
      <c r="I86" s="5">
        <f t="shared" si="5"/>
        <v>3.1241999999999997E-5</v>
      </c>
      <c r="J86" s="5">
        <f>5/(60*24)</f>
        <v>3.472222222222222E-3</v>
      </c>
      <c r="K86" s="5">
        <f>AVERAGE(2,3)</f>
        <v>2.5</v>
      </c>
      <c r="L86" s="14">
        <f>J86*1</f>
        <v>3.472222222222222E-3</v>
      </c>
      <c r="M86" s="5">
        <v>365</v>
      </c>
      <c r="N86" s="5">
        <v>0</v>
      </c>
      <c r="O86" s="5">
        <v>0</v>
      </c>
      <c r="P86" s="5">
        <v>1</v>
      </c>
      <c r="Q86" s="5">
        <v>0</v>
      </c>
      <c r="R86" s="5" t="s">
        <v>226</v>
      </c>
      <c r="S86" s="5" t="s">
        <v>218</v>
      </c>
      <c r="T86" s="3" t="s">
        <v>227</v>
      </c>
    </row>
    <row r="87" spans="1:20" s="5" customFormat="1">
      <c r="A87" s="5" t="s">
        <v>93</v>
      </c>
      <c r="B87" s="5" t="s">
        <v>214</v>
      </c>
      <c r="C87" s="5">
        <v>2010</v>
      </c>
      <c r="D87" s="3" t="s">
        <v>26</v>
      </c>
      <c r="E87" s="3" t="s">
        <v>228</v>
      </c>
      <c r="F87" s="3" t="s">
        <v>216</v>
      </c>
      <c r="G87" s="5">
        <f>1.23*0.0254</f>
        <v>3.1241999999999999E-2</v>
      </c>
      <c r="H87" s="5">
        <f>40+41</f>
        <v>81</v>
      </c>
      <c r="I87" s="5">
        <f t="shared" si="5"/>
        <v>2.5306020000000001E-4</v>
      </c>
      <c r="J87" s="5">
        <f>5/(60*24)</f>
        <v>3.472222222222222E-3</v>
      </c>
      <c r="K87" s="5">
        <v>2</v>
      </c>
      <c r="L87" s="14">
        <f>J87*1</f>
        <v>3.472222222222222E-3</v>
      </c>
      <c r="M87" s="5">
        <v>365</v>
      </c>
      <c r="N87" s="5">
        <v>0</v>
      </c>
      <c r="O87" s="5">
        <v>0</v>
      </c>
      <c r="P87" s="5">
        <v>1</v>
      </c>
      <c r="Q87" s="5">
        <v>0</v>
      </c>
      <c r="S87" s="5" t="s">
        <v>218</v>
      </c>
      <c r="T87" s="3" t="s">
        <v>229</v>
      </c>
    </row>
    <row r="88" spans="1:20" s="4" customFormat="1">
      <c r="A88" s="4" t="s">
        <v>24</v>
      </c>
      <c r="B88" s="4" t="s">
        <v>230</v>
      </c>
      <c r="C88" s="4">
        <v>2006</v>
      </c>
      <c r="D88" s="3" t="s">
        <v>8</v>
      </c>
      <c r="E88" s="3" t="s">
        <v>231</v>
      </c>
      <c r="G88" s="4">
        <f>1.4*0.3683</f>
        <v>0.51561999999999997</v>
      </c>
      <c r="H88" s="4">
        <v>44</v>
      </c>
      <c r="I88" s="5">
        <f>(G88*H88)/10000</f>
        <v>2.2687279999999998E-3</v>
      </c>
      <c r="J88" s="4">
        <f>1/(60*24)</f>
        <v>6.9444444444444447E-4</v>
      </c>
      <c r="K88" s="4">
        <f>11.46</f>
        <v>11.46</v>
      </c>
      <c r="L88" s="4">
        <f>J88*5743</f>
        <v>3.9881944444444444</v>
      </c>
      <c r="M88" s="18">
        <v>2283</v>
      </c>
      <c r="N88" s="4">
        <v>1</v>
      </c>
      <c r="O88" s="4">
        <v>1</v>
      </c>
      <c r="P88" s="4">
        <v>0</v>
      </c>
      <c r="Q88" s="4">
        <v>0</v>
      </c>
      <c r="S88" s="4" t="s">
        <v>232</v>
      </c>
      <c r="T88" s="4" t="s">
        <v>233</v>
      </c>
    </row>
    <row r="89" spans="1:20" s="4" customFormat="1">
      <c r="A89" s="16" t="s">
        <v>234</v>
      </c>
      <c r="B89" s="4" t="s">
        <v>235</v>
      </c>
      <c r="C89" s="4">
        <v>2013</v>
      </c>
      <c r="D89" s="4" t="s">
        <v>26</v>
      </c>
      <c r="E89" s="16" t="s">
        <v>236</v>
      </c>
      <c r="F89" s="16" t="s">
        <v>237</v>
      </c>
      <c r="G89" s="4">
        <f>500*5</f>
        <v>2500</v>
      </c>
      <c r="H89" s="4">
        <f>43+47</f>
        <v>90</v>
      </c>
      <c r="I89" s="5">
        <f>(G89*H89)/10000</f>
        <v>22.5</v>
      </c>
      <c r="J89" s="4">
        <f>30/(60*24)</f>
        <v>2.0833333333333332E-2</v>
      </c>
      <c r="K89" s="4">
        <f>2*7</f>
        <v>14</v>
      </c>
      <c r="L89" s="14">
        <f>(J89*5.4*3)</f>
        <v>0.33750000000000002</v>
      </c>
      <c r="M89" s="4">
        <v>822</v>
      </c>
      <c r="N89" s="4">
        <v>0</v>
      </c>
      <c r="O89" s="4">
        <v>1</v>
      </c>
      <c r="P89" s="4">
        <v>0</v>
      </c>
      <c r="Q89" s="4">
        <v>0</v>
      </c>
      <c r="S89" s="14" t="s">
        <v>238</v>
      </c>
      <c r="T89" s="16" t="s">
        <v>239</v>
      </c>
    </row>
    <row r="90" spans="1:20" s="4" customFormat="1">
      <c r="A90" s="16" t="s">
        <v>234</v>
      </c>
      <c r="B90" s="4" t="s">
        <v>235</v>
      </c>
      <c r="C90" s="4">
        <v>2013</v>
      </c>
      <c r="D90" s="4" t="s">
        <v>26</v>
      </c>
      <c r="E90" s="16" t="s">
        <v>236</v>
      </c>
      <c r="F90" s="16" t="s">
        <v>237</v>
      </c>
      <c r="G90" s="4">
        <v>0.25</v>
      </c>
      <c r="H90" s="4">
        <v>20</v>
      </c>
      <c r="I90" s="5">
        <f>(G90*H90)/10000</f>
        <v>5.0000000000000001E-4</v>
      </c>
      <c r="J90" s="4">
        <f>10/(60*24)</f>
        <v>6.9444444444444441E-3</v>
      </c>
      <c r="K90" s="4">
        <v>365</v>
      </c>
      <c r="L90" s="14">
        <f>(J90*2)</f>
        <v>1.3888888888888888E-2</v>
      </c>
      <c r="M90" s="4">
        <v>822</v>
      </c>
      <c r="N90" s="4">
        <v>2</v>
      </c>
      <c r="O90" s="4">
        <v>2</v>
      </c>
      <c r="P90" s="4">
        <v>0</v>
      </c>
      <c r="Q90" s="4">
        <v>1</v>
      </c>
      <c r="S90" s="8" t="s">
        <v>144</v>
      </c>
      <c r="T90" s="16" t="s">
        <v>240</v>
      </c>
    </row>
    <row r="91" spans="1:20" s="25" customFormat="1" ht="12" customHeight="1">
      <c r="A91" s="19" t="s">
        <v>149</v>
      </c>
      <c r="B91" s="20" t="s">
        <v>241</v>
      </c>
      <c r="C91" s="21">
        <v>2005</v>
      </c>
      <c r="D91" s="20"/>
      <c r="E91" s="20"/>
      <c r="F91" s="21"/>
      <c r="G91" s="21"/>
      <c r="H91" s="20"/>
      <c r="I91" s="22"/>
      <c r="J91" s="23"/>
      <c r="K91" s="23"/>
      <c r="L91" s="23"/>
      <c r="M91" s="23"/>
      <c r="N91" s="23"/>
      <c r="O91" s="23"/>
      <c r="P91" s="23"/>
      <c r="Q91" s="23"/>
      <c r="R91" s="23"/>
      <c r="S91" s="23"/>
      <c r="T91" s="24" t="s">
        <v>242</v>
      </c>
    </row>
    <row r="92" spans="1:20" s="25" customFormat="1" ht="12" customHeight="1">
      <c r="A92" s="26" t="s">
        <v>134</v>
      </c>
      <c r="B92" s="27" t="s">
        <v>243</v>
      </c>
      <c r="C92" s="20">
        <v>2010</v>
      </c>
      <c r="D92" s="20" t="s">
        <v>26</v>
      </c>
      <c r="E92" s="20" t="s">
        <v>244</v>
      </c>
      <c r="F92" s="20" t="s">
        <v>245</v>
      </c>
      <c r="G92" s="23"/>
      <c r="H92" s="23"/>
      <c r="I92" s="23"/>
      <c r="J92" s="23"/>
      <c r="K92" s="23"/>
      <c r="L92" s="23"/>
      <c r="M92" s="23"/>
      <c r="N92" s="23"/>
      <c r="O92" s="23"/>
      <c r="P92" s="23"/>
      <c r="Q92" s="23"/>
      <c r="R92" s="23"/>
      <c r="S92" s="23"/>
      <c r="T92" s="24" t="s">
        <v>246</v>
      </c>
    </row>
    <row r="93" spans="1:20" s="25" customFormat="1" ht="12" customHeight="1">
      <c r="A93" s="28" t="s">
        <v>95</v>
      </c>
      <c r="B93" s="28" t="s">
        <v>247</v>
      </c>
      <c r="C93" s="29">
        <v>2009</v>
      </c>
      <c r="D93" s="28" t="s">
        <v>26</v>
      </c>
      <c r="E93" s="28" t="s">
        <v>248</v>
      </c>
      <c r="F93" s="30" t="s">
        <v>249</v>
      </c>
      <c r="G93" s="28">
        <v>80</v>
      </c>
      <c r="H93" s="29">
        <v>8</v>
      </c>
      <c r="I93" s="31">
        <f>80*8/10000</f>
        <v>6.4000000000000001E-2</v>
      </c>
      <c r="J93" s="28">
        <v>0.25</v>
      </c>
      <c r="K93" s="28">
        <v>15.5</v>
      </c>
      <c r="L93" s="28">
        <f>0.25*8</f>
        <v>2</v>
      </c>
      <c r="M93" s="28">
        <v>56</v>
      </c>
      <c r="N93" s="28">
        <v>3</v>
      </c>
      <c r="O93" s="28">
        <v>1</v>
      </c>
      <c r="P93" s="28">
        <v>0</v>
      </c>
      <c r="Q93" s="28">
        <v>0</v>
      </c>
      <c r="R93" s="32" t="s">
        <v>250</v>
      </c>
      <c r="S93" s="28" t="s">
        <v>251</v>
      </c>
      <c r="T93" s="28" t="s">
        <v>252</v>
      </c>
    </row>
    <row r="94" spans="1:20" s="25" customFormat="1" ht="12" customHeight="1">
      <c r="A94" s="33" t="s">
        <v>127</v>
      </c>
      <c r="B94" s="34" t="s">
        <v>253</v>
      </c>
      <c r="C94" s="35">
        <v>2013</v>
      </c>
      <c r="D94" s="36" t="s">
        <v>26</v>
      </c>
      <c r="E94" s="36" t="s">
        <v>254</v>
      </c>
      <c r="F94" s="36" t="s">
        <v>255</v>
      </c>
      <c r="G94" s="36">
        <v>24</v>
      </c>
      <c r="H94" s="36">
        <v>17</v>
      </c>
      <c r="I94" s="37">
        <f>24*17/10000</f>
        <v>4.0800000000000003E-2</v>
      </c>
      <c r="J94" s="37">
        <f t="shared" ref="J94:J98" si="6">1/24</f>
        <v>4.1666666666666664E-2</v>
      </c>
      <c r="K94" s="36">
        <v>365</v>
      </c>
      <c r="L94" s="37">
        <f>J94*17</f>
        <v>0.70833333333333326</v>
      </c>
      <c r="M94" s="37">
        <f>365*20</f>
        <v>7300</v>
      </c>
      <c r="N94" s="36">
        <v>3</v>
      </c>
      <c r="O94" s="36">
        <v>1</v>
      </c>
      <c r="P94" s="36">
        <v>1</v>
      </c>
      <c r="Q94" s="36">
        <v>0</v>
      </c>
      <c r="R94" s="38" t="s">
        <v>256</v>
      </c>
      <c r="S94" s="36" t="s">
        <v>251</v>
      </c>
      <c r="T94" s="36" t="s">
        <v>257</v>
      </c>
    </row>
    <row r="95" spans="1:20" s="25" customFormat="1" ht="12" customHeight="1">
      <c r="A95" s="39" t="s">
        <v>127</v>
      </c>
      <c r="B95" s="32" t="s">
        <v>253</v>
      </c>
      <c r="C95" s="29">
        <v>2013</v>
      </c>
      <c r="D95" s="28" t="s">
        <v>26</v>
      </c>
      <c r="E95" s="28" t="s">
        <v>254</v>
      </c>
      <c r="F95" s="28" t="s">
        <v>255</v>
      </c>
      <c r="G95" s="28">
        <v>24</v>
      </c>
      <c r="H95" s="28">
        <v>16</v>
      </c>
      <c r="I95" s="40">
        <f>(24*16)/10000</f>
        <v>3.8399999999999997E-2</v>
      </c>
      <c r="J95" s="40">
        <f t="shared" si="6"/>
        <v>4.1666666666666664E-2</v>
      </c>
      <c r="K95" s="28">
        <v>0</v>
      </c>
      <c r="L95" s="40">
        <f>J95*16</f>
        <v>0.66666666666666663</v>
      </c>
      <c r="M95" s="28">
        <v>7300</v>
      </c>
      <c r="N95" s="28">
        <v>3</v>
      </c>
      <c r="O95" s="28">
        <v>1</v>
      </c>
      <c r="P95" s="28">
        <v>1</v>
      </c>
      <c r="Q95" s="28">
        <v>0</v>
      </c>
      <c r="R95" s="41" t="s">
        <v>256</v>
      </c>
      <c r="S95" s="28" t="s">
        <v>251</v>
      </c>
      <c r="T95" s="28" t="s">
        <v>257</v>
      </c>
    </row>
    <row r="96" spans="1:20" s="25" customFormat="1" ht="6.75" customHeight="1">
      <c r="A96" s="33" t="s">
        <v>258</v>
      </c>
      <c r="B96" s="36" t="s">
        <v>259</v>
      </c>
      <c r="C96" s="36">
        <v>2009</v>
      </c>
      <c r="D96" s="36" t="s">
        <v>26</v>
      </c>
      <c r="E96" s="36" t="s">
        <v>260</v>
      </c>
      <c r="F96" s="36" t="s">
        <v>261</v>
      </c>
      <c r="G96" s="36">
        <v>4.9099999999999998E-2</v>
      </c>
      <c r="H96" s="35">
        <f>12*4.25</f>
        <v>51</v>
      </c>
      <c r="I96" s="42">
        <f>H96*G96/10000</f>
        <v>2.5040999999999996E-4</v>
      </c>
      <c r="J96" s="37">
        <f t="shared" si="6"/>
        <v>4.1666666666666664E-2</v>
      </c>
      <c r="K96" s="36">
        <v>0</v>
      </c>
      <c r="L96" s="36">
        <f>J96*51</f>
        <v>2.125</v>
      </c>
      <c r="M96" s="36">
        <v>1095</v>
      </c>
      <c r="N96" s="36">
        <v>3</v>
      </c>
      <c r="O96" s="36">
        <v>2</v>
      </c>
      <c r="P96" s="36">
        <v>2</v>
      </c>
      <c r="Q96" s="36">
        <v>1</v>
      </c>
      <c r="R96" s="36"/>
      <c r="S96" s="36" t="s">
        <v>262</v>
      </c>
      <c r="T96" s="36" t="s">
        <v>263</v>
      </c>
    </row>
    <row r="97" spans="1:20" s="25" customFormat="1" ht="12" customHeight="1">
      <c r="A97" s="39" t="s">
        <v>258</v>
      </c>
      <c r="B97" s="28" t="s">
        <v>259</v>
      </c>
      <c r="C97" s="28">
        <v>2009</v>
      </c>
      <c r="D97" s="28" t="s">
        <v>26</v>
      </c>
      <c r="E97" s="28" t="s">
        <v>260</v>
      </c>
      <c r="F97" s="28" t="s">
        <v>264</v>
      </c>
      <c r="G97" s="28">
        <v>10</v>
      </c>
      <c r="H97" s="29">
        <v>11</v>
      </c>
      <c r="I97" s="31">
        <f>10*11/10000</f>
        <v>1.0999999999999999E-2</v>
      </c>
      <c r="J97" s="40">
        <f t="shared" si="6"/>
        <v>4.1666666666666664E-2</v>
      </c>
      <c r="K97" s="28">
        <v>0</v>
      </c>
      <c r="L97" s="28">
        <f>J97*11</f>
        <v>0.45833333333333331</v>
      </c>
      <c r="M97" s="28">
        <v>1095</v>
      </c>
      <c r="N97" s="28">
        <v>3</v>
      </c>
      <c r="O97" s="28">
        <v>2</v>
      </c>
      <c r="P97" s="28">
        <v>2</v>
      </c>
      <c r="Q97" s="28">
        <v>1</v>
      </c>
      <c r="R97" s="28"/>
      <c r="S97" s="28" t="s">
        <v>262</v>
      </c>
      <c r="T97" s="28" t="s">
        <v>263</v>
      </c>
    </row>
    <row r="98" spans="1:20" s="25" customFormat="1" ht="12" customHeight="1">
      <c r="A98" s="43" t="s">
        <v>258</v>
      </c>
      <c r="B98" s="44" t="s">
        <v>259</v>
      </c>
      <c r="C98" s="44">
        <v>2009</v>
      </c>
      <c r="D98" s="44" t="s">
        <v>26</v>
      </c>
      <c r="E98" s="44" t="s">
        <v>260</v>
      </c>
      <c r="F98" s="44" t="s">
        <v>265</v>
      </c>
      <c r="G98" s="44">
        <v>0.31927800000000001</v>
      </c>
      <c r="H98" s="45">
        <v>24</v>
      </c>
      <c r="I98" s="46">
        <f>G98*H98/10000</f>
        <v>7.6626720000000001E-4</v>
      </c>
      <c r="J98" s="47">
        <f t="shared" si="6"/>
        <v>4.1666666666666664E-2</v>
      </c>
      <c r="K98" s="44">
        <v>30</v>
      </c>
      <c r="L98" s="44">
        <f>J98*24</f>
        <v>1</v>
      </c>
      <c r="M98" s="44">
        <v>1095</v>
      </c>
      <c r="N98" s="44">
        <v>3</v>
      </c>
      <c r="O98" s="44">
        <v>2</v>
      </c>
      <c r="P98" s="44">
        <v>2</v>
      </c>
      <c r="Q98" s="44">
        <v>1</v>
      </c>
      <c r="R98" s="44"/>
      <c r="S98" s="44" t="s">
        <v>266</v>
      </c>
      <c r="T98" s="44" t="s">
        <v>263</v>
      </c>
    </row>
    <row r="99" spans="1:20" s="25" customFormat="1" ht="12" customHeight="1">
      <c r="A99" s="26" t="s">
        <v>24</v>
      </c>
      <c r="B99" s="20" t="s">
        <v>267</v>
      </c>
      <c r="C99" s="20">
        <v>2014</v>
      </c>
      <c r="D99" s="23"/>
      <c r="E99" s="20" t="s">
        <v>254</v>
      </c>
      <c r="F99" s="23"/>
      <c r="G99" s="23"/>
      <c r="H99" s="23"/>
      <c r="I99" s="23"/>
      <c r="J99" s="23"/>
      <c r="K99" s="23"/>
      <c r="L99" s="23"/>
      <c r="M99" s="23"/>
      <c r="N99" s="23"/>
      <c r="O99" s="23"/>
      <c r="P99" s="23"/>
      <c r="Q99" s="23"/>
      <c r="R99" s="23"/>
      <c r="S99" s="23"/>
      <c r="T99" s="20" t="s">
        <v>268</v>
      </c>
    </row>
    <row r="100" spans="1:20" s="25" customFormat="1" ht="12" customHeight="1">
      <c r="A100" s="26" t="s">
        <v>269</v>
      </c>
      <c r="B100" s="48" t="s">
        <v>270</v>
      </c>
      <c r="C100" s="20">
        <v>2007</v>
      </c>
      <c r="D100" s="23"/>
      <c r="E100" s="23"/>
      <c r="F100" s="23"/>
      <c r="G100" s="23"/>
      <c r="H100" s="23"/>
      <c r="I100" s="23"/>
      <c r="J100" s="23"/>
      <c r="K100" s="23"/>
      <c r="L100" s="23"/>
      <c r="M100" s="23"/>
      <c r="N100" s="23"/>
      <c r="O100" s="23"/>
      <c r="P100" s="23"/>
      <c r="Q100" s="23"/>
      <c r="R100" s="23"/>
      <c r="S100" s="23"/>
      <c r="T100" s="20" t="s">
        <v>271</v>
      </c>
    </row>
    <row r="101" spans="1:20" s="25" customFormat="1" ht="12" customHeight="1">
      <c r="A101" s="26" t="s">
        <v>149</v>
      </c>
      <c r="B101" s="20" t="s">
        <v>272</v>
      </c>
      <c r="C101" s="20">
        <v>2013</v>
      </c>
      <c r="D101" s="20"/>
      <c r="E101" s="20"/>
      <c r="F101" s="21"/>
      <c r="G101" s="21"/>
      <c r="H101" s="20"/>
      <c r="I101" s="23"/>
      <c r="J101" s="23"/>
      <c r="K101" s="23"/>
      <c r="L101" s="23"/>
      <c r="M101" s="23"/>
      <c r="N101" s="23"/>
      <c r="O101" s="23"/>
      <c r="P101" s="23"/>
      <c r="Q101" s="23"/>
      <c r="R101" s="23"/>
      <c r="S101" s="23"/>
      <c r="T101" s="20" t="s">
        <v>268</v>
      </c>
    </row>
    <row r="102" spans="1:20" s="25" customFormat="1" ht="12" customHeight="1">
      <c r="A102" s="49" t="s">
        <v>18</v>
      </c>
      <c r="B102" s="50" t="s">
        <v>273</v>
      </c>
      <c r="C102" s="50">
        <v>2007</v>
      </c>
      <c r="D102" s="50" t="s">
        <v>26</v>
      </c>
      <c r="E102" s="50" t="s">
        <v>260</v>
      </c>
      <c r="F102" s="50" t="s">
        <v>274</v>
      </c>
      <c r="G102" s="50">
        <v>200000000</v>
      </c>
      <c r="H102" s="50">
        <v>476</v>
      </c>
      <c r="I102" s="50">
        <f>200000000*476/10000</f>
        <v>9520000</v>
      </c>
      <c r="J102" s="50">
        <v>1</v>
      </c>
      <c r="K102" s="50">
        <v>2</v>
      </c>
      <c r="L102" s="50">
        <v>476</v>
      </c>
      <c r="M102" s="51">
        <f>4*365</f>
        <v>1460</v>
      </c>
      <c r="N102" s="50">
        <v>3</v>
      </c>
      <c r="O102" s="50">
        <v>0</v>
      </c>
      <c r="P102" s="50">
        <v>1</v>
      </c>
      <c r="Q102" s="50">
        <v>0</v>
      </c>
      <c r="R102" s="51"/>
      <c r="S102" s="50" t="s">
        <v>275</v>
      </c>
      <c r="T102" s="51"/>
    </row>
    <row r="103" spans="1:20" s="25" customFormat="1" ht="13.5" customHeight="1">
      <c r="A103" s="52" t="s">
        <v>149</v>
      </c>
      <c r="B103" s="53" t="s">
        <v>276</v>
      </c>
      <c r="C103" s="53">
        <v>2008</v>
      </c>
      <c r="D103" s="54"/>
      <c r="E103" s="54"/>
      <c r="F103" s="54"/>
      <c r="G103" s="54"/>
      <c r="H103" s="54"/>
      <c r="I103" s="54"/>
      <c r="J103" s="54"/>
      <c r="K103" s="54"/>
      <c r="L103" s="54"/>
      <c r="M103" s="54"/>
      <c r="N103" s="54"/>
      <c r="O103" s="54"/>
      <c r="P103" s="54"/>
      <c r="Q103" s="54"/>
      <c r="R103" s="54"/>
      <c r="S103" s="54"/>
      <c r="T103" s="53" t="s">
        <v>277</v>
      </c>
    </row>
    <row r="104" spans="1:20" s="25" customFormat="1" ht="12" customHeight="1">
      <c r="A104" s="33" t="s">
        <v>278</v>
      </c>
      <c r="B104" s="36" t="s">
        <v>279</v>
      </c>
      <c r="C104" s="36">
        <v>2004</v>
      </c>
      <c r="D104" s="36" t="s">
        <v>26</v>
      </c>
      <c r="E104" s="55" t="s">
        <v>280</v>
      </c>
      <c r="F104" s="36" t="s">
        <v>281</v>
      </c>
      <c r="G104" s="36">
        <v>2.25</v>
      </c>
      <c r="H104" s="36">
        <v>100</v>
      </c>
      <c r="I104" s="37">
        <f>2.25*100/10000</f>
        <v>2.2499999999999999E-2</v>
      </c>
      <c r="J104" s="36">
        <v>0.5</v>
      </c>
      <c r="K104" s="36">
        <v>0</v>
      </c>
      <c r="L104" s="36">
        <v>50</v>
      </c>
      <c r="M104" s="36">
        <v>30</v>
      </c>
      <c r="N104" s="36">
        <v>3</v>
      </c>
      <c r="O104" s="36">
        <v>2</v>
      </c>
      <c r="P104" s="36">
        <v>2</v>
      </c>
      <c r="Q104" s="36">
        <v>1</v>
      </c>
      <c r="R104" s="37"/>
      <c r="S104" s="36" t="s">
        <v>282</v>
      </c>
      <c r="T104" s="56" t="s">
        <v>283</v>
      </c>
    </row>
    <row r="105" spans="1:20" s="25" customFormat="1" ht="12" customHeight="1">
      <c r="A105" s="43" t="s">
        <v>278</v>
      </c>
      <c r="B105" s="44" t="s">
        <v>279</v>
      </c>
      <c r="C105" s="44">
        <v>2004</v>
      </c>
      <c r="D105" s="44" t="s">
        <v>26</v>
      </c>
      <c r="E105" s="57" t="s">
        <v>280</v>
      </c>
      <c r="F105" s="44" t="s">
        <v>284</v>
      </c>
      <c r="G105" s="44">
        <v>0.16</v>
      </c>
      <c r="H105" s="44">
        <v>400</v>
      </c>
      <c r="I105" s="44">
        <f>0.16*400/10000</f>
        <v>6.4000000000000003E-3</v>
      </c>
      <c r="J105" s="44">
        <v>0.5</v>
      </c>
      <c r="K105" s="47">
        <f>365+365</f>
        <v>730</v>
      </c>
      <c r="L105" s="44">
        <v>200</v>
      </c>
      <c r="M105" s="44">
        <f>365*2</f>
        <v>730</v>
      </c>
      <c r="N105" s="44">
        <v>3</v>
      </c>
      <c r="O105" s="44">
        <v>2</v>
      </c>
      <c r="P105" s="44">
        <v>2</v>
      </c>
      <c r="Q105" s="44">
        <v>1</v>
      </c>
      <c r="R105" s="47"/>
      <c r="S105" s="44" t="s">
        <v>282</v>
      </c>
      <c r="T105" s="58" t="s">
        <v>283</v>
      </c>
    </row>
    <row r="106" spans="1:20" s="25" customFormat="1" ht="12" customHeight="1">
      <c r="A106" s="39" t="s">
        <v>0</v>
      </c>
      <c r="B106" s="28" t="s">
        <v>285</v>
      </c>
      <c r="C106" s="28">
        <v>2013</v>
      </c>
      <c r="D106" s="28" t="s">
        <v>26</v>
      </c>
      <c r="E106" s="28" t="s">
        <v>244</v>
      </c>
      <c r="F106" s="28" t="s">
        <v>286</v>
      </c>
      <c r="G106" s="28">
        <v>0.95707200000000003</v>
      </c>
      <c r="H106" s="28">
        <v>5</v>
      </c>
      <c r="I106" s="40">
        <f>5*G106/10000</f>
        <v>4.78536E-4</v>
      </c>
      <c r="J106" s="28">
        <v>0.5</v>
      </c>
      <c r="K106" s="28">
        <v>1</v>
      </c>
      <c r="L106" s="28">
        <v>2.5</v>
      </c>
      <c r="M106" s="28">
        <v>730</v>
      </c>
      <c r="N106" s="28">
        <v>3</v>
      </c>
      <c r="O106" s="28">
        <v>0</v>
      </c>
      <c r="P106" s="28">
        <v>1</v>
      </c>
      <c r="Q106" s="28">
        <v>0</v>
      </c>
      <c r="R106" s="40"/>
      <c r="S106" s="28" t="s">
        <v>287</v>
      </c>
      <c r="T106" s="28" t="s">
        <v>283</v>
      </c>
    </row>
    <row r="107" spans="1:20" s="25" customFormat="1" ht="12" customHeight="1">
      <c r="A107" s="43" t="s">
        <v>0</v>
      </c>
      <c r="B107" s="44" t="s">
        <v>288</v>
      </c>
      <c r="C107" s="44">
        <v>2013</v>
      </c>
      <c r="D107" s="44" t="s">
        <v>26</v>
      </c>
      <c r="E107" s="44" t="s">
        <v>244</v>
      </c>
      <c r="F107" s="44" t="s">
        <v>286</v>
      </c>
      <c r="G107" s="44">
        <v>0.03</v>
      </c>
      <c r="H107" s="44">
        <v>20</v>
      </c>
      <c r="I107" s="44">
        <f>0.03*20/10000</f>
        <v>5.9999999999999995E-5</v>
      </c>
      <c r="J107" s="44">
        <v>0.5</v>
      </c>
      <c r="K107" s="44">
        <v>1</v>
      </c>
      <c r="L107" s="44">
        <v>10</v>
      </c>
      <c r="M107" s="44">
        <v>730</v>
      </c>
      <c r="N107" s="44">
        <v>3</v>
      </c>
      <c r="O107" s="44">
        <v>0</v>
      </c>
      <c r="P107" s="44">
        <v>1</v>
      </c>
      <c r="Q107" s="44">
        <v>0</v>
      </c>
      <c r="R107" s="47"/>
      <c r="S107" s="44" t="s">
        <v>287</v>
      </c>
      <c r="T107" s="44" t="s">
        <v>283</v>
      </c>
    </row>
    <row r="108" spans="1:20" s="25" customFormat="1" ht="12" customHeight="1">
      <c r="A108" s="49" t="s">
        <v>258</v>
      </c>
      <c r="B108" s="50" t="s">
        <v>289</v>
      </c>
      <c r="C108" s="50">
        <v>2011</v>
      </c>
      <c r="D108" s="50" t="s">
        <v>290</v>
      </c>
      <c r="E108" s="50" t="s">
        <v>291</v>
      </c>
      <c r="F108" s="50" t="s">
        <v>292</v>
      </c>
      <c r="G108" s="50">
        <v>314.16000000000003</v>
      </c>
      <c r="H108" s="50">
        <v>1</v>
      </c>
      <c r="I108" s="50">
        <f>314.16/10000</f>
        <v>3.1415999999999999E-2</v>
      </c>
      <c r="J108" s="50">
        <v>30</v>
      </c>
      <c r="K108" s="50">
        <v>7</v>
      </c>
      <c r="L108" s="50">
        <v>30</v>
      </c>
      <c r="M108" s="50">
        <v>365</v>
      </c>
      <c r="N108" s="50">
        <v>2</v>
      </c>
      <c r="O108" s="50">
        <v>1</v>
      </c>
      <c r="P108" s="50">
        <v>1</v>
      </c>
      <c r="Q108" s="50">
        <v>0</v>
      </c>
      <c r="R108" s="51"/>
      <c r="S108" s="50" t="s">
        <v>293</v>
      </c>
      <c r="T108" s="59"/>
    </row>
    <row r="109" spans="1:20" s="25" customFormat="1" ht="12" customHeight="1">
      <c r="A109" s="26" t="s">
        <v>18</v>
      </c>
      <c r="B109" s="60" t="s">
        <v>294</v>
      </c>
      <c r="C109" s="60">
        <v>2011</v>
      </c>
      <c r="D109" s="60"/>
      <c r="E109" s="60"/>
      <c r="F109" s="60"/>
      <c r="G109" s="60"/>
      <c r="H109" s="60"/>
      <c r="I109" s="60"/>
      <c r="J109" s="60"/>
      <c r="K109" s="60"/>
      <c r="L109" s="60"/>
      <c r="M109" s="60"/>
      <c r="N109" s="60"/>
      <c r="O109" s="60"/>
      <c r="P109" s="60"/>
      <c r="Q109" s="60"/>
      <c r="R109" s="60"/>
      <c r="S109" s="60"/>
      <c r="T109" s="61" t="s">
        <v>295</v>
      </c>
    </row>
    <row r="110" spans="1:20" s="25" customFormat="1" ht="15.75" customHeight="1">
      <c r="A110" s="26" t="s">
        <v>18</v>
      </c>
      <c r="B110" s="20" t="s">
        <v>296</v>
      </c>
      <c r="C110" s="20">
        <v>2007</v>
      </c>
      <c r="D110" s="23"/>
      <c r="E110" s="23"/>
      <c r="F110" s="23"/>
      <c r="G110" s="23"/>
      <c r="H110" s="23"/>
      <c r="I110" s="23"/>
      <c r="J110" s="23"/>
      <c r="K110" s="23"/>
      <c r="L110" s="23"/>
      <c r="M110" s="23"/>
      <c r="N110" s="23"/>
      <c r="O110" s="23"/>
      <c r="P110" s="23"/>
      <c r="Q110" s="23"/>
      <c r="R110" s="23"/>
      <c r="S110" s="23"/>
      <c r="T110" s="24" t="s">
        <v>246</v>
      </c>
    </row>
    <row r="111" spans="1:20" s="25" customFormat="1" ht="15.75" customHeight="1">
      <c r="A111" s="49" t="s">
        <v>278</v>
      </c>
      <c r="B111" s="50" t="s">
        <v>297</v>
      </c>
      <c r="C111" s="50">
        <v>2013</v>
      </c>
      <c r="D111" s="50" t="s">
        <v>26</v>
      </c>
      <c r="E111" s="50" t="s">
        <v>298</v>
      </c>
      <c r="F111" s="50" t="s">
        <v>299</v>
      </c>
      <c r="G111" s="50">
        <v>3.1E-2</v>
      </c>
      <c r="H111" s="50">
        <f>43*6</f>
        <v>258</v>
      </c>
      <c r="I111" s="51">
        <f>0.031*258/10000</f>
        <v>7.9980000000000003E-4</v>
      </c>
      <c r="J111" s="50">
        <v>0.5</v>
      </c>
      <c r="K111" s="50">
        <v>1</v>
      </c>
      <c r="L111" s="50">
        <v>30</v>
      </c>
      <c r="M111" s="50">
        <v>365</v>
      </c>
      <c r="N111" s="50">
        <v>3</v>
      </c>
      <c r="O111" s="50">
        <v>2</v>
      </c>
      <c r="P111" s="50">
        <v>2</v>
      </c>
      <c r="Q111" s="50">
        <v>0</v>
      </c>
      <c r="R111" s="51"/>
      <c r="S111" s="50" t="s">
        <v>293</v>
      </c>
      <c r="T111" s="59"/>
    </row>
    <row r="112" spans="1:20" s="25" customFormat="1" ht="15.75" customHeight="1">
      <c r="A112" s="49" t="s">
        <v>258</v>
      </c>
      <c r="B112" s="50" t="s">
        <v>300</v>
      </c>
      <c r="C112" s="50">
        <v>2011</v>
      </c>
      <c r="D112" s="50" t="s">
        <v>290</v>
      </c>
      <c r="E112" s="50" t="s">
        <v>301</v>
      </c>
      <c r="F112" s="50" t="s">
        <v>302</v>
      </c>
      <c r="G112" s="50">
        <v>3.3</v>
      </c>
      <c r="H112" s="50">
        <f>110+42+35</f>
        <v>187</v>
      </c>
      <c r="I112" s="50">
        <f>H112*G112</f>
        <v>617.1</v>
      </c>
      <c r="J112" s="50">
        <v>0.25</v>
      </c>
      <c r="K112" s="50">
        <v>7</v>
      </c>
      <c r="L112" s="50">
        <v>39</v>
      </c>
      <c r="M112" s="50">
        <v>182.5</v>
      </c>
      <c r="N112" s="50">
        <v>0</v>
      </c>
      <c r="O112" s="50">
        <v>1</v>
      </c>
      <c r="P112" s="50">
        <v>1</v>
      </c>
      <c r="Q112" s="50">
        <v>0</v>
      </c>
      <c r="R112" s="51"/>
      <c r="S112" s="50" t="s">
        <v>303</v>
      </c>
      <c r="T112" s="59"/>
    </row>
    <row r="113" spans="1:20" s="25" customFormat="1" ht="15.75" customHeight="1">
      <c r="A113" s="49" t="s">
        <v>24</v>
      </c>
      <c r="B113" s="50" t="s">
        <v>304</v>
      </c>
      <c r="C113" s="50">
        <v>2012</v>
      </c>
      <c r="D113" s="50" t="s">
        <v>26</v>
      </c>
      <c r="E113" s="50" t="s">
        <v>305</v>
      </c>
      <c r="F113" s="50" t="s">
        <v>306</v>
      </c>
      <c r="G113" s="50">
        <v>250</v>
      </c>
      <c r="H113" s="50">
        <v>48</v>
      </c>
      <c r="I113" s="51">
        <f>H113*G113/10000</f>
        <v>1.2</v>
      </c>
      <c r="J113" s="50">
        <v>0.5</v>
      </c>
      <c r="K113" s="50">
        <v>7</v>
      </c>
      <c r="L113" s="50">
        <f>7*48</f>
        <v>336</v>
      </c>
      <c r="M113" s="50">
        <v>60</v>
      </c>
      <c r="N113" s="50">
        <v>3</v>
      </c>
      <c r="O113" s="50">
        <v>2</v>
      </c>
      <c r="P113" s="50">
        <v>2</v>
      </c>
      <c r="Q113" s="50">
        <v>3</v>
      </c>
      <c r="R113" s="51"/>
      <c r="S113" s="50" t="s">
        <v>293</v>
      </c>
      <c r="T113" s="59"/>
    </row>
    <row r="114" spans="1:20" s="25" customFormat="1" ht="15.75" customHeight="1">
      <c r="A114" s="26" t="s">
        <v>95</v>
      </c>
      <c r="B114" s="20" t="s">
        <v>307</v>
      </c>
      <c r="C114" s="20">
        <v>2011</v>
      </c>
      <c r="D114" s="20" t="s">
        <v>26</v>
      </c>
      <c r="E114" s="23"/>
      <c r="F114" s="23"/>
      <c r="G114" s="23"/>
      <c r="H114" s="23"/>
      <c r="I114" s="23"/>
      <c r="J114" s="23"/>
      <c r="K114" s="23"/>
      <c r="L114" s="23"/>
      <c r="M114" s="23"/>
      <c r="N114" s="23"/>
      <c r="O114" s="23"/>
      <c r="P114" s="23"/>
      <c r="Q114" s="23"/>
      <c r="R114" s="23"/>
      <c r="S114" s="23"/>
      <c r="T114" s="24" t="s">
        <v>246</v>
      </c>
    </row>
    <row r="115" spans="1:20" s="25" customFormat="1" ht="15.75" customHeight="1">
      <c r="A115" s="49" t="s">
        <v>258</v>
      </c>
      <c r="B115" s="50" t="s">
        <v>308</v>
      </c>
      <c r="C115" s="50">
        <v>2006</v>
      </c>
      <c r="D115" s="50" t="s">
        <v>26</v>
      </c>
      <c r="E115" s="50" t="s">
        <v>309</v>
      </c>
      <c r="F115" s="62" t="s">
        <v>310</v>
      </c>
      <c r="G115" s="50">
        <v>3140000</v>
      </c>
      <c r="H115" s="50">
        <v>1</v>
      </c>
      <c r="I115" s="50">
        <f>3140000/10000</f>
        <v>314</v>
      </c>
      <c r="J115" s="50">
        <v>1</v>
      </c>
      <c r="K115" s="51">
        <f>0.5/24</f>
        <v>2.0833333333333332E-2</v>
      </c>
      <c r="L115" s="50">
        <v>1</v>
      </c>
      <c r="M115" s="50">
        <v>730</v>
      </c>
      <c r="N115" s="50">
        <v>1</v>
      </c>
      <c r="O115" s="50">
        <v>3</v>
      </c>
      <c r="P115" s="50">
        <v>3</v>
      </c>
      <c r="Q115" s="50">
        <v>0</v>
      </c>
      <c r="R115" s="51"/>
      <c r="S115" s="50" t="s">
        <v>311</v>
      </c>
      <c r="T115" s="59"/>
    </row>
    <row r="116" spans="1:20" s="25" customFormat="1" ht="15.75" customHeight="1">
      <c r="A116" s="63" t="s">
        <v>6</v>
      </c>
      <c r="B116" s="63" t="s">
        <v>312</v>
      </c>
      <c r="C116" s="63">
        <v>2014</v>
      </c>
      <c r="D116" s="64"/>
      <c r="E116" s="64"/>
      <c r="F116" s="64"/>
      <c r="G116" s="64"/>
      <c r="H116" s="64"/>
      <c r="I116" s="64"/>
      <c r="J116" s="64"/>
      <c r="K116" s="64"/>
      <c r="L116" s="64"/>
      <c r="M116" s="64"/>
      <c r="N116" s="64"/>
      <c r="O116" s="64"/>
      <c r="P116" s="64"/>
      <c r="Q116" s="64"/>
      <c r="R116" s="64"/>
      <c r="S116" s="64"/>
      <c r="T116" s="63" t="s">
        <v>268</v>
      </c>
    </row>
    <row r="117" spans="1:20" s="25" customFormat="1" ht="15.75" customHeight="1">
      <c r="A117" s="49" t="s">
        <v>313</v>
      </c>
      <c r="B117" s="50" t="s">
        <v>314</v>
      </c>
      <c r="C117" s="50">
        <v>2010</v>
      </c>
      <c r="D117" s="50" t="s">
        <v>26</v>
      </c>
      <c r="E117" s="50" t="s">
        <v>315</v>
      </c>
      <c r="F117" s="50" t="s">
        <v>316</v>
      </c>
      <c r="G117" s="50">
        <v>22.86</v>
      </c>
      <c r="H117" s="50">
        <v>9</v>
      </c>
      <c r="I117" s="51">
        <f>9*22.86/10000</f>
        <v>2.0574000000000002E-2</v>
      </c>
      <c r="J117" s="50">
        <v>1</v>
      </c>
      <c r="K117" s="50">
        <v>365</v>
      </c>
      <c r="L117" s="50">
        <v>9</v>
      </c>
      <c r="M117" s="51">
        <f>365*9</f>
        <v>3285</v>
      </c>
      <c r="N117" s="50">
        <v>1</v>
      </c>
      <c r="O117" s="50">
        <v>0</v>
      </c>
      <c r="P117" s="50">
        <v>0</v>
      </c>
      <c r="Q117" s="50">
        <v>0</v>
      </c>
      <c r="R117" s="51"/>
      <c r="S117" s="50" t="s">
        <v>317</v>
      </c>
      <c r="T117" s="59"/>
    </row>
    <row r="118" spans="1:20" s="25" customFormat="1" ht="15.75" customHeight="1">
      <c r="A118" s="49" t="s">
        <v>318</v>
      </c>
      <c r="B118" s="50" t="s">
        <v>319</v>
      </c>
      <c r="C118" s="50">
        <v>2010</v>
      </c>
      <c r="D118" s="36" t="s">
        <v>26</v>
      </c>
      <c r="E118" s="50" t="s">
        <v>320</v>
      </c>
      <c r="F118" s="50" t="s">
        <v>321</v>
      </c>
      <c r="G118" s="50">
        <v>1</v>
      </c>
      <c r="H118" s="50">
        <v>80</v>
      </c>
      <c r="I118" s="51">
        <f>80*1/10000</f>
        <v>8.0000000000000002E-3</v>
      </c>
      <c r="J118" s="50">
        <v>1</v>
      </c>
      <c r="K118" s="50">
        <v>0</v>
      </c>
      <c r="L118" s="50">
        <v>80</v>
      </c>
      <c r="M118" s="50">
        <v>92</v>
      </c>
      <c r="N118" s="50">
        <v>3</v>
      </c>
      <c r="O118" s="50">
        <v>2</v>
      </c>
      <c r="P118" s="50">
        <v>1</v>
      </c>
      <c r="Q118" s="50">
        <v>2</v>
      </c>
      <c r="R118" s="51"/>
      <c r="S118" s="50" t="s">
        <v>322</v>
      </c>
      <c r="T118" s="59"/>
    </row>
    <row r="119" spans="1:20" s="25" customFormat="1" ht="15.75" customHeight="1">
      <c r="A119" s="33" t="s">
        <v>6</v>
      </c>
      <c r="B119" s="36" t="s">
        <v>323</v>
      </c>
      <c r="C119" s="36">
        <v>2009</v>
      </c>
      <c r="D119" s="36" t="s">
        <v>26</v>
      </c>
      <c r="E119" s="36" t="s">
        <v>324</v>
      </c>
      <c r="F119" s="36" t="s">
        <v>325</v>
      </c>
      <c r="G119" s="36">
        <v>4.6399999999999997E-2</v>
      </c>
      <c r="H119" s="36">
        <v>3708</v>
      </c>
      <c r="I119" s="36">
        <f>0.0464*H119/10000</f>
        <v>1.7205120000000001E-2</v>
      </c>
      <c r="J119" s="36">
        <v>4.1666666659999997E-2</v>
      </c>
      <c r="K119" s="36">
        <v>1</v>
      </c>
      <c r="L119" s="37">
        <f t="shared" ref="L119:L122" si="7">J119*H119</f>
        <v>154.49999997527999</v>
      </c>
      <c r="M119" s="36">
        <v>33</v>
      </c>
      <c r="N119" s="36">
        <v>0</v>
      </c>
      <c r="O119" s="36">
        <v>1</v>
      </c>
      <c r="P119" s="36">
        <v>1</v>
      </c>
      <c r="Q119" s="36">
        <v>0</v>
      </c>
      <c r="R119" s="34" t="s">
        <v>326</v>
      </c>
      <c r="S119" s="36" t="s">
        <v>322</v>
      </c>
      <c r="T119" s="65" t="s">
        <v>327</v>
      </c>
    </row>
    <row r="120" spans="1:20" s="25" customFormat="1" ht="15.75" customHeight="1">
      <c r="A120" s="39" t="s">
        <v>6</v>
      </c>
      <c r="B120" s="28" t="s">
        <v>328</v>
      </c>
      <c r="C120" s="28">
        <v>2009</v>
      </c>
      <c r="D120" s="28" t="s">
        <v>26</v>
      </c>
      <c r="E120" s="28" t="s">
        <v>324</v>
      </c>
      <c r="F120" s="28" t="s">
        <v>325</v>
      </c>
      <c r="G120" s="28">
        <v>0.04</v>
      </c>
      <c r="H120" s="40">
        <f>8*107</f>
        <v>856</v>
      </c>
      <c r="I120" s="28">
        <f t="shared" ref="I120:I122" si="8">0.04*H120/10000</f>
        <v>3.4240000000000004E-3</v>
      </c>
      <c r="J120" s="28">
        <v>4.1666666659999997E-2</v>
      </c>
      <c r="K120" s="28">
        <v>1</v>
      </c>
      <c r="L120" s="40">
        <f t="shared" si="7"/>
        <v>35.666666660959997</v>
      </c>
      <c r="M120" s="28">
        <v>80</v>
      </c>
      <c r="N120" s="28">
        <v>0</v>
      </c>
      <c r="O120" s="28">
        <v>1</v>
      </c>
      <c r="P120" s="28">
        <v>1</v>
      </c>
      <c r="Q120" s="28">
        <v>0</v>
      </c>
      <c r="R120" s="28" t="s">
        <v>329</v>
      </c>
      <c r="S120" s="28" t="s">
        <v>322</v>
      </c>
      <c r="T120" s="66"/>
    </row>
    <row r="121" spans="1:20" s="25" customFormat="1" ht="15.75" customHeight="1">
      <c r="A121" s="39" t="s">
        <v>6</v>
      </c>
      <c r="B121" s="28" t="s">
        <v>330</v>
      </c>
      <c r="C121" s="28">
        <v>2009</v>
      </c>
      <c r="D121" s="28" t="s">
        <v>26</v>
      </c>
      <c r="E121" s="28" t="s">
        <v>324</v>
      </c>
      <c r="F121" s="28" t="s">
        <v>325</v>
      </c>
      <c r="G121" s="28">
        <v>0.04</v>
      </c>
      <c r="H121" s="28">
        <v>1400</v>
      </c>
      <c r="I121" s="28">
        <f t="shared" si="8"/>
        <v>5.5999999999999999E-3</v>
      </c>
      <c r="J121" s="28">
        <v>4.1666666659999997E-2</v>
      </c>
      <c r="K121" s="28">
        <v>1</v>
      </c>
      <c r="L121" s="40">
        <f t="shared" si="7"/>
        <v>58.333333323999994</v>
      </c>
      <c r="M121" s="28">
        <v>242</v>
      </c>
      <c r="N121" s="28">
        <v>0</v>
      </c>
      <c r="O121" s="28">
        <v>1</v>
      </c>
      <c r="P121" s="28">
        <v>1</v>
      </c>
      <c r="Q121" s="28">
        <v>0</v>
      </c>
      <c r="R121" s="28" t="s">
        <v>331</v>
      </c>
      <c r="S121" s="28" t="s">
        <v>332</v>
      </c>
      <c r="T121" s="66"/>
    </row>
    <row r="122" spans="1:20" s="25" customFormat="1" ht="15.75" customHeight="1">
      <c r="A122" s="43" t="s">
        <v>6</v>
      </c>
      <c r="B122" s="44" t="s">
        <v>333</v>
      </c>
      <c r="C122" s="44">
        <v>2009</v>
      </c>
      <c r="D122" s="44" t="s">
        <v>26</v>
      </c>
      <c r="E122" s="44" t="s">
        <v>324</v>
      </c>
      <c r="F122" s="44" t="s">
        <v>325</v>
      </c>
      <c r="G122" s="44">
        <v>0.04</v>
      </c>
      <c r="H122" s="44">
        <v>5011</v>
      </c>
      <c r="I122" s="44">
        <f t="shared" si="8"/>
        <v>2.0043999999999999E-2</v>
      </c>
      <c r="J122" s="44">
        <v>4.1666666659999997E-2</v>
      </c>
      <c r="K122" s="44">
        <v>1</v>
      </c>
      <c r="L122" s="47">
        <f t="shared" si="7"/>
        <v>208.79166663325998</v>
      </c>
      <c r="M122" s="44">
        <v>70</v>
      </c>
      <c r="N122" s="44">
        <v>0</v>
      </c>
      <c r="O122" s="44">
        <v>1</v>
      </c>
      <c r="P122" s="44">
        <v>1</v>
      </c>
      <c r="Q122" s="44">
        <v>0</v>
      </c>
      <c r="R122" s="67" t="s">
        <v>334</v>
      </c>
      <c r="S122" s="44" t="s">
        <v>322</v>
      </c>
      <c r="T122" s="68" t="s">
        <v>334</v>
      </c>
    </row>
    <row r="123" spans="1:20" s="25" customFormat="1" ht="15.75" customHeight="1">
      <c r="A123" s="26" t="s">
        <v>149</v>
      </c>
      <c r="B123" s="20" t="s">
        <v>335</v>
      </c>
      <c r="C123" s="20">
        <v>2007</v>
      </c>
      <c r="D123" s="69"/>
      <c r="E123" s="23"/>
      <c r="F123" s="23"/>
      <c r="G123" s="23"/>
      <c r="H123" s="23"/>
      <c r="I123" s="23"/>
      <c r="J123" s="23"/>
      <c r="K123" s="23"/>
      <c r="L123" s="23"/>
      <c r="M123" s="23"/>
      <c r="N123" s="23"/>
      <c r="O123" s="23"/>
      <c r="P123" s="23"/>
      <c r="Q123" s="23"/>
      <c r="R123" s="23"/>
      <c r="S123" s="23"/>
      <c r="T123" s="24" t="s">
        <v>268</v>
      </c>
    </row>
    <row r="124" spans="1:20" s="25" customFormat="1" ht="15.75" customHeight="1">
      <c r="A124" s="49" t="s">
        <v>24</v>
      </c>
      <c r="B124" s="50" t="s">
        <v>336</v>
      </c>
      <c r="C124" s="50">
        <v>2012</v>
      </c>
      <c r="D124" s="50" t="s">
        <v>26</v>
      </c>
      <c r="E124" s="50" t="s">
        <v>337</v>
      </c>
      <c r="F124" s="50" t="s">
        <v>338</v>
      </c>
      <c r="G124" s="50">
        <f>300*100</f>
        <v>30000</v>
      </c>
      <c r="H124" s="50">
        <v>1</v>
      </c>
      <c r="I124" s="51">
        <f>30000/10000</f>
        <v>3</v>
      </c>
      <c r="J124" s="50">
        <v>1</v>
      </c>
      <c r="K124" s="50">
        <v>6.9444443999999998E-4</v>
      </c>
      <c r="L124" s="50">
        <v>1</v>
      </c>
      <c r="M124" s="51">
        <f>14*365</f>
        <v>5110</v>
      </c>
      <c r="N124" s="50">
        <v>1</v>
      </c>
      <c r="O124" s="50">
        <v>1</v>
      </c>
      <c r="P124" s="50">
        <v>0</v>
      </c>
      <c r="Q124" s="50">
        <v>1</v>
      </c>
      <c r="R124" s="51"/>
      <c r="S124" s="50" t="s">
        <v>339</v>
      </c>
      <c r="T124" s="59"/>
    </row>
    <row r="125" spans="1:20" s="25" customFormat="1" ht="16.5" customHeight="1">
      <c r="A125" s="26" t="s">
        <v>24</v>
      </c>
      <c r="B125" s="20" t="s">
        <v>340</v>
      </c>
      <c r="C125" s="20">
        <v>2013</v>
      </c>
      <c r="D125" s="23"/>
      <c r="E125" s="23"/>
      <c r="F125" s="23"/>
      <c r="G125" s="23"/>
      <c r="H125" s="23"/>
      <c r="I125" s="23"/>
      <c r="J125" s="23"/>
      <c r="K125" s="23"/>
      <c r="L125" s="23"/>
      <c r="M125" s="23"/>
      <c r="N125" s="23"/>
      <c r="O125" s="20"/>
      <c r="P125" s="23"/>
      <c r="Q125" s="23"/>
      <c r="R125" s="23"/>
      <c r="S125" s="23"/>
      <c r="T125" s="24" t="s">
        <v>246</v>
      </c>
    </row>
    <row r="126" spans="1:20" s="25" customFormat="1" ht="15.75" customHeight="1">
      <c r="A126" s="26" t="s">
        <v>341</v>
      </c>
      <c r="B126" s="20" t="s">
        <v>342</v>
      </c>
      <c r="C126" s="20">
        <v>2013</v>
      </c>
      <c r="D126" s="23"/>
      <c r="E126" s="23"/>
      <c r="F126" s="23"/>
      <c r="G126" s="23"/>
      <c r="H126" s="23"/>
      <c r="I126" s="23"/>
      <c r="J126" s="23"/>
      <c r="K126" s="23"/>
      <c r="L126" s="23"/>
      <c r="M126" s="23"/>
      <c r="N126" s="23"/>
      <c r="O126" s="23"/>
      <c r="P126" s="23"/>
      <c r="Q126" s="23"/>
      <c r="R126" s="23"/>
      <c r="S126" s="23"/>
      <c r="T126" s="24" t="s">
        <v>246</v>
      </c>
    </row>
    <row r="127" spans="1:20" s="25" customFormat="1" ht="15.75" customHeight="1">
      <c r="A127" s="26" t="s">
        <v>50</v>
      </c>
      <c r="B127" s="70" t="s">
        <v>343</v>
      </c>
      <c r="C127" s="20">
        <v>2012</v>
      </c>
      <c r="D127" s="23"/>
      <c r="E127" s="23"/>
      <c r="F127" s="23"/>
      <c r="G127" s="23"/>
      <c r="H127" s="23"/>
      <c r="I127" s="23"/>
      <c r="J127" s="23"/>
      <c r="K127" s="23"/>
      <c r="L127" s="23"/>
      <c r="M127" s="23"/>
      <c r="N127" s="23"/>
      <c r="O127" s="23"/>
      <c r="P127" s="23"/>
      <c r="Q127" s="23"/>
      <c r="R127" s="23"/>
      <c r="S127" s="23"/>
      <c r="T127" s="24" t="s">
        <v>344</v>
      </c>
    </row>
    <row r="128" spans="1:20" s="25" customFormat="1" ht="15.75" customHeight="1">
      <c r="A128" s="71" t="s">
        <v>95</v>
      </c>
      <c r="B128" s="72" t="s">
        <v>345</v>
      </c>
      <c r="C128" s="72">
        <v>2008</v>
      </c>
      <c r="D128" s="72" t="s">
        <v>26</v>
      </c>
      <c r="E128" s="72" t="s">
        <v>346</v>
      </c>
      <c r="F128" s="72" t="s">
        <v>347</v>
      </c>
      <c r="G128" s="72">
        <v>100</v>
      </c>
      <c r="H128" s="72">
        <v>4</v>
      </c>
      <c r="I128" s="72">
        <f>400/10000</f>
        <v>0.04</v>
      </c>
      <c r="J128" s="72">
        <v>0.5</v>
      </c>
      <c r="K128" s="72">
        <v>0</v>
      </c>
      <c r="L128" s="72">
        <v>30</v>
      </c>
      <c r="M128" s="72">
        <v>365</v>
      </c>
      <c r="N128" s="72">
        <v>3</v>
      </c>
      <c r="O128" s="72">
        <v>1</v>
      </c>
      <c r="P128" s="72">
        <v>1</v>
      </c>
      <c r="Q128" s="72">
        <v>1</v>
      </c>
      <c r="R128" s="73"/>
      <c r="S128" s="72" t="s">
        <v>348</v>
      </c>
      <c r="T128" s="74" t="s">
        <v>349</v>
      </c>
    </row>
    <row r="129" spans="1:20" s="25" customFormat="1" ht="15.75" customHeight="1">
      <c r="A129" s="75" t="s">
        <v>24</v>
      </c>
      <c r="B129" s="76" t="s">
        <v>350</v>
      </c>
      <c r="C129" s="77">
        <v>2010</v>
      </c>
      <c r="D129" s="76" t="s">
        <v>351</v>
      </c>
      <c r="E129" s="76" t="s">
        <v>352</v>
      </c>
      <c r="F129" s="76" t="s">
        <v>353</v>
      </c>
      <c r="G129" s="78">
        <v>598000</v>
      </c>
      <c r="H129" s="78">
        <v>21186</v>
      </c>
      <c r="I129" s="79">
        <f t="shared" ref="I129:I130" si="9">(G129*H129)/10000</f>
        <v>1266922.8</v>
      </c>
      <c r="J129" s="79">
        <v>1</v>
      </c>
      <c r="K129" s="79">
        <v>0</v>
      </c>
      <c r="L129" s="79">
        <v>21186</v>
      </c>
      <c r="M129" s="80">
        <v>365</v>
      </c>
      <c r="N129" s="79">
        <v>1</v>
      </c>
      <c r="O129" s="79">
        <v>1</v>
      </c>
      <c r="P129" s="79">
        <v>1</v>
      </c>
      <c r="Q129" s="79">
        <v>0</v>
      </c>
      <c r="R129" s="76"/>
      <c r="S129" s="76" t="s">
        <v>354</v>
      </c>
      <c r="T129" s="81"/>
    </row>
    <row r="130" spans="1:20" s="25" customFormat="1" ht="15.75" customHeight="1">
      <c r="A130" s="82" t="s">
        <v>24</v>
      </c>
      <c r="B130" s="83" t="s">
        <v>355</v>
      </c>
      <c r="C130" s="84">
        <v>2010</v>
      </c>
      <c r="D130" s="83" t="s">
        <v>351</v>
      </c>
      <c r="E130" s="83" t="s">
        <v>352</v>
      </c>
      <c r="F130" s="83" t="s">
        <v>353</v>
      </c>
      <c r="G130" s="85">
        <v>1079000</v>
      </c>
      <c r="H130" s="85">
        <v>11702</v>
      </c>
      <c r="I130" s="86">
        <f t="shared" si="9"/>
        <v>1262645.8</v>
      </c>
      <c r="J130" s="86">
        <v>1</v>
      </c>
      <c r="K130" s="86">
        <v>0</v>
      </c>
      <c r="L130" s="86">
        <v>11702</v>
      </c>
      <c r="M130" s="86">
        <v>365</v>
      </c>
      <c r="N130" s="86">
        <v>1</v>
      </c>
      <c r="O130" s="86">
        <v>1</v>
      </c>
      <c r="P130" s="86">
        <v>1</v>
      </c>
      <c r="Q130" s="86">
        <v>0</v>
      </c>
      <c r="R130" s="83"/>
      <c r="S130" s="83" t="s">
        <v>354</v>
      </c>
      <c r="T130" s="87"/>
    </row>
    <row r="131" spans="1:20" s="25" customFormat="1" ht="15.75" customHeight="1">
      <c r="A131" s="88" t="s">
        <v>50</v>
      </c>
      <c r="B131" s="69" t="s">
        <v>356</v>
      </c>
      <c r="C131" s="89"/>
      <c r="D131" s="89"/>
      <c r="E131" s="89"/>
      <c r="F131" s="89"/>
      <c r="G131" s="89"/>
      <c r="H131" s="89"/>
      <c r="I131" s="89"/>
      <c r="J131" s="89"/>
      <c r="K131" s="89"/>
      <c r="L131" s="89"/>
      <c r="M131" s="89"/>
      <c r="N131" s="89"/>
      <c r="O131" s="89"/>
      <c r="P131" s="89"/>
      <c r="Q131" s="89"/>
      <c r="R131" s="89"/>
      <c r="S131" s="89"/>
      <c r="T131" s="90" t="s">
        <v>295</v>
      </c>
    </row>
    <row r="132" spans="1:20" s="25" customFormat="1" ht="15.75" customHeight="1">
      <c r="A132" s="88" t="s">
        <v>127</v>
      </c>
      <c r="B132" s="89" t="s">
        <v>357</v>
      </c>
      <c r="C132" s="89"/>
      <c r="D132" s="89"/>
      <c r="E132" s="89"/>
      <c r="F132" s="89"/>
      <c r="G132" s="89"/>
      <c r="H132" s="89"/>
      <c r="I132" s="89"/>
      <c r="J132" s="89"/>
      <c r="K132" s="89"/>
      <c r="L132" s="89"/>
      <c r="M132" s="89"/>
      <c r="N132" s="89"/>
      <c r="O132" s="89"/>
      <c r="P132" s="89"/>
      <c r="Q132" s="89"/>
      <c r="R132" s="89"/>
      <c r="S132" s="89"/>
      <c r="T132" s="90" t="s">
        <v>268</v>
      </c>
    </row>
    <row r="133" spans="1:20" s="25" customFormat="1" ht="15.75" customHeight="1">
      <c r="A133" s="89" t="s">
        <v>149</v>
      </c>
      <c r="B133" s="89" t="s">
        <v>1128</v>
      </c>
      <c r="C133" s="89"/>
      <c r="D133" s="89"/>
      <c r="E133" s="89"/>
      <c r="F133" s="89"/>
      <c r="G133" s="89"/>
      <c r="H133" s="89"/>
      <c r="I133" s="89"/>
      <c r="J133" s="89"/>
      <c r="K133" s="89"/>
      <c r="L133" s="89"/>
      <c r="M133" s="89"/>
      <c r="N133" s="89"/>
      <c r="O133" s="89"/>
      <c r="P133" s="89"/>
      <c r="Q133" s="89"/>
      <c r="R133" s="89"/>
      <c r="S133" s="89"/>
      <c r="T133" s="90" t="s">
        <v>295</v>
      </c>
    </row>
    <row r="134" spans="1:20" s="25" customFormat="1" ht="15.75" customHeight="1">
      <c r="A134" s="43" t="s">
        <v>50</v>
      </c>
      <c r="B134" s="47" t="s">
        <v>358</v>
      </c>
      <c r="C134" s="45">
        <v>2009</v>
      </c>
      <c r="D134" s="44" t="s">
        <v>290</v>
      </c>
      <c r="E134" s="44" t="s">
        <v>309</v>
      </c>
      <c r="F134" s="44" t="s">
        <v>359</v>
      </c>
      <c r="G134" s="45">
        <v>6093000</v>
      </c>
      <c r="H134" s="45">
        <v>4</v>
      </c>
      <c r="I134" s="45">
        <f t="shared" ref="I134:I135" si="10">(G134*H134)/10000</f>
        <v>2437.1999999999998</v>
      </c>
      <c r="J134" s="45">
        <v>1</v>
      </c>
      <c r="K134" s="45">
        <v>0</v>
      </c>
      <c r="L134" s="45">
        <f t="shared" ref="L134:L135" si="11">J134*H134</f>
        <v>4</v>
      </c>
      <c r="M134" s="45">
        <v>1095</v>
      </c>
      <c r="N134" s="45">
        <v>1</v>
      </c>
      <c r="O134" s="45">
        <v>1</v>
      </c>
      <c r="P134" s="45">
        <v>1</v>
      </c>
      <c r="Q134" s="45">
        <v>1</v>
      </c>
      <c r="R134" s="44"/>
      <c r="S134" s="44" t="s">
        <v>360</v>
      </c>
      <c r="T134" s="58"/>
    </row>
    <row r="135" spans="1:20" s="25" customFormat="1" ht="15.75" customHeight="1">
      <c r="A135" s="43" t="s">
        <v>258</v>
      </c>
      <c r="B135" s="44" t="s">
        <v>361</v>
      </c>
      <c r="C135" s="45">
        <v>2011</v>
      </c>
      <c r="D135" s="44" t="s">
        <v>26</v>
      </c>
      <c r="E135" s="44" t="s">
        <v>362</v>
      </c>
      <c r="F135" s="44" t="s">
        <v>363</v>
      </c>
      <c r="G135" s="45">
        <v>0.4536</v>
      </c>
      <c r="H135" s="45">
        <v>12</v>
      </c>
      <c r="I135" s="45">
        <f t="shared" si="10"/>
        <v>5.4432000000000005E-4</v>
      </c>
      <c r="J135" s="45">
        <v>4.1666666659999997E-2</v>
      </c>
      <c r="K135" s="45">
        <v>4.1666666659999997E-2</v>
      </c>
      <c r="L135" s="45">
        <f t="shared" si="11"/>
        <v>0.49999999991999999</v>
      </c>
      <c r="M135" s="45">
        <v>365</v>
      </c>
      <c r="N135" s="45">
        <v>1</v>
      </c>
      <c r="O135" s="45">
        <v>2</v>
      </c>
      <c r="P135" s="45">
        <v>1</v>
      </c>
      <c r="Q135" s="45">
        <v>0</v>
      </c>
      <c r="R135" s="44"/>
      <c r="S135" s="44" t="s">
        <v>364</v>
      </c>
      <c r="T135" s="58"/>
    </row>
    <row r="136" spans="1:20" s="25" customFormat="1" ht="15.75" customHeight="1">
      <c r="A136" s="88" t="s">
        <v>313</v>
      </c>
      <c r="B136" s="89" t="s">
        <v>365</v>
      </c>
      <c r="C136" s="89"/>
      <c r="D136" s="89"/>
      <c r="E136" s="89"/>
      <c r="F136" s="89"/>
      <c r="G136" s="89"/>
      <c r="H136" s="89"/>
      <c r="I136" s="89"/>
      <c r="J136" s="89"/>
      <c r="K136" s="89"/>
      <c r="L136" s="89"/>
      <c r="M136" s="89"/>
      <c r="N136" s="89"/>
      <c r="O136" s="89"/>
      <c r="P136" s="89"/>
      <c r="Q136" s="89"/>
      <c r="R136" s="89"/>
      <c r="S136" s="89"/>
      <c r="T136" s="90" t="s">
        <v>246</v>
      </c>
    </row>
    <row r="137" spans="1:20" s="25" customFormat="1" ht="15.75" customHeight="1">
      <c r="A137" s="88" t="s">
        <v>6</v>
      </c>
      <c r="B137" s="89" t="s">
        <v>366</v>
      </c>
      <c r="C137" s="89"/>
      <c r="D137" s="89"/>
      <c r="E137" s="89"/>
      <c r="F137" s="89"/>
      <c r="G137" s="89"/>
      <c r="H137" s="89"/>
      <c r="I137" s="89"/>
      <c r="J137" s="89"/>
      <c r="K137" s="89"/>
      <c r="L137" s="89"/>
      <c r="M137" s="89"/>
      <c r="N137" s="89"/>
      <c r="O137" s="89"/>
      <c r="P137" s="89"/>
      <c r="Q137" s="89"/>
      <c r="R137" s="89"/>
      <c r="S137" s="89"/>
      <c r="T137" s="90" t="s">
        <v>295</v>
      </c>
    </row>
    <row r="138" spans="1:20" s="25" customFormat="1" ht="15.75" customHeight="1">
      <c r="A138" s="88" t="s">
        <v>313</v>
      </c>
      <c r="B138" s="89" t="s">
        <v>367</v>
      </c>
      <c r="C138" s="89"/>
      <c r="D138" s="89"/>
      <c r="E138" s="89"/>
      <c r="F138" s="89"/>
      <c r="G138" s="89"/>
      <c r="H138" s="89"/>
      <c r="I138" s="89"/>
      <c r="J138" s="89"/>
      <c r="K138" s="89"/>
      <c r="L138" s="89"/>
      <c r="M138" s="89"/>
      <c r="N138" s="89"/>
      <c r="O138" s="89"/>
      <c r="P138" s="89"/>
      <c r="Q138" s="89"/>
      <c r="R138" s="89"/>
      <c r="S138" s="89"/>
      <c r="T138" s="90" t="s">
        <v>368</v>
      </c>
    </row>
    <row r="139" spans="1:20" s="25" customFormat="1" ht="15.75" customHeight="1">
      <c r="A139" s="88" t="s">
        <v>269</v>
      </c>
      <c r="B139" s="89" t="s">
        <v>369</v>
      </c>
      <c r="C139" s="89"/>
      <c r="D139" s="89"/>
      <c r="E139" s="89"/>
      <c r="F139" s="89"/>
      <c r="G139" s="89"/>
      <c r="H139" s="89"/>
      <c r="I139" s="89"/>
      <c r="J139" s="89"/>
      <c r="K139" s="89"/>
      <c r="L139" s="89"/>
      <c r="M139" s="89"/>
      <c r="N139" s="89"/>
      <c r="O139" s="89"/>
      <c r="P139" s="89"/>
      <c r="Q139" s="89"/>
      <c r="R139" s="89"/>
      <c r="S139" s="89"/>
      <c r="T139" s="90" t="s">
        <v>370</v>
      </c>
    </row>
    <row r="140" spans="1:20" s="25" customFormat="1" ht="15.75" customHeight="1">
      <c r="A140" s="88" t="s">
        <v>318</v>
      </c>
      <c r="B140" s="89" t="s">
        <v>371</v>
      </c>
      <c r="C140" s="89"/>
      <c r="D140" s="89"/>
      <c r="E140" s="89"/>
      <c r="F140" s="89"/>
      <c r="G140" s="89"/>
      <c r="H140" s="89"/>
      <c r="I140" s="89"/>
      <c r="J140" s="89"/>
      <c r="K140" s="89"/>
      <c r="L140" s="89"/>
      <c r="M140" s="89"/>
      <c r="N140" s="89"/>
      <c r="O140" s="89"/>
      <c r="P140" s="89"/>
      <c r="Q140" s="89"/>
      <c r="R140" s="89"/>
      <c r="S140" s="89"/>
      <c r="T140" s="90" t="s">
        <v>268</v>
      </c>
    </row>
    <row r="141" spans="1:20" s="25" customFormat="1" ht="15.75" customHeight="1">
      <c r="A141" s="88" t="s">
        <v>93</v>
      </c>
      <c r="B141" s="89" t="s">
        <v>372</v>
      </c>
      <c r="C141" s="89"/>
      <c r="D141" s="89"/>
      <c r="E141" s="89"/>
      <c r="F141" s="89"/>
      <c r="G141" s="89"/>
      <c r="H141" s="89"/>
      <c r="I141" s="89"/>
      <c r="J141" s="89"/>
      <c r="K141" s="89"/>
      <c r="L141" s="89"/>
      <c r="M141" s="89"/>
      <c r="N141" s="89"/>
      <c r="O141" s="89"/>
      <c r="P141" s="89"/>
      <c r="Q141" s="89"/>
      <c r="R141" s="89"/>
      <c r="S141" s="89"/>
      <c r="T141" s="90" t="s">
        <v>295</v>
      </c>
    </row>
    <row r="142" spans="1:20" s="25" customFormat="1" ht="15.75" customHeight="1">
      <c r="A142" s="82" t="s">
        <v>373</v>
      </c>
      <c r="B142" s="83" t="s">
        <v>374</v>
      </c>
      <c r="C142" s="86">
        <v>2012</v>
      </c>
      <c r="D142" s="83" t="s">
        <v>26</v>
      </c>
      <c r="E142" s="91" t="s">
        <v>375</v>
      </c>
      <c r="F142" s="92" t="s">
        <v>376</v>
      </c>
      <c r="G142" s="83">
        <v>100</v>
      </c>
      <c r="H142" s="83">
        <v>116</v>
      </c>
      <c r="I142" s="86">
        <f>(G142*H142)/10000</f>
        <v>1.1599999999999999</v>
      </c>
      <c r="J142" s="83">
        <v>4.1666666659999997E-2</v>
      </c>
      <c r="K142" s="83">
        <v>4.1666666659999997E-2</v>
      </c>
      <c r="L142" s="86">
        <f t="shared" ref="L142:L144" si="12">J142*H142</f>
        <v>4.8333333325599996</v>
      </c>
      <c r="M142" s="83">
        <f>365*6</f>
        <v>2190</v>
      </c>
      <c r="N142" s="83">
        <v>1</v>
      </c>
      <c r="O142" s="83">
        <v>1</v>
      </c>
      <c r="P142" s="83">
        <v>1</v>
      </c>
      <c r="Q142" s="83">
        <v>0</v>
      </c>
      <c r="R142" s="83" t="s">
        <v>377</v>
      </c>
      <c r="S142" s="83" t="s">
        <v>378</v>
      </c>
      <c r="T142" s="87"/>
    </row>
    <row r="143" spans="1:20" s="25" customFormat="1" ht="15.75" customHeight="1">
      <c r="A143" s="43" t="s">
        <v>379</v>
      </c>
      <c r="B143" s="57" t="s">
        <v>380</v>
      </c>
      <c r="C143" s="45">
        <v>2007</v>
      </c>
      <c r="D143" s="44" t="s">
        <v>26</v>
      </c>
      <c r="E143" s="57" t="s">
        <v>381</v>
      </c>
      <c r="F143" s="93" t="s">
        <v>382</v>
      </c>
      <c r="G143" s="45">
        <v>4.25</v>
      </c>
      <c r="H143" s="45">
        <v>120</v>
      </c>
      <c r="I143" s="45">
        <f>(G143*120)/10000</f>
        <v>5.0999999999999997E-2</v>
      </c>
      <c r="J143" s="45">
        <v>1</v>
      </c>
      <c r="K143" s="45">
        <v>14</v>
      </c>
      <c r="L143" s="45">
        <f t="shared" si="12"/>
        <v>120</v>
      </c>
      <c r="M143" s="45">
        <f>365*3</f>
        <v>1095</v>
      </c>
      <c r="N143" s="45">
        <v>1</v>
      </c>
      <c r="O143" s="45">
        <v>2</v>
      </c>
      <c r="P143" s="45">
        <v>1</v>
      </c>
      <c r="Q143" s="45">
        <v>1</v>
      </c>
      <c r="R143" s="44"/>
      <c r="S143" s="44" t="s">
        <v>383</v>
      </c>
      <c r="T143" s="58"/>
    </row>
    <row r="144" spans="1:20" s="25" customFormat="1" ht="15.75" customHeight="1">
      <c r="A144" s="82" t="s">
        <v>384</v>
      </c>
      <c r="B144" s="83" t="s">
        <v>385</v>
      </c>
      <c r="C144" s="86">
        <v>2006</v>
      </c>
      <c r="D144" s="83" t="s">
        <v>26</v>
      </c>
      <c r="E144" s="94" t="s">
        <v>386</v>
      </c>
      <c r="F144" s="95" t="s">
        <v>387</v>
      </c>
      <c r="G144" s="83">
        <v>25</v>
      </c>
      <c r="H144" s="83">
        <f>28*10</f>
        <v>280</v>
      </c>
      <c r="I144" s="86">
        <f>(G144*280)/10000</f>
        <v>0.7</v>
      </c>
      <c r="J144" s="83">
        <v>0.5</v>
      </c>
      <c r="K144" s="83">
        <v>30</v>
      </c>
      <c r="L144" s="86">
        <f t="shared" si="12"/>
        <v>140</v>
      </c>
      <c r="M144" s="83">
        <v>365</v>
      </c>
      <c r="N144" s="83">
        <v>1</v>
      </c>
      <c r="O144" s="83">
        <v>1</v>
      </c>
      <c r="P144" s="83">
        <v>1</v>
      </c>
      <c r="Q144" s="83">
        <v>0</v>
      </c>
      <c r="R144" s="83"/>
      <c r="S144" s="83" t="s">
        <v>388</v>
      </c>
      <c r="T144" s="87"/>
    </row>
    <row r="145" spans="1:30" s="25" customFormat="1" ht="15.75" customHeight="1">
      <c r="A145" s="88" t="s">
        <v>127</v>
      </c>
      <c r="B145" s="89" t="s">
        <v>389</v>
      </c>
      <c r="C145" s="96">
        <v>2013</v>
      </c>
      <c r="D145" s="89"/>
      <c r="E145" s="89"/>
      <c r="F145" s="89"/>
      <c r="G145" s="89"/>
      <c r="H145" s="89"/>
      <c r="I145" s="89"/>
      <c r="J145" s="89"/>
      <c r="K145" s="89"/>
      <c r="L145" s="89"/>
      <c r="M145" s="89"/>
      <c r="N145" s="89"/>
      <c r="O145" s="89"/>
      <c r="P145" s="89"/>
      <c r="Q145" s="89"/>
      <c r="R145" s="89"/>
      <c r="S145" s="89"/>
      <c r="T145" s="90" t="s">
        <v>246</v>
      </c>
    </row>
    <row r="146" spans="1:30" s="25" customFormat="1" ht="15.75" customHeight="1">
      <c r="A146" s="88" t="s">
        <v>134</v>
      </c>
      <c r="B146" s="97" t="s">
        <v>390</v>
      </c>
      <c r="C146" s="96">
        <v>2004</v>
      </c>
      <c r="D146" s="89"/>
      <c r="E146" s="89"/>
      <c r="F146" s="89"/>
      <c r="G146" s="89"/>
      <c r="H146" s="89"/>
      <c r="I146" s="89"/>
      <c r="J146" s="89"/>
      <c r="K146" s="89"/>
      <c r="L146" s="89"/>
      <c r="M146" s="89"/>
      <c r="N146" s="89"/>
      <c r="O146" s="89"/>
      <c r="P146" s="89"/>
      <c r="Q146" s="89"/>
      <c r="R146" s="89"/>
      <c r="S146" s="89"/>
      <c r="T146" s="90" t="s">
        <v>268</v>
      </c>
    </row>
    <row r="147" spans="1:30" s="25" customFormat="1" ht="15.75" customHeight="1">
      <c r="A147" s="88" t="s">
        <v>127</v>
      </c>
      <c r="B147" s="98" t="s">
        <v>391</v>
      </c>
      <c r="C147" s="96">
        <v>2011</v>
      </c>
      <c r="D147" s="89"/>
      <c r="E147" s="89"/>
      <c r="F147" s="89"/>
      <c r="G147" s="89"/>
      <c r="H147" s="89"/>
      <c r="I147" s="89"/>
      <c r="J147" s="89"/>
      <c r="K147" s="89"/>
      <c r="L147" s="89"/>
      <c r="M147" s="89"/>
      <c r="N147" s="89"/>
      <c r="O147" s="89"/>
      <c r="P147" s="89"/>
      <c r="Q147" s="89"/>
      <c r="R147" s="89"/>
      <c r="S147" s="89"/>
      <c r="T147" s="90"/>
    </row>
    <row r="148" spans="1:30" s="25" customFormat="1" ht="15.75" customHeight="1">
      <c r="A148" s="88" t="s">
        <v>149</v>
      </c>
      <c r="B148" s="89" t="s">
        <v>392</v>
      </c>
      <c r="C148" s="96">
        <v>2009</v>
      </c>
      <c r="D148" s="89"/>
      <c r="E148" s="89"/>
      <c r="F148" s="89"/>
      <c r="G148" s="89"/>
      <c r="H148" s="89"/>
      <c r="I148" s="89"/>
      <c r="J148" s="89"/>
      <c r="K148" s="89"/>
      <c r="L148" s="89"/>
      <c r="M148" s="89"/>
      <c r="N148" s="89"/>
      <c r="O148" s="89"/>
      <c r="P148" s="89"/>
      <c r="Q148" s="89"/>
      <c r="R148" s="89"/>
      <c r="S148" s="89"/>
      <c r="T148" s="90"/>
    </row>
    <row r="149" spans="1:30" s="25" customFormat="1" ht="15.75" customHeight="1">
      <c r="A149" s="88" t="s">
        <v>149</v>
      </c>
      <c r="B149" s="89" t="s">
        <v>393</v>
      </c>
      <c r="C149" s="96">
        <v>2010</v>
      </c>
      <c r="D149" s="89"/>
      <c r="E149" s="89"/>
      <c r="F149" s="89"/>
      <c r="G149" s="89"/>
      <c r="H149" s="89"/>
      <c r="I149" s="89"/>
      <c r="J149" s="89"/>
      <c r="K149" s="89"/>
      <c r="L149" s="89"/>
      <c r="M149" s="89"/>
      <c r="N149" s="89"/>
      <c r="O149" s="89"/>
      <c r="P149" s="89"/>
      <c r="Q149" s="89"/>
      <c r="R149" s="89"/>
      <c r="S149" s="89"/>
      <c r="T149" s="90"/>
    </row>
    <row r="150" spans="1:30" s="25" customFormat="1" ht="15.75" customHeight="1">
      <c r="A150" s="43" t="s">
        <v>6</v>
      </c>
      <c r="B150" s="44" t="s">
        <v>394</v>
      </c>
      <c r="C150" s="45">
        <v>2011</v>
      </c>
      <c r="D150" s="44" t="s">
        <v>26</v>
      </c>
      <c r="E150" s="44" t="s">
        <v>395</v>
      </c>
      <c r="F150" s="44" t="s">
        <v>396</v>
      </c>
      <c r="G150" s="45">
        <v>1.5900000000000001E-2</v>
      </c>
      <c r="H150" s="45">
        <v>6</v>
      </c>
      <c r="I150" s="45">
        <f>(G150*6)/10000</f>
        <v>9.5400000000000018E-6</v>
      </c>
      <c r="J150" s="45">
        <v>0.5</v>
      </c>
      <c r="K150" s="45">
        <v>60</v>
      </c>
      <c r="L150" s="45">
        <f>J150*H150</f>
        <v>3</v>
      </c>
      <c r="M150" s="45">
        <v>365</v>
      </c>
      <c r="N150" s="45">
        <v>1</v>
      </c>
      <c r="O150" s="45">
        <v>2</v>
      </c>
      <c r="P150" s="45">
        <v>1</v>
      </c>
      <c r="Q150" s="45">
        <v>0</v>
      </c>
      <c r="R150" s="44"/>
      <c r="S150" s="44" t="s">
        <v>397</v>
      </c>
      <c r="T150" s="58"/>
    </row>
    <row r="151" spans="1:30" s="25" customFormat="1" ht="15.75" customHeight="1">
      <c r="A151" s="99" t="s">
        <v>373</v>
      </c>
      <c r="B151" s="100" t="s">
        <v>398</v>
      </c>
      <c r="C151" s="96">
        <v>2008</v>
      </c>
      <c r="D151" s="89"/>
      <c r="E151" s="89"/>
      <c r="F151" s="89"/>
      <c r="G151" s="89"/>
      <c r="H151" s="89"/>
      <c r="I151" s="89"/>
      <c r="J151" s="89"/>
      <c r="K151" s="89"/>
      <c r="L151" s="89"/>
      <c r="M151" s="89"/>
      <c r="N151" s="89"/>
      <c r="O151" s="89"/>
      <c r="P151" s="89"/>
      <c r="Q151" s="89"/>
      <c r="R151" s="89"/>
      <c r="S151" s="89"/>
      <c r="T151" s="90" t="s">
        <v>268</v>
      </c>
    </row>
    <row r="152" spans="1:30" s="25" customFormat="1" ht="15.75" customHeight="1">
      <c r="A152" s="39" t="s">
        <v>95</v>
      </c>
      <c r="B152" s="101" t="s">
        <v>399</v>
      </c>
      <c r="C152" s="29">
        <v>2013</v>
      </c>
      <c r="D152" s="28" t="s">
        <v>26</v>
      </c>
      <c r="E152" s="101" t="s">
        <v>400</v>
      </c>
      <c r="F152" s="101" t="s">
        <v>401</v>
      </c>
      <c r="G152" s="29">
        <f t="shared" ref="G152:G154" si="13">250*80</f>
        <v>20000</v>
      </c>
      <c r="H152" s="29">
        <v>139</v>
      </c>
      <c r="I152" s="29">
        <f t="shared" ref="I152:I154" si="14">(G152*H152)/10000</f>
        <v>278</v>
      </c>
      <c r="J152" s="29">
        <f t="shared" ref="J152:J154" si="15">20*I152</f>
        <v>5560</v>
      </c>
      <c r="K152" s="29">
        <v>8</v>
      </c>
      <c r="L152" s="29">
        <f t="shared" ref="L152:L154" si="16">J152*H152</f>
        <v>772840</v>
      </c>
      <c r="M152" s="29">
        <f t="shared" ref="M152:M154" si="17">6*365</f>
        <v>2190</v>
      </c>
      <c r="N152" s="29">
        <v>1</v>
      </c>
      <c r="O152" s="29">
        <v>3</v>
      </c>
      <c r="P152" s="29">
        <v>2</v>
      </c>
      <c r="Q152" s="29">
        <v>1</v>
      </c>
      <c r="R152" s="28"/>
      <c r="S152" s="28"/>
      <c r="T152" s="66" t="s">
        <v>402</v>
      </c>
    </row>
    <row r="153" spans="1:30" s="25" customFormat="1" ht="15.75" customHeight="1">
      <c r="A153" s="39" t="s">
        <v>95</v>
      </c>
      <c r="B153" s="101" t="s">
        <v>403</v>
      </c>
      <c r="C153" s="29">
        <v>2013</v>
      </c>
      <c r="D153" s="28" t="s">
        <v>26</v>
      </c>
      <c r="E153" s="101" t="s">
        <v>400</v>
      </c>
      <c r="F153" s="101" t="s">
        <v>401</v>
      </c>
      <c r="G153" s="29">
        <f t="shared" si="13"/>
        <v>20000</v>
      </c>
      <c r="H153" s="29">
        <v>18</v>
      </c>
      <c r="I153" s="29">
        <f t="shared" si="14"/>
        <v>36</v>
      </c>
      <c r="J153" s="29">
        <f t="shared" si="15"/>
        <v>720</v>
      </c>
      <c r="K153" s="29">
        <v>8</v>
      </c>
      <c r="L153" s="29">
        <f t="shared" si="16"/>
        <v>12960</v>
      </c>
      <c r="M153" s="29">
        <f t="shared" si="17"/>
        <v>2190</v>
      </c>
      <c r="N153" s="29">
        <v>1</v>
      </c>
      <c r="O153" s="29">
        <v>3</v>
      </c>
      <c r="P153" s="29">
        <v>2</v>
      </c>
      <c r="Q153" s="29">
        <v>1</v>
      </c>
      <c r="R153" s="28"/>
      <c r="S153" s="28"/>
      <c r="T153" s="66" t="s">
        <v>404</v>
      </c>
    </row>
    <row r="154" spans="1:30" s="25" customFormat="1" ht="15.75" customHeight="1">
      <c r="A154" s="43" t="s">
        <v>95</v>
      </c>
      <c r="B154" s="57" t="s">
        <v>405</v>
      </c>
      <c r="C154" s="45">
        <v>2013</v>
      </c>
      <c r="D154" s="44" t="s">
        <v>26</v>
      </c>
      <c r="E154" s="57" t="s">
        <v>400</v>
      </c>
      <c r="F154" s="57" t="s">
        <v>401</v>
      </c>
      <c r="G154" s="45">
        <f t="shared" si="13"/>
        <v>20000</v>
      </c>
      <c r="H154" s="45">
        <v>40</v>
      </c>
      <c r="I154" s="45">
        <f t="shared" si="14"/>
        <v>80</v>
      </c>
      <c r="J154" s="45">
        <f t="shared" si="15"/>
        <v>1600</v>
      </c>
      <c r="K154" s="45">
        <v>8</v>
      </c>
      <c r="L154" s="45">
        <f t="shared" si="16"/>
        <v>64000</v>
      </c>
      <c r="M154" s="45">
        <f t="shared" si="17"/>
        <v>2190</v>
      </c>
      <c r="N154" s="45">
        <v>1</v>
      </c>
      <c r="O154" s="45">
        <v>3</v>
      </c>
      <c r="P154" s="45">
        <v>2</v>
      </c>
      <c r="Q154" s="45">
        <v>1</v>
      </c>
      <c r="R154" s="44"/>
      <c r="S154" s="44"/>
      <c r="T154" s="58" t="s">
        <v>406</v>
      </c>
    </row>
    <row r="155" spans="1:30">
      <c r="A155" t="s">
        <v>18</v>
      </c>
      <c r="B155" t="s">
        <v>407</v>
      </c>
      <c r="C155">
        <v>2011</v>
      </c>
      <c r="D155" s="17" t="s">
        <v>408</v>
      </c>
      <c r="E155" s="17" t="s">
        <v>409</v>
      </c>
      <c r="F155" s="17" t="s">
        <v>410</v>
      </c>
      <c r="G155" s="17">
        <f>0.1*0.1</f>
        <v>1.0000000000000002E-2</v>
      </c>
      <c r="H155" s="3">
        <v>10</v>
      </c>
      <c r="I155" s="102">
        <f>(G155*H155)/10000</f>
        <v>1.0000000000000003E-5</v>
      </c>
      <c r="J155">
        <f>1/(3600 * 24)</f>
        <v>1.1574074074074073E-5</v>
      </c>
      <c r="K155" s="3">
        <f>(1/6)</f>
        <v>0.16666666666666666</v>
      </c>
      <c r="L155" s="3">
        <f>1/(3600 * 24)*6*60*6</f>
        <v>2.5000000000000001E-2</v>
      </c>
      <c r="M155" s="3">
        <v>1642</v>
      </c>
      <c r="N155" s="3">
        <v>0</v>
      </c>
      <c r="O155" s="3">
        <v>0</v>
      </c>
      <c r="P155" s="3">
        <v>1</v>
      </c>
      <c r="Q155" s="3">
        <v>0</v>
      </c>
      <c r="R155" s="3"/>
      <c r="S155" s="3"/>
      <c r="T155" s="3"/>
      <c r="U155" s="3"/>
      <c r="V155" s="3"/>
      <c r="W155" s="3"/>
      <c r="X155" s="3"/>
      <c r="Y155" s="3"/>
      <c r="Z155" s="3"/>
      <c r="AA155" s="3"/>
      <c r="AB155" s="3"/>
      <c r="AC155" s="3"/>
      <c r="AD155" s="3"/>
    </row>
    <row r="156" spans="1:30">
      <c r="A156" t="s">
        <v>18</v>
      </c>
      <c r="B156" t="s">
        <v>407</v>
      </c>
      <c r="C156">
        <v>2011</v>
      </c>
      <c r="D156" s="17" t="s">
        <v>408</v>
      </c>
      <c r="E156" s="17" t="s">
        <v>409</v>
      </c>
      <c r="F156" s="17" t="s">
        <v>410</v>
      </c>
      <c r="G156">
        <f>500*500</f>
        <v>250000</v>
      </c>
      <c r="H156" s="3">
        <v>2</v>
      </c>
      <c r="I156" s="102">
        <f>(G156*H156)/10000</f>
        <v>50</v>
      </c>
      <c r="J156">
        <f>1/(3600 * 24)</f>
        <v>1.1574074074074073E-5</v>
      </c>
      <c r="K156" s="3">
        <v>1</v>
      </c>
      <c r="L156" s="3">
        <f>1/(3600*24)*365.25*3</f>
        <v>1.2682291666666666E-2</v>
      </c>
      <c r="M156" s="3">
        <f>365*3</f>
        <v>1095</v>
      </c>
      <c r="N156" s="3">
        <v>0</v>
      </c>
      <c r="O156" s="3">
        <v>0</v>
      </c>
      <c r="P156" s="3">
        <v>1</v>
      </c>
      <c r="Q156" s="3">
        <v>0</v>
      </c>
      <c r="R156" s="3"/>
      <c r="S156" s="17" t="s">
        <v>411</v>
      </c>
      <c r="T156" s="3"/>
      <c r="U156" s="3"/>
      <c r="V156" s="3"/>
      <c r="W156" s="3"/>
      <c r="X156" s="3"/>
      <c r="Y156" s="3"/>
      <c r="Z156" s="3"/>
      <c r="AA156" s="3"/>
      <c r="AB156" s="3"/>
      <c r="AC156" s="3"/>
      <c r="AD156" s="3"/>
    </row>
    <row r="157" spans="1:30">
      <c r="A157" t="s">
        <v>18</v>
      </c>
      <c r="B157" t="s">
        <v>407</v>
      </c>
      <c r="C157">
        <v>2011</v>
      </c>
      <c r="D157" s="17" t="s">
        <v>408</v>
      </c>
      <c r="E157" s="17" t="s">
        <v>409</v>
      </c>
      <c r="F157" s="17" t="s">
        <v>410</v>
      </c>
      <c r="G157">
        <f>0.08*0.08*10</f>
        <v>6.4000000000000001E-2</v>
      </c>
      <c r="H157" s="3">
        <v>2</v>
      </c>
      <c r="I157" s="102">
        <f>(G157*H157)/10000</f>
        <v>1.2799999999999999E-5</v>
      </c>
      <c r="J157">
        <f>9/24</f>
        <v>0.375</v>
      </c>
      <c r="K157" s="3">
        <v>270</v>
      </c>
      <c r="L157" s="3">
        <f>(9/24)*((13*12)/9)</f>
        <v>6.5</v>
      </c>
      <c r="M157" s="3">
        <f>13*365.25</f>
        <v>4748.25</v>
      </c>
      <c r="N157" s="3">
        <v>0</v>
      </c>
      <c r="O157" s="3">
        <v>2</v>
      </c>
      <c r="P157" s="3">
        <v>0</v>
      </c>
      <c r="Q157" s="3">
        <v>0</v>
      </c>
      <c r="R157" s="3"/>
      <c r="S157" s="3" t="s">
        <v>412</v>
      </c>
      <c r="T157" s="3"/>
      <c r="U157" s="3"/>
      <c r="V157" s="3"/>
      <c r="W157" s="3"/>
      <c r="X157" s="3"/>
      <c r="Y157" s="3"/>
      <c r="Z157" s="3"/>
      <c r="AA157" s="3"/>
      <c r="AB157" s="3"/>
      <c r="AC157" s="3"/>
      <c r="AD157" s="3"/>
    </row>
    <row r="158" spans="1:30">
      <c r="A158" t="s">
        <v>18</v>
      </c>
      <c r="B158" t="s">
        <v>407</v>
      </c>
      <c r="C158">
        <v>2011</v>
      </c>
      <c r="D158" s="17" t="s">
        <v>408</v>
      </c>
      <c r="E158" s="17" t="s">
        <v>409</v>
      </c>
      <c r="F158" s="17" t="s">
        <v>410</v>
      </c>
      <c r="G158">
        <f>0.05*0.15</f>
        <v>7.4999999999999997E-3</v>
      </c>
      <c r="H158" s="3">
        <v>204</v>
      </c>
      <c r="I158" s="102">
        <f>(G158*H158)/10000</f>
        <v>1.5300000000000001E-4</v>
      </c>
      <c r="J158" s="3">
        <f>20/60/24</f>
        <v>1.3888888888888888E-2</v>
      </c>
      <c r="K158" s="3">
        <v>20</v>
      </c>
      <c r="L158" s="3">
        <f>12*30</f>
        <v>360</v>
      </c>
      <c r="M158">
        <v>4565</v>
      </c>
      <c r="N158" s="3">
        <v>0</v>
      </c>
      <c r="O158" s="3">
        <v>1</v>
      </c>
      <c r="P158" s="3">
        <v>0</v>
      </c>
      <c r="Q158" s="3">
        <v>0</v>
      </c>
      <c r="R158" s="3"/>
      <c r="S158" s="3"/>
      <c r="T158" s="3"/>
      <c r="U158" s="3"/>
      <c r="V158" s="3"/>
      <c r="W158" s="3"/>
      <c r="X158" s="3"/>
      <c r="Y158" s="3"/>
      <c r="Z158" s="3"/>
      <c r="AA158" s="3"/>
      <c r="AB158" s="3"/>
      <c r="AC158" s="3"/>
      <c r="AD158" s="3"/>
    </row>
    <row r="159" spans="1:30" s="103" customFormat="1">
      <c r="A159" s="103" t="s">
        <v>24</v>
      </c>
      <c r="B159" s="103" t="s">
        <v>413</v>
      </c>
      <c r="C159" s="103">
        <v>2007</v>
      </c>
      <c r="D159" s="104" t="s">
        <v>414</v>
      </c>
      <c r="E159" s="104"/>
      <c r="F159" s="104"/>
      <c r="H159" s="105"/>
      <c r="I159" s="106"/>
      <c r="J159" s="105"/>
      <c r="K159" s="105"/>
      <c r="L159" s="105"/>
      <c r="N159" s="105"/>
      <c r="O159" s="105"/>
      <c r="P159" s="105"/>
      <c r="Q159" s="105"/>
      <c r="R159" s="105"/>
      <c r="S159" s="105"/>
      <c r="T159" s="104"/>
      <c r="U159" s="105"/>
      <c r="V159" s="105"/>
      <c r="W159" s="105"/>
      <c r="X159" s="105"/>
      <c r="Y159" s="105"/>
      <c r="Z159" s="105"/>
      <c r="AA159" s="105"/>
      <c r="AB159" s="105"/>
      <c r="AC159" s="105"/>
      <c r="AD159" s="105"/>
    </row>
    <row r="160" spans="1:30" s="103" customFormat="1">
      <c r="A160" s="103" t="s">
        <v>95</v>
      </c>
      <c r="B160" s="103" t="s">
        <v>415</v>
      </c>
      <c r="C160" s="103">
        <v>2009</v>
      </c>
      <c r="D160" s="104" t="s">
        <v>416</v>
      </c>
      <c r="E160" s="104"/>
      <c r="F160" s="104"/>
      <c r="H160" s="105"/>
      <c r="I160" s="106"/>
      <c r="J160" s="105"/>
      <c r="K160" s="105"/>
      <c r="L160" s="105"/>
      <c r="N160" s="105"/>
      <c r="O160" s="105"/>
      <c r="P160" s="105"/>
      <c r="Q160" s="105"/>
      <c r="R160" s="105"/>
      <c r="S160" s="105"/>
      <c r="T160" s="105"/>
      <c r="U160" s="105"/>
      <c r="V160" s="105"/>
      <c r="W160" s="105"/>
      <c r="X160" s="105"/>
      <c r="Y160" s="105"/>
      <c r="Z160" s="105"/>
      <c r="AA160" s="105"/>
      <c r="AB160" s="105"/>
      <c r="AC160" s="105"/>
      <c r="AD160" s="105"/>
    </row>
    <row r="161" spans="1:30">
      <c r="A161" t="s">
        <v>318</v>
      </c>
      <c r="B161" t="s">
        <v>417</v>
      </c>
      <c r="C161">
        <v>2012</v>
      </c>
      <c r="D161" s="17" t="s">
        <v>408</v>
      </c>
      <c r="E161" s="17" t="s">
        <v>418</v>
      </c>
      <c r="F161" s="17" t="s">
        <v>419</v>
      </c>
      <c r="G161">
        <f>PI()*(0.01)^2</f>
        <v>3.1415926535897931E-4</v>
      </c>
      <c r="H161" s="3">
        <v>200</v>
      </c>
      <c r="I161" s="102">
        <f t="shared" ref="I161:I179" si="18">(G161*H161)/10000</f>
        <v>6.2831853071795867E-6</v>
      </c>
      <c r="J161">
        <f>10/1440</f>
        <v>6.9444444444444441E-3</v>
      </c>
      <c r="K161" s="3">
        <v>181</v>
      </c>
      <c r="L161">
        <f>200*J161</f>
        <v>1.3888888888888888</v>
      </c>
      <c r="M161">
        <v>181</v>
      </c>
      <c r="N161" s="3">
        <v>0</v>
      </c>
      <c r="O161" s="3">
        <v>1</v>
      </c>
      <c r="P161" s="3">
        <v>0</v>
      </c>
      <c r="Q161" s="3">
        <v>1</v>
      </c>
      <c r="S161" s="107" t="s">
        <v>420</v>
      </c>
    </row>
    <row r="162" spans="1:30">
      <c r="A162" t="s">
        <v>318</v>
      </c>
      <c r="B162" t="s">
        <v>417</v>
      </c>
      <c r="C162">
        <v>2012</v>
      </c>
      <c r="D162" s="17" t="s">
        <v>408</v>
      </c>
      <c r="E162" s="17" t="s">
        <v>418</v>
      </c>
      <c r="F162" s="17" t="s">
        <v>419</v>
      </c>
      <c r="G162">
        <f>1</f>
        <v>1</v>
      </c>
      <c r="H162" s="3">
        <v>200</v>
      </c>
      <c r="I162" s="102">
        <f t="shared" si="18"/>
        <v>0.02</v>
      </c>
      <c r="J162">
        <f>30/60/1440</f>
        <v>3.4722222222222224E-4</v>
      </c>
      <c r="K162" s="3">
        <v>181</v>
      </c>
      <c r="L162">
        <f>200*J162</f>
        <v>6.9444444444444448E-2</v>
      </c>
      <c r="M162">
        <v>181</v>
      </c>
      <c r="N162" s="3">
        <v>1</v>
      </c>
      <c r="O162" s="3">
        <v>0</v>
      </c>
      <c r="P162" s="3">
        <v>0</v>
      </c>
      <c r="Q162" s="3">
        <v>1</v>
      </c>
      <c r="S162" s="107" t="s">
        <v>421</v>
      </c>
    </row>
    <row r="163" spans="1:30">
      <c r="A163" t="s">
        <v>318</v>
      </c>
      <c r="B163" t="s">
        <v>417</v>
      </c>
      <c r="C163">
        <v>2012</v>
      </c>
      <c r="D163" s="17" t="s">
        <v>408</v>
      </c>
      <c r="E163" s="17" t="s">
        <v>418</v>
      </c>
      <c r="F163" s="17" t="s">
        <v>419</v>
      </c>
      <c r="G163">
        <f>PI()*50^2</f>
        <v>7853.981633974483</v>
      </c>
      <c r="H163" s="3">
        <v>200</v>
      </c>
      <c r="I163" s="102">
        <f t="shared" si="18"/>
        <v>157.07963267948966</v>
      </c>
      <c r="J163" s="3">
        <f>1/60/1440</f>
        <v>1.1574074074074073E-5</v>
      </c>
      <c r="K163" s="3">
        <v>181</v>
      </c>
      <c r="L163">
        <f>200*J163</f>
        <v>2.3148148148148147E-3</v>
      </c>
      <c r="M163" s="3">
        <v>181</v>
      </c>
      <c r="N163" s="3">
        <v>1</v>
      </c>
      <c r="O163" s="3">
        <v>3</v>
      </c>
      <c r="P163" s="3">
        <v>0</v>
      </c>
      <c r="Q163" s="3">
        <v>1</v>
      </c>
      <c r="R163" s="3"/>
      <c r="S163" s="107" t="s">
        <v>420</v>
      </c>
      <c r="T163" s="3"/>
      <c r="U163" s="3"/>
      <c r="V163" s="3"/>
      <c r="W163" s="3"/>
      <c r="X163" s="3"/>
      <c r="Y163" s="3"/>
      <c r="Z163" s="3"/>
      <c r="AA163" s="3"/>
      <c r="AB163" s="3"/>
      <c r="AC163" s="3"/>
      <c r="AD163" s="3"/>
    </row>
    <row r="164" spans="1:30">
      <c r="A164" t="s">
        <v>318</v>
      </c>
      <c r="B164" t="s">
        <v>417</v>
      </c>
      <c r="C164">
        <v>2012</v>
      </c>
      <c r="D164" s="17" t="s">
        <v>408</v>
      </c>
      <c r="E164" s="17" t="s">
        <v>418</v>
      </c>
      <c r="F164" s="17" t="s">
        <v>419</v>
      </c>
      <c r="G164">
        <f>PI()*0.1^2</f>
        <v>3.1415926535897934E-2</v>
      </c>
      <c r="H164" s="3">
        <v>200</v>
      </c>
      <c r="I164" s="102">
        <f t="shared" si="18"/>
        <v>6.2831853071795873E-4</v>
      </c>
      <c r="J164" s="3">
        <f>0.5/1440</f>
        <v>3.4722222222222224E-4</v>
      </c>
      <c r="K164" s="3">
        <v>181</v>
      </c>
      <c r="L164">
        <f>200*J164</f>
        <v>6.9444444444444448E-2</v>
      </c>
      <c r="M164" s="3">
        <v>181</v>
      </c>
      <c r="N164" s="3">
        <v>0</v>
      </c>
      <c r="O164" s="3">
        <v>2</v>
      </c>
      <c r="P164" s="3">
        <v>0</v>
      </c>
      <c r="Q164" s="3">
        <v>1</v>
      </c>
      <c r="R164" s="3"/>
      <c r="S164" s="107" t="s">
        <v>420</v>
      </c>
      <c r="T164" s="3"/>
      <c r="U164" s="3"/>
      <c r="V164" s="3"/>
      <c r="W164" s="3"/>
      <c r="X164" s="3"/>
      <c r="Y164" s="3"/>
      <c r="Z164" s="3"/>
      <c r="AA164" s="3"/>
      <c r="AB164" s="3"/>
      <c r="AC164" s="3"/>
      <c r="AD164" s="3"/>
    </row>
    <row r="165" spans="1:30">
      <c r="A165" t="s">
        <v>318</v>
      </c>
      <c r="B165" t="s">
        <v>417</v>
      </c>
      <c r="C165">
        <v>2012</v>
      </c>
      <c r="D165" s="17" t="s">
        <v>408</v>
      </c>
      <c r="E165" s="17" t="s">
        <v>418</v>
      </c>
      <c r="F165" s="17" t="s">
        <v>419</v>
      </c>
      <c r="G165">
        <f>PI()*0.25^2</f>
        <v>0.19634954084936207</v>
      </c>
      <c r="H165" s="3">
        <v>200</v>
      </c>
      <c r="I165" s="102">
        <f t="shared" si="18"/>
        <v>3.9269908169872417E-3</v>
      </c>
      <c r="J165" s="3">
        <f>0.5/1440</f>
        <v>3.4722222222222224E-4</v>
      </c>
      <c r="K165" s="3">
        <v>181</v>
      </c>
      <c r="L165">
        <f>200*J165</f>
        <v>6.9444444444444448E-2</v>
      </c>
      <c r="M165" s="3">
        <v>181</v>
      </c>
      <c r="N165" s="3">
        <v>0</v>
      </c>
      <c r="O165" s="3">
        <v>2</v>
      </c>
      <c r="P165" s="3">
        <v>0</v>
      </c>
      <c r="Q165" s="3">
        <v>1</v>
      </c>
      <c r="R165" s="3"/>
      <c r="S165" s="107" t="s">
        <v>420</v>
      </c>
      <c r="T165" s="3"/>
      <c r="U165" s="3"/>
      <c r="V165" s="3"/>
      <c r="W165" s="3"/>
      <c r="X165" s="3"/>
      <c r="Y165" s="3"/>
      <c r="Z165" s="3"/>
      <c r="AA165" s="3"/>
      <c r="AB165" s="3"/>
      <c r="AC165" s="3"/>
      <c r="AD165" s="3"/>
    </row>
    <row r="166" spans="1:30" s="103" customFormat="1">
      <c r="A166" s="103" t="s">
        <v>0</v>
      </c>
      <c r="B166" s="103" t="s">
        <v>422</v>
      </c>
      <c r="C166" s="103">
        <v>2013</v>
      </c>
      <c r="D166" s="104" t="s">
        <v>416</v>
      </c>
      <c r="E166" s="104"/>
      <c r="F166" s="104"/>
      <c r="H166" s="105"/>
      <c r="I166" s="106"/>
      <c r="J166" s="105"/>
      <c r="K166" s="105"/>
      <c r="M166" s="105"/>
      <c r="N166" s="105"/>
      <c r="O166" s="105"/>
      <c r="P166" s="105"/>
      <c r="Q166" s="105"/>
      <c r="R166" s="105"/>
      <c r="S166" s="108"/>
      <c r="T166" s="105"/>
      <c r="U166" s="105"/>
      <c r="V166" s="105"/>
      <c r="W166" s="105"/>
      <c r="X166" s="105"/>
      <c r="Y166" s="105"/>
      <c r="Z166" s="105"/>
      <c r="AA166" s="105"/>
      <c r="AB166" s="105"/>
      <c r="AC166" s="105"/>
      <c r="AD166" s="105"/>
    </row>
    <row r="167" spans="1:30">
      <c r="A167" t="s">
        <v>6</v>
      </c>
      <c r="B167" s="3" t="s">
        <v>423</v>
      </c>
      <c r="C167">
        <v>2010</v>
      </c>
      <c r="D167" s="17" t="s">
        <v>424</v>
      </c>
      <c r="E167" s="17" t="s">
        <v>425</v>
      </c>
      <c r="F167" s="17" t="s">
        <v>426</v>
      </c>
      <c r="G167">
        <f>0.1*0.12</f>
        <v>1.2E-2</v>
      </c>
      <c r="H167" s="3">
        <f>90</f>
        <v>90</v>
      </c>
      <c r="I167" s="102">
        <f t="shared" si="18"/>
        <v>1.0800000000000001E-4</v>
      </c>
      <c r="J167" s="3">
        <f>60/1440</f>
        <v>4.1666666666666664E-2</v>
      </c>
      <c r="K167" s="3">
        <v>14</v>
      </c>
      <c r="L167" s="3">
        <f t="shared" ref="L167:L175" si="19">J167*H167</f>
        <v>3.75</v>
      </c>
      <c r="M167" s="3">
        <v>518</v>
      </c>
      <c r="N167" s="3">
        <v>0</v>
      </c>
      <c r="O167" s="3">
        <v>0</v>
      </c>
      <c r="P167" s="3">
        <v>2</v>
      </c>
      <c r="Q167" s="3">
        <v>0</v>
      </c>
      <c r="R167" s="17" t="s">
        <v>427</v>
      </c>
      <c r="S167" s="3"/>
      <c r="T167" s="3"/>
      <c r="U167" s="3"/>
      <c r="V167" s="3"/>
      <c r="W167" s="3"/>
      <c r="X167" s="3"/>
      <c r="Y167" s="3"/>
      <c r="Z167" s="3"/>
      <c r="AA167" s="3"/>
      <c r="AB167" s="3"/>
      <c r="AC167" s="3"/>
      <c r="AD167" s="3"/>
    </row>
    <row r="168" spans="1:30">
      <c r="A168" t="s">
        <v>6</v>
      </c>
      <c r="B168" s="3" t="s">
        <v>423</v>
      </c>
      <c r="C168">
        <v>2010</v>
      </c>
      <c r="D168" s="17" t="s">
        <v>424</v>
      </c>
      <c r="E168" s="17" t="s">
        <v>425</v>
      </c>
      <c r="F168" s="17" t="s">
        <v>426</v>
      </c>
      <c r="G168">
        <f>0.1*0.12</f>
        <v>1.2E-2</v>
      </c>
      <c r="H168" s="3">
        <f>90</f>
        <v>90</v>
      </c>
      <c r="I168" s="102">
        <f t="shared" si="18"/>
        <v>1.0800000000000001E-4</v>
      </c>
      <c r="J168" s="3">
        <f>60/1440</f>
        <v>4.1666666666666664E-2</v>
      </c>
      <c r="K168" s="3">
        <v>14</v>
      </c>
      <c r="L168" s="3">
        <f t="shared" si="19"/>
        <v>3.75</v>
      </c>
      <c r="M168" s="3">
        <v>518</v>
      </c>
      <c r="N168" s="3">
        <v>0</v>
      </c>
      <c r="O168" s="3">
        <v>0</v>
      </c>
      <c r="P168" s="3">
        <v>2</v>
      </c>
      <c r="Q168" s="3">
        <v>0</v>
      </c>
      <c r="R168" s="17" t="s">
        <v>427</v>
      </c>
      <c r="S168" s="3"/>
      <c r="T168" s="3"/>
      <c r="U168" s="3"/>
      <c r="V168" s="3"/>
      <c r="W168" s="3"/>
      <c r="X168" s="3"/>
      <c r="Y168" s="3"/>
      <c r="Z168" s="3"/>
      <c r="AA168" s="3"/>
      <c r="AB168" s="3"/>
      <c r="AC168" s="3"/>
      <c r="AD168" s="3"/>
    </row>
    <row r="169" spans="1:30">
      <c r="A169" s="107" t="s">
        <v>24</v>
      </c>
      <c r="B169" s="3" t="s">
        <v>428</v>
      </c>
      <c r="C169">
        <v>2008</v>
      </c>
      <c r="D169" s="3" t="s">
        <v>408</v>
      </c>
      <c r="E169" s="17" t="s">
        <v>429</v>
      </c>
      <c r="F169" s="17" t="s">
        <v>430</v>
      </c>
      <c r="G169">
        <v>0.25</v>
      </c>
      <c r="H169" s="3">
        <v>72</v>
      </c>
      <c r="I169" s="102">
        <f t="shared" si="18"/>
        <v>1.8E-3</v>
      </c>
      <c r="J169" s="3">
        <f>0.5/24</f>
        <v>2.0833333333333332E-2</v>
      </c>
      <c r="K169" s="3">
        <f>365*2</f>
        <v>730</v>
      </c>
      <c r="L169" s="3">
        <f t="shared" si="19"/>
        <v>1.5</v>
      </c>
      <c r="M169" s="3">
        <f>365*4</f>
        <v>1460</v>
      </c>
      <c r="N169" s="3">
        <v>3</v>
      </c>
      <c r="O169" s="3">
        <v>3</v>
      </c>
      <c r="P169" s="3">
        <v>1</v>
      </c>
      <c r="Q169" s="3">
        <v>1</v>
      </c>
      <c r="R169" s="3"/>
      <c r="S169" s="17" t="s">
        <v>420</v>
      </c>
      <c r="T169" s="3"/>
      <c r="U169" s="3"/>
      <c r="V169" s="3"/>
      <c r="W169" s="3"/>
      <c r="X169" s="3"/>
      <c r="Y169" s="3"/>
      <c r="Z169" s="3"/>
      <c r="AA169" s="3"/>
      <c r="AB169" s="3"/>
      <c r="AC169" s="3"/>
      <c r="AD169" s="3"/>
    </row>
    <row r="170" spans="1:30">
      <c r="A170" s="107" t="s">
        <v>24</v>
      </c>
      <c r="B170" s="3" t="s">
        <v>431</v>
      </c>
      <c r="C170">
        <v>2008</v>
      </c>
      <c r="D170" s="3" t="s">
        <v>408</v>
      </c>
      <c r="E170" s="17" t="s">
        <v>429</v>
      </c>
      <c r="F170" s="17" t="s">
        <v>430</v>
      </c>
      <c r="G170">
        <v>3.5000000000000001E-3</v>
      </c>
      <c r="H170" s="3">
        <v>72</v>
      </c>
      <c r="I170" s="102">
        <f t="shared" si="18"/>
        <v>2.5199999999999999E-5</v>
      </c>
      <c r="J170" s="3">
        <f>0.25/24</f>
        <v>1.0416666666666666E-2</v>
      </c>
      <c r="K170" s="3">
        <f>365*2</f>
        <v>730</v>
      </c>
      <c r="L170" s="3">
        <f t="shared" si="19"/>
        <v>0.75</v>
      </c>
      <c r="M170" s="3">
        <f>365*4</f>
        <v>1460</v>
      </c>
      <c r="N170" s="3">
        <v>3</v>
      </c>
      <c r="O170" s="3">
        <v>2</v>
      </c>
      <c r="P170" s="3">
        <v>1</v>
      </c>
      <c r="Q170" s="3">
        <v>1</v>
      </c>
      <c r="R170" s="3"/>
      <c r="S170" s="17" t="s">
        <v>432</v>
      </c>
      <c r="T170" s="3"/>
      <c r="U170" s="3"/>
      <c r="V170" s="3"/>
      <c r="W170" s="3"/>
      <c r="X170" s="3"/>
      <c r="Y170" s="3"/>
      <c r="Z170" s="3"/>
      <c r="AA170" s="3"/>
      <c r="AB170" s="3"/>
      <c r="AC170" s="3"/>
      <c r="AD170" s="3"/>
    </row>
    <row r="171" spans="1:30">
      <c r="A171" s="107" t="s">
        <v>24</v>
      </c>
      <c r="B171" s="3" t="s">
        <v>433</v>
      </c>
      <c r="C171">
        <v>2008</v>
      </c>
      <c r="D171" s="3" t="s">
        <v>408</v>
      </c>
      <c r="E171" s="17" t="s">
        <v>429</v>
      </c>
      <c r="F171" s="17" t="s">
        <v>430</v>
      </c>
      <c r="G171">
        <f>PI()*0.01^2</f>
        <v>3.1415926535897931E-4</v>
      </c>
      <c r="H171" s="3">
        <v>6</v>
      </c>
      <c r="I171" s="102">
        <f t="shared" si="18"/>
        <v>1.884955592153876E-7</v>
      </c>
      <c r="J171" s="3">
        <f>2/1440</f>
        <v>1.3888888888888889E-3</v>
      </c>
      <c r="K171" s="3">
        <f>365*2</f>
        <v>730</v>
      </c>
      <c r="L171" s="3">
        <f t="shared" si="19"/>
        <v>8.3333333333333332E-3</v>
      </c>
      <c r="M171" s="3">
        <f>365*4</f>
        <v>1460</v>
      </c>
      <c r="N171" s="3">
        <v>0</v>
      </c>
      <c r="O171" s="3">
        <v>1</v>
      </c>
      <c r="P171" s="3">
        <v>0</v>
      </c>
      <c r="Q171" s="3">
        <v>0</v>
      </c>
      <c r="R171" s="3"/>
      <c r="S171" s="3"/>
      <c r="T171" s="3"/>
      <c r="U171" s="3"/>
      <c r="V171" s="3"/>
      <c r="W171" s="3"/>
      <c r="X171" s="3"/>
      <c r="Y171" s="3"/>
      <c r="Z171" s="3"/>
      <c r="AA171" s="3"/>
      <c r="AB171" s="3"/>
      <c r="AC171" s="3"/>
      <c r="AD171" s="3"/>
    </row>
    <row r="172" spans="1:30">
      <c r="A172" s="107" t="s">
        <v>24</v>
      </c>
      <c r="B172" s="3" t="s">
        <v>434</v>
      </c>
      <c r="C172">
        <v>2008</v>
      </c>
      <c r="D172" s="3" t="s">
        <v>408</v>
      </c>
      <c r="E172" s="17" t="s">
        <v>429</v>
      </c>
      <c r="F172" s="17" t="s">
        <v>430</v>
      </c>
      <c r="G172">
        <f>0.05*0.05</f>
        <v>2.5000000000000005E-3</v>
      </c>
      <c r="H172" s="3">
        <v>3</v>
      </c>
      <c r="I172" s="102">
        <f t="shared" si="18"/>
        <v>7.5000000000000012E-7</v>
      </c>
      <c r="J172" s="3">
        <f>1/60/1440</f>
        <v>1.1574074074074073E-5</v>
      </c>
      <c r="K172" s="3">
        <f>90/1440</f>
        <v>6.25E-2</v>
      </c>
      <c r="L172" s="3">
        <f t="shared" si="19"/>
        <v>3.4722222222222222E-5</v>
      </c>
      <c r="M172" s="3">
        <f>4*365</f>
        <v>1460</v>
      </c>
      <c r="N172" s="3">
        <v>0</v>
      </c>
      <c r="O172" s="3">
        <v>0</v>
      </c>
      <c r="P172" s="3">
        <v>0</v>
      </c>
      <c r="Q172" s="3">
        <v>0</v>
      </c>
      <c r="R172" s="3"/>
      <c r="S172" s="17" t="s">
        <v>420</v>
      </c>
      <c r="T172" s="3"/>
      <c r="U172" s="3"/>
      <c r="V172" s="3"/>
      <c r="W172" s="3"/>
      <c r="X172" s="3"/>
      <c r="Y172" s="3"/>
      <c r="Z172" s="3"/>
      <c r="AA172" s="3"/>
      <c r="AB172" s="3"/>
      <c r="AC172" s="3"/>
      <c r="AD172" s="3"/>
    </row>
    <row r="173" spans="1:30">
      <c r="A173" s="107" t="s">
        <v>24</v>
      </c>
      <c r="B173" s="3" t="s">
        <v>435</v>
      </c>
      <c r="C173">
        <v>2008</v>
      </c>
      <c r="D173" s="3" t="s">
        <v>408</v>
      </c>
      <c r="E173" s="17" t="s">
        <v>429</v>
      </c>
      <c r="F173" s="17" t="s">
        <v>430</v>
      </c>
      <c r="G173">
        <f>0.05*0.05</f>
        <v>2.5000000000000005E-3</v>
      </c>
      <c r="H173" s="3">
        <v>3</v>
      </c>
      <c r="I173" s="102">
        <f t="shared" si="18"/>
        <v>7.5000000000000012E-7</v>
      </c>
      <c r="J173" s="3">
        <f>1/60/1440</f>
        <v>1.1574074074074073E-5</v>
      </c>
      <c r="K173" s="3">
        <f>90/1440</f>
        <v>6.25E-2</v>
      </c>
      <c r="L173" s="3">
        <f t="shared" si="19"/>
        <v>3.4722222222222222E-5</v>
      </c>
      <c r="M173" s="3">
        <v>365</v>
      </c>
      <c r="N173" s="3">
        <v>0</v>
      </c>
      <c r="O173" s="3">
        <v>0</v>
      </c>
      <c r="P173" s="3">
        <v>0</v>
      </c>
      <c r="Q173" s="3">
        <v>0</v>
      </c>
      <c r="R173" s="3"/>
      <c r="S173" s="17" t="s">
        <v>420</v>
      </c>
      <c r="T173" s="3"/>
      <c r="U173" s="3"/>
      <c r="V173" s="3"/>
      <c r="W173" s="3"/>
      <c r="X173" s="3"/>
      <c r="Y173" s="3"/>
      <c r="Z173" s="3"/>
      <c r="AA173" s="3"/>
      <c r="AB173" s="3"/>
      <c r="AC173" s="3"/>
      <c r="AD173" s="3"/>
    </row>
    <row r="174" spans="1:30">
      <c r="A174" s="107" t="s">
        <v>24</v>
      </c>
      <c r="B174" s="3" t="s">
        <v>436</v>
      </c>
      <c r="C174">
        <v>2008</v>
      </c>
      <c r="D174" s="3" t="s">
        <v>408</v>
      </c>
      <c r="E174" s="17" t="s">
        <v>429</v>
      </c>
      <c r="F174" s="17" t="s">
        <v>430</v>
      </c>
      <c r="G174">
        <f>0.05*0.05</f>
        <v>2.5000000000000005E-3</v>
      </c>
      <c r="H174" s="3">
        <v>2</v>
      </c>
      <c r="I174" s="102">
        <f t="shared" si="18"/>
        <v>5.0000000000000008E-7</v>
      </c>
      <c r="J174" s="3">
        <f>1/60/1440</f>
        <v>1.1574074074074073E-5</v>
      </c>
      <c r="K174" s="3">
        <f>1</f>
        <v>1</v>
      </c>
      <c r="L174" s="3">
        <f t="shared" si="19"/>
        <v>2.3148148148148147E-5</v>
      </c>
      <c r="M174" s="3">
        <f>4*365</f>
        <v>1460</v>
      </c>
      <c r="N174" s="3">
        <v>0</v>
      </c>
      <c r="O174" s="3">
        <v>0</v>
      </c>
      <c r="P174" s="3">
        <v>0</v>
      </c>
      <c r="Q174" s="3">
        <v>0</v>
      </c>
      <c r="R174" s="3"/>
      <c r="S174" s="17" t="s">
        <v>420</v>
      </c>
      <c r="T174" s="3"/>
      <c r="U174" s="3"/>
      <c r="V174" s="3"/>
      <c r="W174" s="3"/>
      <c r="X174" s="3"/>
      <c r="Y174" s="3"/>
      <c r="Z174" s="3"/>
      <c r="AA174" s="3"/>
      <c r="AB174" s="3"/>
      <c r="AC174" s="3"/>
      <c r="AD174" s="3"/>
    </row>
    <row r="175" spans="1:30">
      <c r="A175" s="107" t="s">
        <v>24</v>
      </c>
      <c r="B175" s="3" t="s">
        <v>437</v>
      </c>
      <c r="C175">
        <v>2008</v>
      </c>
      <c r="D175" s="3" t="s">
        <v>408</v>
      </c>
      <c r="E175" s="17" t="s">
        <v>429</v>
      </c>
      <c r="F175" s="17" t="s">
        <v>430</v>
      </c>
      <c r="G175">
        <f>0.05*0.05</f>
        <v>2.5000000000000005E-3</v>
      </c>
      <c r="H175" s="3">
        <v>2</v>
      </c>
      <c r="I175" s="102">
        <f t="shared" si="18"/>
        <v>5.0000000000000008E-7</v>
      </c>
      <c r="J175" s="3">
        <f>1/60/1440</f>
        <v>1.1574074074074073E-5</v>
      </c>
      <c r="K175" s="3">
        <f>(365/4 -14)/14</f>
        <v>5.5178571428571432</v>
      </c>
      <c r="L175" s="3">
        <f t="shared" si="19"/>
        <v>2.3148148148148147E-5</v>
      </c>
      <c r="M175" s="3">
        <v>365</v>
      </c>
      <c r="N175" s="3">
        <v>0</v>
      </c>
      <c r="O175" s="3">
        <v>0</v>
      </c>
      <c r="P175" s="3">
        <v>0</v>
      </c>
      <c r="Q175" s="3">
        <v>0</v>
      </c>
      <c r="R175" s="3"/>
      <c r="S175" s="17" t="s">
        <v>420</v>
      </c>
      <c r="T175" s="3"/>
      <c r="U175" s="3"/>
      <c r="V175" s="3"/>
      <c r="W175" s="3"/>
      <c r="X175" s="3"/>
      <c r="Y175" s="3"/>
      <c r="Z175" s="3"/>
      <c r="AA175" s="3"/>
      <c r="AB175" s="3"/>
      <c r="AC175" s="3"/>
      <c r="AD175" s="3"/>
    </row>
    <row r="176" spans="1:30" s="103" customFormat="1">
      <c r="A176" s="103" t="s">
        <v>278</v>
      </c>
      <c r="B176" s="105" t="s">
        <v>438</v>
      </c>
      <c r="C176" s="103">
        <v>2007</v>
      </c>
      <c r="D176" s="105" t="s">
        <v>439</v>
      </c>
      <c r="E176" s="104"/>
      <c r="F176" s="104"/>
      <c r="H176" s="105"/>
      <c r="I176" s="106"/>
      <c r="J176" s="105"/>
      <c r="K176" s="105"/>
      <c r="L176" s="105"/>
      <c r="M176" s="105"/>
      <c r="N176" s="105"/>
      <c r="O176" s="105"/>
      <c r="P176" s="105"/>
      <c r="Q176" s="105"/>
      <c r="R176" s="105"/>
      <c r="S176" s="104"/>
      <c r="T176" s="105"/>
      <c r="U176" s="105"/>
      <c r="V176" s="105"/>
      <c r="W176" s="105"/>
      <c r="X176" s="105"/>
      <c r="Y176" s="105"/>
      <c r="Z176" s="105"/>
      <c r="AA176" s="105"/>
      <c r="AB176" s="105"/>
      <c r="AC176" s="105"/>
      <c r="AD176" s="105"/>
    </row>
    <row r="177" spans="1:30" s="103" customFormat="1">
      <c r="A177" s="103" t="s">
        <v>258</v>
      </c>
      <c r="B177" s="105" t="s">
        <v>440</v>
      </c>
      <c r="C177" s="103">
        <v>2012</v>
      </c>
      <c r="D177" s="105" t="s">
        <v>416</v>
      </c>
      <c r="F177" s="104"/>
      <c r="H177" s="105"/>
      <c r="I177" s="106"/>
      <c r="J177" s="105"/>
      <c r="K177" s="105"/>
      <c r="L177" s="105"/>
      <c r="M177" s="105"/>
      <c r="N177" s="105"/>
      <c r="O177" s="105"/>
      <c r="P177" s="105"/>
      <c r="Q177" s="105"/>
      <c r="R177" s="105"/>
      <c r="S177" s="104"/>
      <c r="T177" s="105"/>
      <c r="U177" s="105"/>
      <c r="V177" s="105"/>
      <c r="W177" s="105"/>
      <c r="X177" s="105"/>
      <c r="Y177" s="105"/>
      <c r="Z177" s="105"/>
      <c r="AA177" s="105"/>
      <c r="AB177" s="105"/>
      <c r="AC177" s="105"/>
      <c r="AD177" s="105"/>
    </row>
    <row r="178" spans="1:30" s="103" customFormat="1">
      <c r="A178" s="103" t="s">
        <v>18</v>
      </c>
      <c r="B178" s="105" t="s">
        <v>441</v>
      </c>
      <c r="C178" s="103">
        <v>2006</v>
      </c>
      <c r="D178" s="105" t="s">
        <v>442</v>
      </c>
      <c r="E178" s="104"/>
      <c r="F178" s="104"/>
      <c r="H178" s="105"/>
      <c r="I178" s="106"/>
      <c r="J178" s="105"/>
      <c r="K178" s="105"/>
      <c r="L178" s="105"/>
      <c r="M178" s="105"/>
      <c r="N178" s="105"/>
      <c r="O178" s="105"/>
      <c r="P178" s="105"/>
      <c r="Q178" s="105"/>
      <c r="R178" s="105"/>
      <c r="S178" s="104"/>
      <c r="T178" s="105"/>
      <c r="U178" s="105"/>
      <c r="V178" s="105"/>
      <c r="W178" s="105"/>
      <c r="X178" s="105"/>
      <c r="Y178" s="105"/>
      <c r="Z178" s="105"/>
      <c r="AA178" s="105"/>
      <c r="AB178" s="105"/>
      <c r="AC178" s="105"/>
      <c r="AD178" s="105"/>
    </row>
    <row r="179" spans="1:30">
      <c r="A179" s="107" t="s">
        <v>95</v>
      </c>
      <c r="B179" s="17" t="s">
        <v>443</v>
      </c>
      <c r="C179">
        <v>2010</v>
      </c>
      <c r="D179" s="3" t="s">
        <v>408</v>
      </c>
      <c r="E179" s="17" t="s">
        <v>444</v>
      </c>
      <c r="F179" s="17" t="s">
        <v>445</v>
      </c>
      <c r="G179">
        <v>270000</v>
      </c>
      <c r="H179" s="17">
        <v>8</v>
      </c>
      <c r="I179" s="102">
        <f t="shared" si="18"/>
        <v>216</v>
      </c>
      <c r="J179" s="17">
        <f>20*8*(0.5/24)</f>
        <v>3.333333333333333</v>
      </c>
      <c r="K179">
        <f>2.5</f>
        <v>2.5</v>
      </c>
      <c r="L179" s="17">
        <f>H179*J179</f>
        <v>26.666666666666664</v>
      </c>
      <c r="M179">
        <f>3*365+90</f>
        <v>1185</v>
      </c>
      <c r="N179" s="3">
        <v>0</v>
      </c>
      <c r="O179" s="3">
        <v>1</v>
      </c>
      <c r="P179" s="3">
        <v>0</v>
      </c>
      <c r="Q179" s="3">
        <v>1</v>
      </c>
      <c r="S179" s="17" t="s">
        <v>446</v>
      </c>
    </row>
    <row r="180" spans="1:30">
      <c r="A180" s="107" t="s">
        <v>95</v>
      </c>
      <c r="B180" s="17" t="s">
        <v>443</v>
      </c>
      <c r="C180">
        <v>2010</v>
      </c>
      <c r="D180" s="3" t="s">
        <v>408</v>
      </c>
      <c r="E180" s="17" t="s">
        <v>444</v>
      </c>
      <c r="F180" s="17" t="s">
        <v>445</v>
      </c>
      <c r="G180" s="17">
        <f>0.5*0.5</f>
        <v>0.25</v>
      </c>
      <c r="H180" s="17">
        <v>326</v>
      </c>
      <c r="I180" s="102">
        <f>(G180*H180)/10000</f>
        <v>8.1499999999999993E-3</v>
      </c>
      <c r="J180" s="17">
        <f>1/24</f>
        <v>4.1666666666666664E-2</v>
      </c>
      <c r="K180">
        <v>0</v>
      </c>
      <c r="L180" s="17">
        <f>H180*J180</f>
        <v>13.583333333333332</v>
      </c>
      <c r="M180">
        <f>3*365+90</f>
        <v>1185</v>
      </c>
      <c r="N180">
        <v>0</v>
      </c>
      <c r="O180" s="3">
        <v>3</v>
      </c>
      <c r="P180" s="3">
        <v>0</v>
      </c>
      <c r="Q180" s="3">
        <v>1</v>
      </c>
      <c r="S180" s="17" t="s">
        <v>446</v>
      </c>
    </row>
    <row r="181" spans="1:30" s="103" customFormat="1">
      <c r="A181" s="103" t="s">
        <v>130</v>
      </c>
      <c r="B181" s="104" t="s">
        <v>447</v>
      </c>
      <c r="C181" s="103">
        <v>2007</v>
      </c>
      <c r="D181" s="105" t="s">
        <v>414</v>
      </c>
      <c r="E181" s="104"/>
      <c r="F181" s="104"/>
      <c r="G181" s="104"/>
      <c r="H181" s="104"/>
      <c r="I181" s="106"/>
      <c r="J181" s="104"/>
      <c r="L181" s="104"/>
      <c r="O181" s="105"/>
      <c r="P181" s="105"/>
      <c r="Q181" s="105"/>
      <c r="S181" s="104"/>
      <c r="T181" s="103" t="s">
        <v>448</v>
      </c>
    </row>
    <row r="182" spans="1:30" s="103" customFormat="1">
      <c r="A182" s="108" t="s">
        <v>149</v>
      </c>
      <c r="B182" s="104" t="s">
        <v>449</v>
      </c>
      <c r="C182" s="103">
        <v>2012</v>
      </c>
      <c r="D182" s="105" t="s">
        <v>450</v>
      </c>
      <c r="E182" s="104"/>
      <c r="F182" s="104"/>
      <c r="G182" s="104"/>
      <c r="H182" s="104"/>
      <c r="I182" s="106"/>
      <c r="J182" s="104"/>
      <c r="L182" s="104"/>
      <c r="O182" s="105"/>
      <c r="P182" s="105"/>
      <c r="Q182" s="105"/>
      <c r="S182" s="104"/>
    </row>
    <row r="183" spans="1:30" s="103" customFormat="1">
      <c r="A183" s="108" t="s">
        <v>18</v>
      </c>
      <c r="B183" s="104" t="s">
        <v>451</v>
      </c>
      <c r="C183" s="103">
        <v>2004</v>
      </c>
      <c r="D183" s="105" t="s">
        <v>416</v>
      </c>
      <c r="E183" s="104"/>
      <c r="F183" s="104"/>
      <c r="G183" s="104"/>
      <c r="H183" s="104"/>
      <c r="I183" s="106"/>
      <c r="J183" s="104"/>
      <c r="L183" s="104"/>
      <c r="O183" s="105"/>
      <c r="P183" s="105"/>
      <c r="Q183" s="105"/>
      <c r="S183" s="104"/>
    </row>
    <row r="184" spans="1:30" s="103" customFormat="1">
      <c r="A184" s="103" t="s">
        <v>318</v>
      </c>
      <c r="B184" s="104" t="s">
        <v>452</v>
      </c>
      <c r="C184" s="103">
        <v>2012</v>
      </c>
      <c r="D184" s="105" t="s">
        <v>416</v>
      </c>
      <c r="E184" s="104"/>
      <c r="F184" s="104"/>
      <c r="G184" s="104"/>
      <c r="H184" s="104"/>
      <c r="I184" s="106"/>
      <c r="J184" s="104"/>
      <c r="L184" s="104"/>
      <c r="O184" s="105"/>
      <c r="P184" s="105"/>
      <c r="Q184" s="105"/>
      <c r="S184" s="104"/>
    </row>
    <row r="185" spans="1:30" s="103" customFormat="1">
      <c r="A185" s="103" t="s">
        <v>18</v>
      </c>
      <c r="B185" s="104" t="s">
        <v>453</v>
      </c>
      <c r="C185" s="103">
        <v>2009</v>
      </c>
      <c r="D185" s="105" t="s">
        <v>442</v>
      </c>
      <c r="E185" s="104"/>
      <c r="F185" s="104"/>
      <c r="G185" s="104"/>
      <c r="H185" s="104"/>
      <c r="I185" s="106"/>
      <c r="J185" s="104"/>
      <c r="L185" s="104"/>
      <c r="O185" s="105"/>
      <c r="P185" s="105"/>
      <c r="Q185" s="105"/>
      <c r="S185" s="104"/>
    </row>
    <row r="186" spans="1:30" s="103" customFormat="1">
      <c r="A186" s="103" t="s">
        <v>454</v>
      </c>
      <c r="B186" s="104" t="s">
        <v>455</v>
      </c>
      <c r="C186" s="103">
        <v>2013</v>
      </c>
      <c r="D186" s="105" t="s">
        <v>439</v>
      </c>
      <c r="E186" s="104"/>
      <c r="F186" s="104"/>
      <c r="G186" s="104"/>
      <c r="H186" s="104"/>
      <c r="I186" s="106"/>
      <c r="J186" s="104"/>
      <c r="L186" s="104"/>
      <c r="O186" s="105"/>
      <c r="P186" s="105"/>
      <c r="Q186" s="105"/>
      <c r="S186" s="104"/>
    </row>
    <row r="187" spans="1:30" s="103" customFormat="1">
      <c r="A187" s="103" t="s">
        <v>119</v>
      </c>
      <c r="B187" s="104" t="s">
        <v>456</v>
      </c>
      <c r="C187" s="103">
        <v>2004</v>
      </c>
      <c r="D187" s="105" t="s">
        <v>439</v>
      </c>
      <c r="E187" s="104"/>
      <c r="F187" s="104"/>
      <c r="G187" s="104"/>
      <c r="H187" s="104"/>
      <c r="I187" s="106"/>
      <c r="J187" s="104"/>
      <c r="L187" s="104"/>
      <c r="O187" s="105"/>
      <c r="P187" s="105"/>
      <c r="Q187" s="105"/>
      <c r="S187" s="104"/>
    </row>
    <row r="188" spans="1:30">
      <c r="A188" s="107" t="s">
        <v>457</v>
      </c>
      <c r="B188" s="17" t="s">
        <v>458</v>
      </c>
      <c r="C188">
        <v>2007</v>
      </c>
      <c r="D188" s="3" t="s">
        <v>408</v>
      </c>
      <c r="E188" s="17" t="s">
        <v>459</v>
      </c>
      <c r="F188" s="17" t="s">
        <v>460</v>
      </c>
      <c r="G188">
        <f>0.5*0.1</f>
        <v>0.05</v>
      </c>
      <c r="H188">
        <f>216+158+56</f>
        <v>430</v>
      </c>
      <c r="I188" s="102">
        <f>(G188*H188)/10000</f>
        <v>2.15E-3</v>
      </c>
      <c r="J188">
        <f>1/24</f>
        <v>4.1666666666666664E-2</v>
      </c>
      <c r="K188">
        <v>45</v>
      </c>
      <c r="L188">
        <f>J188*(451+271+130)</f>
        <v>35.5</v>
      </c>
      <c r="M188">
        <f>16*365</f>
        <v>5840</v>
      </c>
      <c r="N188" s="3">
        <v>0</v>
      </c>
      <c r="O188" s="3">
        <v>1</v>
      </c>
      <c r="P188" s="3">
        <v>0</v>
      </c>
      <c r="Q188" s="3">
        <v>0</v>
      </c>
      <c r="S188" s="17" t="s">
        <v>461</v>
      </c>
    </row>
    <row r="189" spans="1:30">
      <c r="A189" s="107" t="s">
        <v>457</v>
      </c>
      <c r="B189" s="17" t="s">
        <v>458</v>
      </c>
      <c r="C189">
        <v>2007</v>
      </c>
      <c r="D189" s="3" t="s">
        <v>408</v>
      </c>
      <c r="E189" s="17" t="s">
        <v>459</v>
      </c>
      <c r="F189" s="17" t="s">
        <v>460</v>
      </c>
      <c r="G189">
        <v>1</v>
      </c>
      <c r="H189">
        <f>216+158+56</f>
        <v>430</v>
      </c>
      <c r="I189" s="102">
        <f>(G189*H189)/10000</f>
        <v>4.2999999999999997E-2</v>
      </c>
      <c r="J189">
        <f>2/24</f>
        <v>8.3333333333333329E-2</v>
      </c>
      <c r="K189">
        <v>45</v>
      </c>
      <c r="L189">
        <f>J189*(451+271+130)</f>
        <v>71</v>
      </c>
      <c r="M189">
        <f>16*365</f>
        <v>5840</v>
      </c>
      <c r="N189" s="3">
        <v>0</v>
      </c>
      <c r="O189" s="3">
        <v>1</v>
      </c>
      <c r="P189" s="3">
        <v>0</v>
      </c>
      <c r="Q189" s="3">
        <v>0</v>
      </c>
      <c r="S189" s="17" t="s">
        <v>461</v>
      </c>
    </row>
    <row r="190" spans="1:30">
      <c r="A190" s="107" t="s">
        <v>457</v>
      </c>
      <c r="B190" s="17" t="s">
        <v>458</v>
      </c>
      <c r="C190">
        <v>2007</v>
      </c>
      <c r="D190" s="3" t="s">
        <v>408</v>
      </c>
      <c r="E190" s="17" t="s">
        <v>459</v>
      </c>
      <c r="F190" s="17" t="s">
        <v>460</v>
      </c>
      <c r="G190">
        <f>1</f>
        <v>1</v>
      </c>
      <c r="H190" s="17">
        <v>1</v>
      </c>
      <c r="I190" s="102">
        <f t="shared" ref="I190:I253" si="20">(G190*H190)/10000</f>
        <v>1E-4</v>
      </c>
      <c r="J190">
        <f>1/(3600 * 24)</f>
        <v>1.1574074074074073E-5</v>
      </c>
      <c r="K190">
        <v>1</v>
      </c>
      <c r="L190">
        <f>J190*90</f>
        <v>1.0416666666666667E-3</v>
      </c>
      <c r="M190">
        <v>90</v>
      </c>
      <c r="N190" s="3">
        <v>0</v>
      </c>
      <c r="O190" s="3">
        <v>1</v>
      </c>
      <c r="P190" s="3">
        <v>0</v>
      </c>
      <c r="Q190" s="3">
        <v>0</v>
      </c>
      <c r="S190" s="17" t="s">
        <v>461</v>
      </c>
    </row>
    <row r="191" spans="1:30">
      <c r="A191" s="107" t="s">
        <v>457</v>
      </c>
      <c r="B191" s="17" t="s">
        <v>458</v>
      </c>
      <c r="C191">
        <v>2007</v>
      </c>
      <c r="D191" s="3" t="s">
        <v>408</v>
      </c>
      <c r="E191" s="17" t="s">
        <v>459</v>
      </c>
      <c r="F191" s="17" t="s">
        <v>460</v>
      </c>
      <c r="G191">
        <f>1</f>
        <v>1</v>
      </c>
      <c r="H191" s="17">
        <v>1</v>
      </c>
      <c r="I191" s="102">
        <f t="shared" si="20"/>
        <v>1E-4</v>
      </c>
      <c r="J191">
        <f t="shared" ref="J191:J192" si="21">1/(3600 * 24)</f>
        <v>1.1574074074074073E-5</v>
      </c>
      <c r="K191">
        <v>1</v>
      </c>
      <c r="L191">
        <f t="shared" ref="L191:L192" si="22">J191*90</f>
        <v>1.0416666666666667E-3</v>
      </c>
      <c r="M191">
        <v>90</v>
      </c>
      <c r="N191" s="3">
        <v>0</v>
      </c>
      <c r="O191" s="3">
        <v>1</v>
      </c>
      <c r="P191" s="3">
        <v>0</v>
      </c>
      <c r="Q191" s="3">
        <v>0</v>
      </c>
      <c r="S191" s="17" t="s">
        <v>461</v>
      </c>
    </row>
    <row r="192" spans="1:30">
      <c r="A192" s="107" t="s">
        <v>457</v>
      </c>
      <c r="B192" s="17" t="s">
        <v>458</v>
      </c>
      <c r="C192">
        <v>2007</v>
      </c>
      <c r="D192" s="3" t="s">
        <v>408</v>
      </c>
      <c r="E192" s="17" t="s">
        <v>459</v>
      </c>
      <c r="F192" s="17" t="s">
        <v>460</v>
      </c>
      <c r="G192">
        <f>1</f>
        <v>1</v>
      </c>
      <c r="H192" s="17">
        <v>1</v>
      </c>
      <c r="I192" s="102">
        <f t="shared" si="20"/>
        <v>1E-4</v>
      </c>
      <c r="J192">
        <f t="shared" si="21"/>
        <v>1.1574074074074073E-5</v>
      </c>
      <c r="K192">
        <v>1</v>
      </c>
      <c r="L192">
        <f t="shared" si="22"/>
        <v>1.0416666666666667E-3</v>
      </c>
      <c r="M192">
        <v>90</v>
      </c>
      <c r="N192" s="3">
        <v>0</v>
      </c>
      <c r="O192" s="3">
        <v>1</v>
      </c>
      <c r="P192" s="3">
        <v>0</v>
      </c>
      <c r="Q192" s="3">
        <v>0</v>
      </c>
      <c r="S192" s="17" t="s">
        <v>461</v>
      </c>
    </row>
    <row r="193" spans="1:19">
      <c r="A193" s="107" t="s">
        <v>457</v>
      </c>
      <c r="B193" s="17" t="s">
        <v>458</v>
      </c>
      <c r="C193">
        <v>2007</v>
      </c>
      <c r="D193" s="3" t="s">
        <v>408</v>
      </c>
      <c r="E193" s="17" t="s">
        <v>459</v>
      </c>
      <c r="F193" s="17" t="s">
        <v>460</v>
      </c>
      <c r="G193">
        <v>500</v>
      </c>
      <c r="H193" s="17">
        <v>10</v>
      </c>
      <c r="I193" s="102">
        <f t="shared" si="20"/>
        <v>0.5</v>
      </c>
      <c r="J193">
        <f>8/24</f>
        <v>0.33333333333333331</v>
      </c>
      <c r="K193">
        <v>365</v>
      </c>
      <c r="L193">
        <f>8/24*16</f>
        <v>5.333333333333333</v>
      </c>
      <c r="M193">
        <f>16*365</f>
        <v>5840</v>
      </c>
      <c r="N193" s="3">
        <v>0</v>
      </c>
      <c r="O193" s="3">
        <v>1</v>
      </c>
      <c r="P193" s="3">
        <v>0</v>
      </c>
      <c r="Q193" s="3">
        <v>0</v>
      </c>
      <c r="S193" t="s">
        <v>462</v>
      </c>
    </row>
    <row r="194" spans="1:19">
      <c r="A194" s="107" t="s">
        <v>457</v>
      </c>
      <c r="B194" s="17" t="s">
        <v>458</v>
      </c>
      <c r="C194">
        <v>2007</v>
      </c>
      <c r="D194" s="3" t="s">
        <v>408</v>
      </c>
      <c r="E194" s="17" t="s">
        <v>459</v>
      </c>
      <c r="F194" s="17" t="s">
        <v>460</v>
      </c>
      <c r="G194">
        <v>100</v>
      </c>
      <c r="H194" s="17">
        <v>1</v>
      </c>
      <c r="I194" s="102">
        <f t="shared" si="20"/>
        <v>0.01</v>
      </c>
      <c r="J194">
        <f>8/24</f>
        <v>0.33333333333333331</v>
      </c>
      <c r="K194">
        <v>365</v>
      </c>
      <c r="L194">
        <f>8/24*16</f>
        <v>5.333333333333333</v>
      </c>
      <c r="M194">
        <f>16*365</f>
        <v>5840</v>
      </c>
      <c r="N194" s="3">
        <v>0</v>
      </c>
      <c r="O194" s="3">
        <v>1</v>
      </c>
      <c r="P194" s="3">
        <v>0</v>
      </c>
      <c r="Q194" s="3">
        <v>0</v>
      </c>
      <c r="S194" t="s">
        <v>463</v>
      </c>
    </row>
    <row r="195" spans="1:19" s="103" customFormat="1">
      <c r="A195" s="103" t="s">
        <v>0</v>
      </c>
      <c r="B195" s="104" t="s">
        <v>464</v>
      </c>
      <c r="C195" s="103">
        <v>2006</v>
      </c>
      <c r="D195" s="105" t="s">
        <v>416</v>
      </c>
      <c r="E195" s="104"/>
      <c r="F195" s="104"/>
      <c r="H195" s="104"/>
      <c r="I195" s="106"/>
      <c r="N195" s="105"/>
      <c r="O195" s="105"/>
      <c r="P195" s="105"/>
      <c r="Q195" s="105"/>
    </row>
    <row r="196" spans="1:19">
      <c r="A196" s="107" t="s">
        <v>24</v>
      </c>
      <c r="B196" s="17" t="s">
        <v>465</v>
      </c>
      <c r="C196">
        <v>2010</v>
      </c>
      <c r="D196" s="3" t="s">
        <v>408</v>
      </c>
      <c r="E196" s="17" t="s">
        <v>466</v>
      </c>
      <c r="F196" s="17" t="s">
        <v>467</v>
      </c>
      <c r="G196">
        <v>0.5</v>
      </c>
      <c r="H196" s="17">
        <f>36*6*60</f>
        <v>12960</v>
      </c>
      <c r="I196" s="102">
        <f t="shared" si="20"/>
        <v>0.64800000000000002</v>
      </c>
      <c r="J196">
        <f>15/1440</f>
        <v>1.0416666666666666E-2</v>
      </c>
      <c r="K196">
        <v>0</v>
      </c>
      <c r="L196">
        <f>J196*H196</f>
        <v>135</v>
      </c>
      <c r="M196">
        <f>365+60</f>
        <v>425</v>
      </c>
      <c r="N196" s="3">
        <v>3</v>
      </c>
      <c r="O196" s="3">
        <v>0</v>
      </c>
      <c r="P196" s="3">
        <v>0</v>
      </c>
      <c r="Q196" s="3">
        <v>2</v>
      </c>
      <c r="S196" t="s">
        <v>468</v>
      </c>
    </row>
    <row r="197" spans="1:19">
      <c r="A197" s="107" t="s">
        <v>24</v>
      </c>
      <c r="B197" s="17" t="s">
        <v>465</v>
      </c>
      <c r="C197">
        <v>2010</v>
      </c>
      <c r="D197" s="3" t="s">
        <v>408</v>
      </c>
      <c r="E197" s="17" t="s">
        <v>466</v>
      </c>
      <c r="F197" s="17" t="s">
        <v>467</v>
      </c>
      <c r="G197">
        <v>0.25</v>
      </c>
      <c r="H197">
        <f>36*6*2</f>
        <v>432</v>
      </c>
      <c r="I197" s="102">
        <f t="shared" si="20"/>
        <v>1.0800000000000001E-2</v>
      </c>
      <c r="J197">
        <f>15/1440</f>
        <v>1.0416666666666666E-2</v>
      </c>
      <c r="K197">
        <v>0</v>
      </c>
      <c r="L197">
        <f>J197*H197</f>
        <v>4.5</v>
      </c>
      <c r="M197">
        <f>365+60</f>
        <v>425</v>
      </c>
      <c r="N197" s="3">
        <v>0</v>
      </c>
      <c r="O197" s="3">
        <v>1</v>
      </c>
      <c r="P197" s="3">
        <v>1</v>
      </c>
      <c r="Q197" s="3">
        <v>0</v>
      </c>
      <c r="S197" t="s">
        <v>468</v>
      </c>
    </row>
    <row r="198" spans="1:19">
      <c r="A198" s="107" t="s">
        <v>24</v>
      </c>
      <c r="B198" s="17" t="s">
        <v>465</v>
      </c>
      <c r="C198">
        <v>2010</v>
      </c>
      <c r="D198" s="3" t="s">
        <v>408</v>
      </c>
      <c r="E198" s="17" t="s">
        <v>466</v>
      </c>
      <c r="F198" s="17" t="s">
        <v>467</v>
      </c>
      <c r="G198">
        <f>PI()*0.05^2</f>
        <v>7.8539816339744835E-3</v>
      </c>
      <c r="H198">
        <f>36*6</f>
        <v>216</v>
      </c>
      <c r="I198" s="102">
        <f t="shared" si="20"/>
        <v>1.6964600329384886E-4</v>
      </c>
      <c r="J198">
        <f>15/1440</f>
        <v>1.0416666666666666E-2</v>
      </c>
      <c r="K198" s="109">
        <v>0</v>
      </c>
      <c r="L198">
        <f>H198*J198</f>
        <v>2.25</v>
      </c>
      <c r="M198">
        <f>365+60</f>
        <v>425</v>
      </c>
      <c r="N198" s="3">
        <v>0</v>
      </c>
      <c r="O198" s="3">
        <v>0</v>
      </c>
      <c r="P198" s="3">
        <v>1</v>
      </c>
      <c r="Q198" s="3">
        <v>0</v>
      </c>
      <c r="S198" t="s">
        <v>469</v>
      </c>
    </row>
    <row r="199" spans="1:19">
      <c r="A199" s="107" t="s">
        <v>24</v>
      </c>
      <c r="B199" s="17" t="s">
        <v>465</v>
      </c>
      <c r="C199">
        <v>2010</v>
      </c>
      <c r="D199" s="3" t="s">
        <v>408</v>
      </c>
      <c r="E199" s="17" t="s">
        <v>466</v>
      </c>
      <c r="F199" s="17" t="s">
        <v>467</v>
      </c>
      <c r="G199">
        <f>PI()*0.01^2</f>
        <v>3.1415926535897931E-4</v>
      </c>
      <c r="H199" s="17">
        <f>36*6*60*4</f>
        <v>51840</v>
      </c>
      <c r="I199" s="102">
        <f t="shared" si="20"/>
        <v>1.6286016316209486E-3</v>
      </c>
      <c r="J199">
        <f>4/60/1440</f>
        <v>4.6296296296296294E-5</v>
      </c>
      <c r="K199" s="109">
        <v>0</v>
      </c>
      <c r="L199">
        <f>H199*J199</f>
        <v>2.4</v>
      </c>
      <c r="M199">
        <f>365+60</f>
        <v>425</v>
      </c>
      <c r="N199" s="3">
        <v>0</v>
      </c>
      <c r="O199" s="3">
        <v>0</v>
      </c>
      <c r="P199" s="3">
        <v>1</v>
      </c>
      <c r="Q199" s="3">
        <v>0</v>
      </c>
      <c r="S199" t="s">
        <v>469</v>
      </c>
    </row>
    <row r="200" spans="1:19" s="103" customFormat="1">
      <c r="A200" s="108" t="s">
        <v>149</v>
      </c>
      <c r="B200" s="103" t="s">
        <v>470</v>
      </c>
      <c r="C200" s="103">
        <v>2011</v>
      </c>
      <c r="D200" s="105" t="s">
        <v>439</v>
      </c>
      <c r="E200" s="104"/>
      <c r="F200" s="104"/>
      <c r="H200" s="104"/>
      <c r="I200" s="106"/>
      <c r="K200" s="110"/>
      <c r="N200" s="105"/>
      <c r="O200" s="105"/>
      <c r="P200" s="105"/>
      <c r="Q200" s="105"/>
    </row>
    <row r="201" spans="1:19" s="103" customFormat="1">
      <c r="A201" s="108" t="s">
        <v>258</v>
      </c>
      <c r="B201" s="103" t="s">
        <v>471</v>
      </c>
      <c r="C201" s="103">
        <v>2004</v>
      </c>
      <c r="D201" s="105" t="s">
        <v>414</v>
      </c>
      <c r="E201" s="104"/>
      <c r="F201" s="104"/>
      <c r="H201" s="104"/>
      <c r="I201" s="106"/>
      <c r="K201" s="110"/>
      <c r="N201" s="105"/>
      <c r="O201" s="105"/>
      <c r="P201" s="105"/>
      <c r="Q201" s="105"/>
    </row>
    <row r="202" spans="1:19" s="103" customFormat="1">
      <c r="A202" s="108" t="s">
        <v>95</v>
      </c>
      <c r="B202" s="103" t="s">
        <v>472</v>
      </c>
      <c r="C202" s="103">
        <v>2006</v>
      </c>
      <c r="D202" s="105" t="s">
        <v>416</v>
      </c>
      <c r="E202" s="104"/>
      <c r="F202" s="104"/>
      <c r="H202" s="104"/>
      <c r="I202" s="106"/>
      <c r="K202" s="110"/>
      <c r="N202" s="105"/>
      <c r="O202" s="105"/>
      <c r="P202" s="105"/>
      <c r="Q202" s="105"/>
    </row>
    <row r="203" spans="1:19">
      <c r="A203" s="107" t="s">
        <v>258</v>
      </c>
      <c r="B203" s="17" t="s">
        <v>473</v>
      </c>
      <c r="C203">
        <v>2012</v>
      </c>
      <c r="D203" s="3" t="s">
        <v>408</v>
      </c>
      <c r="E203" s="17" t="s">
        <v>474</v>
      </c>
      <c r="F203" s="17" t="s">
        <v>475</v>
      </c>
      <c r="G203">
        <f>10*10</f>
        <v>100</v>
      </c>
      <c r="H203">
        <v>16</v>
      </c>
      <c r="I203" s="102">
        <f t="shared" si="20"/>
        <v>0.16</v>
      </c>
      <c r="J203">
        <f>1/24</f>
        <v>4.1666666666666664E-2</v>
      </c>
      <c r="K203">
        <f>365*(2010-1967)</f>
        <v>15695</v>
      </c>
      <c r="L203">
        <f>J203*32</f>
        <v>1.3333333333333333</v>
      </c>
      <c r="M203">
        <f>365*(2010-1967)</f>
        <v>15695</v>
      </c>
      <c r="N203" s="3">
        <v>1</v>
      </c>
      <c r="O203" s="3">
        <v>0</v>
      </c>
      <c r="P203" s="3">
        <v>0</v>
      </c>
      <c r="Q203" s="3">
        <v>0</v>
      </c>
      <c r="S203" t="s">
        <v>469</v>
      </c>
    </row>
    <row r="204" spans="1:19">
      <c r="A204" s="107" t="s">
        <v>258</v>
      </c>
      <c r="B204" s="17" t="s">
        <v>473</v>
      </c>
      <c r="C204">
        <v>2012</v>
      </c>
      <c r="D204" s="3" t="s">
        <v>408</v>
      </c>
      <c r="E204" s="17" t="s">
        <v>474</v>
      </c>
      <c r="F204" s="17" t="s">
        <v>475</v>
      </c>
      <c r="G204">
        <f>0.02*0.01</f>
        <v>2.0000000000000001E-4</v>
      </c>
      <c r="H204">
        <f>2722+3180</f>
        <v>5902</v>
      </c>
      <c r="I204" s="102">
        <f t="shared" si="20"/>
        <v>1.1804000000000002E-4</v>
      </c>
      <c r="J204">
        <f>1/1440</f>
        <v>6.9444444444444447E-4</v>
      </c>
      <c r="K204">
        <v>0</v>
      </c>
      <c r="L204">
        <f>J204*H204</f>
        <v>4.0986111111111114</v>
      </c>
      <c r="M204">
        <f>365*(2010-1967)</f>
        <v>15695</v>
      </c>
      <c r="N204" s="3">
        <v>0</v>
      </c>
      <c r="O204" s="3">
        <v>0</v>
      </c>
      <c r="P204" s="3">
        <v>1</v>
      </c>
      <c r="Q204" s="3">
        <v>0</v>
      </c>
      <c r="S204" t="s">
        <v>476</v>
      </c>
    </row>
    <row r="205" spans="1:19">
      <c r="A205" s="107" t="s">
        <v>258</v>
      </c>
      <c r="B205" s="17" t="s">
        <v>473</v>
      </c>
      <c r="C205">
        <v>2012</v>
      </c>
      <c r="D205" s="3" t="s">
        <v>408</v>
      </c>
      <c r="E205" s="17" t="s">
        <v>474</v>
      </c>
      <c r="F205" s="17" t="s">
        <v>475</v>
      </c>
      <c r="G205">
        <f>5000*5000</f>
        <v>25000000</v>
      </c>
      <c r="H205">
        <v>1</v>
      </c>
      <c r="I205" s="102">
        <f t="shared" si="20"/>
        <v>2500</v>
      </c>
      <c r="J205">
        <f>5/24</f>
        <v>0.20833333333333334</v>
      </c>
      <c r="K205">
        <f>365*(2010-1968)</f>
        <v>15330</v>
      </c>
      <c r="L205">
        <f>J205*2</f>
        <v>0.41666666666666669</v>
      </c>
      <c r="M205">
        <f>365*(2010-1968)</f>
        <v>15330</v>
      </c>
      <c r="N205" s="3">
        <v>0</v>
      </c>
      <c r="O205" s="3">
        <v>0</v>
      </c>
      <c r="P205" s="3">
        <v>0</v>
      </c>
      <c r="Q205" s="3">
        <v>0</v>
      </c>
      <c r="S205" t="s">
        <v>461</v>
      </c>
    </row>
    <row r="206" spans="1:19">
      <c r="A206" s="107" t="s">
        <v>258</v>
      </c>
      <c r="B206" s="17" t="s">
        <v>473</v>
      </c>
      <c r="C206">
        <v>2012</v>
      </c>
      <c r="D206" s="3" t="s">
        <v>408</v>
      </c>
      <c r="E206" s="17" t="s">
        <v>474</v>
      </c>
      <c r="F206" s="17" t="s">
        <v>475</v>
      </c>
      <c r="G206">
        <f>0.1*0.1</f>
        <v>1.0000000000000002E-2</v>
      </c>
      <c r="H206">
        <v>1</v>
      </c>
      <c r="I206" s="102">
        <f t="shared" si="20"/>
        <v>1.0000000000000002E-6</v>
      </c>
      <c r="J206">
        <f>1/60/1440</f>
        <v>1.1574074074074073E-5</v>
      </c>
      <c r="K206">
        <v>1</v>
      </c>
      <c r="L206">
        <f>J206*M206</f>
        <v>0.18165509259259258</v>
      </c>
      <c r="M206">
        <f>365*(2010-1967)</f>
        <v>15695</v>
      </c>
      <c r="N206" s="3">
        <v>0</v>
      </c>
      <c r="O206" s="3">
        <v>0</v>
      </c>
      <c r="P206" s="3">
        <v>0</v>
      </c>
      <c r="Q206" s="3">
        <v>0</v>
      </c>
      <c r="S206" t="s">
        <v>412</v>
      </c>
    </row>
    <row r="207" spans="1:19" s="103" customFormat="1">
      <c r="A207" s="108" t="s">
        <v>258</v>
      </c>
      <c r="B207" s="103" t="s">
        <v>477</v>
      </c>
      <c r="C207" s="103">
        <v>2012</v>
      </c>
      <c r="D207" s="105" t="s">
        <v>439</v>
      </c>
      <c r="E207" s="104"/>
      <c r="F207" s="104"/>
      <c r="I207" s="106"/>
      <c r="N207" s="105"/>
      <c r="O207" s="105"/>
      <c r="P207" s="105"/>
      <c r="Q207" s="105"/>
    </row>
    <row r="208" spans="1:19">
      <c r="A208" s="107" t="s">
        <v>258</v>
      </c>
      <c r="B208" t="s">
        <v>478</v>
      </c>
      <c r="C208">
        <v>2009</v>
      </c>
      <c r="D208" s="3" t="s">
        <v>424</v>
      </c>
      <c r="E208" s="17" t="s">
        <v>479</v>
      </c>
      <c r="F208" s="17" t="s">
        <v>480</v>
      </c>
      <c r="G208">
        <f>PI()*0.05^2</f>
        <v>7.8539816339744835E-3</v>
      </c>
      <c r="H208">
        <v>23</v>
      </c>
      <c r="I208" s="102">
        <f t="shared" si="20"/>
        <v>1.806415775814131E-5</v>
      </c>
      <c r="J208">
        <f>15/1440</f>
        <v>1.0416666666666666E-2</v>
      </c>
      <c r="K208">
        <v>0</v>
      </c>
      <c r="L208">
        <f>J208*H208</f>
        <v>0.23958333333333331</v>
      </c>
      <c r="M208">
        <v>1</v>
      </c>
      <c r="N208" s="3">
        <v>0</v>
      </c>
      <c r="O208" s="3">
        <v>2</v>
      </c>
      <c r="P208" s="3">
        <v>2</v>
      </c>
      <c r="Q208" s="3">
        <v>0</v>
      </c>
      <c r="S208" t="s">
        <v>364</v>
      </c>
    </row>
    <row r="209" spans="1:20" s="103" customFormat="1">
      <c r="A209" s="108" t="s">
        <v>95</v>
      </c>
      <c r="B209" s="103" t="s">
        <v>481</v>
      </c>
      <c r="C209" s="103">
        <v>2014</v>
      </c>
      <c r="D209" s="105" t="s">
        <v>416</v>
      </c>
      <c r="E209" s="104"/>
      <c r="F209" s="104"/>
      <c r="I209" s="106"/>
      <c r="N209" s="105"/>
      <c r="O209" s="105"/>
      <c r="P209" s="105"/>
      <c r="Q209" s="105"/>
    </row>
    <row r="210" spans="1:20" s="103" customFormat="1">
      <c r="A210" s="108" t="s">
        <v>93</v>
      </c>
      <c r="B210" s="103" t="s">
        <v>482</v>
      </c>
      <c r="C210" s="103">
        <v>2005</v>
      </c>
      <c r="D210" s="105" t="s">
        <v>416</v>
      </c>
      <c r="E210" s="104"/>
      <c r="F210" s="104"/>
      <c r="I210" s="106"/>
      <c r="N210" s="105"/>
      <c r="O210" s="105"/>
      <c r="P210" s="105"/>
      <c r="Q210" s="105"/>
    </row>
    <row r="211" spans="1:20">
      <c r="A211" s="107" t="s">
        <v>134</v>
      </c>
      <c r="B211" t="s">
        <v>483</v>
      </c>
      <c r="C211">
        <v>2010</v>
      </c>
      <c r="D211" s="3" t="s">
        <v>424</v>
      </c>
      <c r="E211" s="17" t="s">
        <v>386</v>
      </c>
      <c r="F211" s="17" t="s">
        <v>484</v>
      </c>
      <c r="G211">
        <f>3</f>
        <v>3</v>
      </c>
      <c r="H211">
        <v>220</v>
      </c>
      <c r="I211" s="102">
        <f t="shared" si="20"/>
        <v>6.6000000000000003E-2</v>
      </c>
      <c r="J211">
        <f>2+2/3</f>
        <v>2.6666666666666665</v>
      </c>
      <c r="K211">
        <v>365</v>
      </c>
      <c r="L211">
        <f>J211*H211*14</f>
        <v>8213.3333333333321</v>
      </c>
      <c r="M211">
        <f>14*365</f>
        <v>5110</v>
      </c>
      <c r="N211" s="3">
        <v>0</v>
      </c>
      <c r="O211" s="3">
        <v>1</v>
      </c>
      <c r="P211" s="3">
        <v>0</v>
      </c>
      <c r="Q211" s="3">
        <v>0</v>
      </c>
      <c r="S211" t="s">
        <v>251</v>
      </c>
    </row>
    <row r="212" spans="1:20">
      <c r="A212" s="107" t="s">
        <v>485</v>
      </c>
      <c r="B212" t="s">
        <v>486</v>
      </c>
      <c r="C212">
        <v>2004</v>
      </c>
      <c r="D212" s="3" t="s">
        <v>487</v>
      </c>
      <c r="E212" s="17" t="s">
        <v>488</v>
      </c>
      <c r="F212" s="17" t="s">
        <v>489</v>
      </c>
      <c r="G212">
        <f>1*10^10</f>
        <v>10000000000</v>
      </c>
      <c r="H212">
        <v>1</v>
      </c>
      <c r="I212" s="102">
        <f t="shared" si="20"/>
        <v>1000000</v>
      </c>
      <c r="J212">
        <f>2/24</f>
        <v>8.3333333333333329E-2</v>
      </c>
      <c r="K212">
        <f>(19*365 + 7*365 + 14*365)/3</f>
        <v>4866.666666666667</v>
      </c>
      <c r="L212">
        <f>J212*4</f>
        <v>0.33333333333333331</v>
      </c>
      <c r="M212">
        <f>40*365</f>
        <v>14600</v>
      </c>
      <c r="N212" s="3">
        <v>0</v>
      </c>
      <c r="O212" s="3">
        <v>0</v>
      </c>
      <c r="P212" s="3">
        <v>2</v>
      </c>
      <c r="Q212" s="3">
        <v>0</v>
      </c>
      <c r="S212" t="s">
        <v>490</v>
      </c>
    </row>
    <row r="213" spans="1:20">
      <c r="A213" s="107" t="s">
        <v>6</v>
      </c>
      <c r="B213" t="s">
        <v>491</v>
      </c>
      <c r="C213">
        <v>2011</v>
      </c>
      <c r="D213" s="3" t="s">
        <v>408</v>
      </c>
      <c r="E213" s="17" t="s">
        <v>492</v>
      </c>
      <c r="F213" s="17" t="s">
        <v>493</v>
      </c>
      <c r="G213">
        <f>24*25</f>
        <v>600</v>
      </c>
      <c r="H213">
        <v>10</v>
      </c>
      <c r="I213" s="102">
        <f t="shared" si="20"/>
        <v>0.6</v>
      </c>
      <c r="J213">
        <f>1/24</f>
        <v>4.1666666666666664E-2</v>
      </c>
      <c r="K213">
        <v>6</v>
      </c>
      <c r="L213">
        <f>J213*H213</f>
        <v>0.41666666666666663</v>
      </c>
      <c r="M213">
        <v>60</v>
      </c>
      <c r="N213" s="3">
        <v>3</v>
      </c>
      <c r="O213" s="3">
        <v>2</v>
      </c>
      <c r="P213" s="111">
        <v>2</v>
      </c>
      <c r="Q213" s="3">
        <v>2</v>
      </c>
      <c r="S213" t="s">
        <v>461</v>
      </c>
    </row>
    <row r="214" spans="1:20">
      <c r="A214" s="107" t="s">
        <v>6</v>
      </c>
      <c r="B214" t="s">
        <v>491</v>
      </c>
      <c r="C214">
        <v>2011</v>
      </c>
      <c r="D214" s="3" t="s">
        <v>408</v>
      </c>
      <c r="E214" s="17" t="s">
        <v>492</v>
      </c>
      <c r="F214" s="17" t="s">
        <v>493</v>
      </c>
      <c r="G214">
        <v>1</v>
      </c>
      <c r="H214">
        <v>3</v>
      </c>
      <c r="I214" s="102">
        <f t="shared" si="20"/>
        <v>2.9999999999999997E-4</v>
      </c>
      <c r="J214">
        <f>1/24</f>
        <v>4.1666666666666664E-2</v>
      </c>
      <c r="K214">
        <v>6</v>
      </c>
      <c r="L214">
        <f>J214*3</f>
        <v>0.125</v>
      </c>
      <c r="M214">
        <v>60</v>
      </c>
      <c r="N214" s="3">
        <v>3</v>
      </c>
      <c r="O214" s="3">
        <v>0</v>
      </c>
      <c r="P214" s="3">
        <v>0</v>
      </c>
      <c r="Q214" s="3">
        <v>2</v>
      </c>
      <c r="S214" t="s">
        <v>383</v>
      </c>
    </row>
    <row r="215" spans="1:20">
      <c r="A215" s="107" t="s">
        <v>6</v>
      </c>
      <c r="B215" t="s">
        <v>491</v>
      </c>
      <c r="C215">
        <v>2011</v>
      </c>
      <c r="D215" s="3" t="s">
        <v>408</v>
      </c>
      <c r="E215" s="17" t="s">
        <v>492</v>
      </c>
      <c r="F215" s="17" t="s">
        <v>493</v>
      </c>
      <c r="G215">
        <f>1*10^-7/3</f>
        <v>3.3333333333333334E-8</v>
      </c>
      <c r="H215">
        <f>106*20</f>
        <v>2120</v>
      </c>
      <c r="I215" s="102">
        <f t="shared" si="20"/>
        <v>7.0666666666666671E-9</v>
      </c>
      <c r="J215">
        <f>5/1440</f>
        <v>3.472222222222222E-3</v>
      </c>
      <c r="K215">
        <v>0</v>
      </c>
      <c r="L215">
        <f>J215*H215</f>
        <v>7.3611111111111107</v>
      </c>
      <c r="M215">
        <f>60</f>
        <v>60</v>
      </c>
      <c r="N215" s="3">
        <v>3</v>
      </c>
      <c r="O215" s="3">
        <v>0</v>
      </c>
      <c r="P215" s="3">
        <v>2</v>
      </c>
      <c r="Q215" s="3">
        <v>2</v>
      </c>
      <c r="S215" t="s">
        <v>494</v>
      </c>
    </row>
    <row r="216" spans="1:20" s="103" customFormat="1">
      <c r="A216" s="108" t="s">
        <v>18</v>
      </c>
      <c r="B216" s="103" t="s">
        <v>495</v>
      </c>
      <c r="C216" s="103">
        <v>2005</v>
      </c>
      <c r="D216" s="105" t="s">
        <v>450</v>
      </c>
      <c r="E216" s="104"/>
      <c r="F216" s="104"/>
      <c r="I216" s="106"/>
      <c r="N216" s="105"/>
      <c r="O216" s="105"/>
      <c r="P216" s="105"/>
      <c r="Q216" s="105"/>
    </row>
    <row r="217" spans="1:20" s="103" customFormat="1">
      <c r="A217" s="108" t="s">
        <v>149</v>
      </c>
      <c r="B217" s="103" t="s">
        <v>496</v>
      </c>
      <c r="C217" s="103">
        <v>2011</v>
      </c>
      <c r="D217" s="105" t="s">
        <v>439</v>
      </c>
      <c r="E217" s="104"/>
      <c r="F217" s="104"/>
      <c r="I217" s="106"/>
      <c r="N217" s="105"/>
      <c r="O217" s="105"/>
      <c r="P217" s="105"/>
      <c r="Q217" s="105"/>
    </row>
    <row r="218" spans="1:20">
      <c r="A218" s="107" t="s">
        <v>0</v>
      </c>
      <c r="B218" t="s">
        <v>497</v>
      </c>
      <c r="C218">
        <v>2012</v>
      </c>
      <c r="D218" s="3" t="s">
        <v>408</v>
      </c>
      <c r="E218" s="17" t="s">
        <v>498</v>
      </c>
      <c r="F218" s="17" t="s">
        <v>499</v>
      </c>
      <c r="G218">
        <v>1</v>
      </c>
      <c r="H218">
        <v>750</v>
      </c>
      <c r="I218" s="102">
        <f t="shared" si="20"/>
        <v>7.4999999999999997E-2</v>
      </c>
      <c r="J218">
        <f>15/1440</f>
        <v>1.0416666666666666E-2</v>
      </c>
      <c r="K218">
        <f>3</f>
        <v>3</v>
      </c>
      <c r="L218">
        <f>J218*H218*24*17</f>
        <v>3187.5</v>
      </c>
      <c r="M218">
        <f>17*365</f>
        <v>6205</v>
      </c>
      <c r="N218" s="3">
        <v>0</v>
      </c>
      <c r="O218" s="3">
        <v>3</v>
      </c>
      <c r="P218" s="3">
        <v>0</v>
      </c>
      <c r="Q218" s="3">
        <v>0</v>
      </c>
      <c r="S218" t="s">
        <v>500</v>
      </c>
    </row>
    <row r="219" spans="1:20">
      <c r="A219" s="107" t="s">
        <v>0</v>
      </c>
      <c r="B219" t="s">
        <v>497</v>
      </c>
      <c r="C219">
        <v>2012</v>
      </c>
      <c r="D219" s="3" t="s">
        <v>408</v>
      </c>
      <c r="E219" s="17" t="s">
        <v>498</v>
      </c>
      <c r="F219" s="17" t="s">
        <v>499</v>
      </c>
      <c r="G219">
        <f>0.03*0.01</f>
        <v>2.9999999999999997E-4</v>
      </c>
      <c r="H219">
        <v>683</v>
      </c>
      <c r="I219" s="102">
        <f t="shared" si="20"/>
        <v>2.0489999999999999E-5</v>
      </c>
      <c r="J219">
        <f>5/1440</f>
        <v>3.472222222222222E-3</v>
      </c>
      <c r="K219">
        <v>3</v>
      </c>
      <c r="L219">
        <f>J219*H219*24*17</f>
        <v>967.58333333333326</v>
      </c>
      <c r="M219">
        <f>17*365</f>
        <v>6205</v>
      </c>
      <c r="N219" s="3">
        <v>0</v>
      </c>
      <c r="O219" s="3">
        <v>1</v>
      </c>
      <c r="P219" s="3">
        <v>0</v>
      </c>
      <c r="Q219" s="3">
        <v>0</v>
      </c>
      <c r="S219" t="s">
        <v>420</v>
      </c>
    </row>
    <row r="220" spans="1:20">
      <c r="A220" s="107" t="s">
        <v>24</v>
      </c>
      <c r="B220" t="s">
        <v>501</v>
      </c>
      <c r="C220">
        <v>2010</v>
      </c>
      <c r="D220" s="3" t="s">
        <v>408</v>
      </c>
      <c r="E220" s="17" t="s">
        <v>502</v>
      </c>
      <c r="F220" s="17" t="s">
        <v>503</v>
      </c>
      <c r="G220">
        <f>200*2000</f>
        <v>400000</v>
      </c>
      <c r="H220">
        <v>66</v>
      </c>
      <c r="I220" s="102">
        <f t="shared" si="20"/>
        <v>2640</v>
      </c>
      <c r="J220">
        <f>6.65*8/24</f>
        <v>2.2166666666666668</v>
      </c>
      <c r="K220">
        <f>29*30/66</f>
        <v>13.181818181818182</v>
      </c>
      <c r="L220">
        <f>J220*66</f>
        <v>146.30000000000001</v>
      </c>
      <c r="M220">
        <f>29*30</f>
        <v>870</v>
      </c>
      <c r="N220" s="3">
        <v>0</v>
      </c>
      <c r="O220" s="3">
        <v>1</v>
      </c>
      <c r="P220" s="3">
        <v>0</v>
      </c>
      <c r="Q220" s="3">
        <v>1</v>
      </c>
      <c r="S220" t="s">
        <v>504</v>
      </c>
    </row>
    <row r="221" spans="1:20">
      <c r="A221" s="107" t="s">
        <v>24</v>
      </c>
      <c r="B221" t="s">
        <v>501</v>
      </c>
      <c r="C221">
        <v>2010</v>
      </c>
      <c r="D221" s="3" t="s">
        <v>408</v>
      </c>
      <c r="E221" s="17" t="s">
        <v>502</v>
      </c>
      <c r="F221" s="17" t="s">
        <v>503</v>
      </c>
      <c r="G221">
        <f>800</f>
        <v>800</v>
      </c>
      <c r="H221">
        <v>1</v>
      </c>
      <c r="I221" s="102">
        <f t="shared" si="20"/>
        <v>0.08</v>
      </c>
      <c r="J221">
        <f>4/24</f>
        <v>0.16666666666666666</v>
      </c>
      <c r="K221">
        <v>1</v>
      </c>
      <c r="L221">
        <f>J221*M221</f>
        <v>456.33333333333331</v>
      </c>
      <c r="M221">
        <f>7.5*365+0.5</f>
        <v>2738</v>
      </c>
      <c r="N221" s="3">
        <v>0</v>
      </c>
      <c r="O221" s="3">
        <v>2</v>
      </c>
      <c r="P221" s="3">
        <v>0</v>
      </c>
      <c r="Q221" s="3">
        <v>1</v>
      </c>
      <c r="S221" t="s">
        <v>412</v>
      </c>
      <c r="T221" t="s">
        <v>505</v>
      </c>
    </row>
    <row r="222" spans="1:20">
      <c r="A222" s="107" t="s">
        <v>258</v>
      </c>
      <c r="B222" t="s">
        <v>506</v>
      </c>
      <c r="C222">
        <v>2009</v>
      </c>
      <c r="D222" s="3" t="s">
        <v>408</v>
      </c>
      <c r="E222" s="17" t="s">
        <v>507</v>
      </c>
      <c r="F222" s="17" t="s">
        <v>508</v>
      </c>
      <c r="G222">
        <f>1</f>
        <v>1</v>
      </c>
      <c r="H222">
        <v>500</v>
      </c>
      <c r="I222" s="102">
        <f t="shared" si="20"/>
        <v>0.05</v>
      </c>
      <c r="J222">
        <f>1/60/1440</f>
        <v>1.1574074074074073E-5</v>
      </c>
      <c r="K222">
        <v>1</v>
      </c>
      <c r="L222">
        <f>J222*(10*365)</f>
        <v>4.2245370370370371E-2</v>
      </c>
      <c r="M222">
        <f>12*365</f>
        <v>4380</v>
      </c>
      <c r="N222" s="3">
        <v>0</v>
      </c>
      <c r="O222" s="3">
        <v>0</v>
      </c>
      <c r="P222" s="3">
        <v>1</v>
      </c>
      <c r="Q222" s="3">
        <v>0</v>
      </c>
      <c r="S222" t="s">
        <v>509</v>
      </c>
    </row>
    <row r="223" spans="1:20">
      <c r="A223" s="107" t="s">
        <v>258</v>
      </c>
      <c r="B223" t="s">
        <v>506</v>
      </c>
      <c r="C223">
        <v>2009</v>
      </c>
      <c r="D223" s="3" t="s">
        <v>408</v>
      </c>
      <c r="E223" s="17" t="s">
        <v>507</v>
      </c>
      <c r="F223" s="17" t="s">
        <v>508</v>
      </c>
      <c r="G223">
        <f>10000</f>
        <v>10000</v>
      </c>
      <c r="H223">
        <f>1195/5</f>
        <v>239</v>
      </c>
      <c r="I223" s="102">
        <f t="shared" si="20"/>
        <v>239</v>
      </c>
      <c r="J223">
        <f>10*2/24</f>
        <v>0.83333333333333337</v>
      </c>
      <c r="K223">
        <v>365</v>
      </c>
      <c r="L223">
        <f>J223*10*239</f>
        <v>1991.6666666666667</v>
      </c>
      <c r="M223">
        <f>12*365</f>
        <v>4380</v>
      </c>
      <c r="N223" s="3">
        <v>1</v>
      </c>
      <c r="O223" s="3">
        <v>0</v>
      </c>
      <c r="P223" s="3">
        <v>0</v>
      </c>
      <c r="Q223" s="3">
        <v>2</v>
      </c>
      <c r="R223" t="s">
        <v>510</v>
      </c>
      <c r="S223" s="107" t="s">
        <v>511</v>
      </c>
    </row>
    <row r="224" spans="1:20" s="103" customFormat="1">
      <c r="A224" s="103" t="s">
        <v>134</v>
      </c>
      <c r="B224" s="103" t="s">
        <v>512</v>
      </c>
      <c r="C224" s="103">
        <v>2012</v>
      </c>
      <c r="D224" s="105" t="s">
        <v>450</v>
      </c>
      <c r="E224" s="104"/>
      <c r="F224" s="104"/>
      <c r="I224" s="106"/>
      <c r="N224" s="105"/>
      <c r="O224" s="105"/>
      <c r="P224" s="105"/>
      <c r="Q224" s="105"/>
      <c r="S224" s="108"/>
      <c r="T224" s="103" t="s">
        <v>513</v>
      </c>
    </row>
    <row r="225" spans="1:20" s="103" customFormat="1">
      <c r="A225" s="103" t="s">
        <v>0</v>
      </c>
      <c r="B225" s="103" t="s">
        <v>514</v>
      </c>
      <c r="C225" s="103">
        <v>2006</v>
      </c>
      <c r="D225" s="105" t="s">
        <v>450</v>
      </c>
      <c r="E225" s="104"/>
      <c r="F225" s="104"/>
      <c r="I225" s="106"/>
      <c r="N225" s="105"/>
      <c r="O225" s="105"/>
      <c r="P225" s="105"/>
      <c r="Q225" s="105"/>
      <c r="S225" s="108"/>
    </row>
    <row r="226" spans="1:20" s="103" customFormat="1">
      <c r="A226" s="103" t="s">
        <v>95</v>
      </c>
      <c r="B226" s="103" t="s">
        <v>515</v>
      </c>
      <c r="C226" s="103">
        <v>2013</v>
      </c>
      <c r="D226" s="105" t="s">
        <v>416</v>
      </c>
      <c r="E226" s="104"/>
      <c r="F226" s="104"/>
      <c r="I226" s="106"/>
      <c r="N226" s="105"/>
      <c r="O226" s="105"/>
      <c r="P226" s="105"/>
      <c r="Q226" s="105"/>
      <c r="S226" s="108"/>
    </row>
    <row r="227" spans="1:20">
      <c r="A227" s="107" t="s">
        <v>485</v>
      </c>
      <c r="B227" t="s">
        <v>516</v>
      </c>
      <c r="C227">
        <v>2008</v>
      </c>
      <c r="D227" s="3" t="s">
        <v>424</v>
      </c>
      <c r="E227" s="3" t="s">
        <v>517</v>
      </c>
      <c r="F227" s="3" t="s">
        <v>518</v>
      </c>
      <c r="G227">
        <f>PI()*500^2</f>
        <v>785398.16339744825</v>
      </c>
      <c r="H227">
        <v>13</v>
      </c>
      <c r="I227" s="102">
        <f>(G227*H227)/10000</f>
        <v>1021.0176124166827</v>
      </c>
      <c r="J227">
        <f>8/24</f>
        <v>0.33333333333333331</v>
      </c>
      <c r="K227" s="107">
        <f>40*365</f>
        <v>14600</v>
      </c>
      <c r="L227">
        <f>J227*2</f>
        <v>0.66666666666666663</v>
      </c>
      <c r="M227">
        <f>(2002-1960)*365</f>
        <v>15330</v>
      </c>
      <c r="N227" s="3">
        <v>1</v>
      </c>
      <c r="O227" s="3">
        <v>0</v>
      </c>
      <c r="P227">
        <v>2</v>
      </c>
      <c r="Q227">
        <v>0</v>
      </c>
      <c r="S227" t="s">
        <v>412</v>
      </c>
    </row>
    <row r="228" spans="1:20">
      <c r="A228" t="s">
        <v>0</v>
      </c>
      <c r="B228" t="s">
        <v>519</v>
      </c>
      <c r="C228">
        <v>2011</v>
      </c>
      <c r="D228" t="s">
        <v>408</v>
      </c>
      <c r="E228" t="s">
        <v>520</v>
      </c>
      <c r="F228" t="s">
        <v>521</v>
      </c>
      <c r="G228">
        <f>0.3*0.15</f>
        <v>4.4999999999999998E-2</v>
      </c>
      <c r="H228">
        <f>49*2</f>
        <v>98</v>
      </c>
      <c r="I228" s="102">
        <f>(G228*H228)/10000</f>
        <v>4.4100000000000004E-4</v>
      </c>
      <c r="J228">
        <f>30/1440</f>
        <v>2.0833333333333332E-2</v>
      </c>
      <c r="K228">
        <v>0</v>
      </c>
      <c r="L228">
        <f>J228*H228</f>
        <v>2.0416666666666665</v>
      </c>
      <c r="M228">
        <f>4*30</f>
        <v>120</v>
      </c>
      <c r="N228" s="3">
        <v>0</v>
      </c>
      <c r="O228" s="3">
        <v>2</v>
      </c>
      <c r="P228" s="3">
        <v>0</v>
      </c>
      <c r="Q228" s="3">
        <v>0</v>
      </c>
      <c r="S228" s="107" t="s">
        <v>490</v>
      </c>
    </row>
    <row r="229" spans="1:20">
      <c r="A229" t="s">
        <v>0</v>
      </c>
      <c r="B229" t="s">
        <v>522</v>
      </c>
      <c r="C229">
        <v>2011</v>
      </c>
      <c r="D229" t="s">
        <v>408</v>
      </c>
      <c r="E229" t="s">
        <v>520</v>
      </c>
      <c r="F229" t="s">
        <v>521</v>
      </c>
      <c r="G229">
        <f>0.3*0.15</f>
        <v>4.4999999999999998E-2</v>
      </c>
      <c r="H229">
        <v>22</v>
      </c>
      <c r="I229" s="102">
        <f t="shared" ref="I229:I231" si="23">(G229*H229)/10000</f>
        <v>9.8999999999999994E-5</v>
      </c>
      <c r="J229">
        <f>30/1440</f>
        <v>2.0833333333333332E-2</v>
      </c>
      <c r="K229">
        <v>0</v>
      </c>
      <c r="L229">
        <f>J229*H229</f>
        <v>0.45833333333333331</v>
      </c>
      <c r="M229">
        <f>4*30</f>
        <v>120</v>
      </c>
      <c r="N229" s="3">
        <v>0</v>
      </c>
      <c r="O229" s="3">
        <v>1</v>
      </c>
      <c r="P229" s="3">
        <v>0</v>
      </c>
      <c r="Q229" s="3">
        <v>0</v>
      </c>
      <c r="S229" s="107" t="s">
        <v>490</v>
      </c>
    </row>
    <row r="230" spans="1:20">
      <c r="A230" t="s">
        <v>0</v>
      </c>
      <c r="B230" t="s">
        <v>523</v>
      </c>
      <c r="C230">
        <v>2011</v>
      </c>
      <c r="D230" t="s">
        <v>408</v>
      </c>
      <c r="E230" t="s">
        <v>520</v>
      </c>
      <c r="F230" t="s">
        <v>521</v>
      </c>
      <c r="G230">
        <f>0.1*0.05</f>
        <v>5.000000000000001E-3</v>
      </c>
      <c r="H230">
        <f>49+39</f>
        <v>88</v>
      </c>
      <c r="I230" s="102">
        <f t="shared" si="23"/>
        <v>4.4000000000000006E-5</v>
      </c>
      <c r="J230">
        <f>15/1440</f>
        <v>1.0416666666666666E-2</v>
      </c>
      <c r="K230">
        <v>2</v>
      </c>
      <c r="L230">
        <f>J230*H230</f>
        <v>0.91666666666666663</v>
      </c>
      <c r="M230">
        <f>4*30</f>
        <v>120</v>
      </c>
      <c r="N230" s="3">
        <v>0</v>
      </c>
      <c r="O230" s="3">
        <v>1</v>
      </c>
      <c r="P230" s="3">
        <v>0</v>
      </c>
      <c r="Q230" s="3">
        <v>0</v>
      </c>
      <c r="S230" s="107" t="s">
        <v>469</v>
      </c>
    </row>
    <row r="231" spans="1:20">
      <c r="A231" t="s">
        <v>0</v>
      </c>
      <c r="B231" t="s">
        <v>523</v>
      </c>
      <c r="C231">
        <v>2011</v>
      </c>
      <c r="D231" t="s">
        <v>408</v>
      </c>
      <c r="E231" t="s">
        <v>520</v>
      </c>
      <c r="F231" t="s">
        <v>521</v>
      </c>
      <c r="G231">
        <f>0.3*0.3</f>
        <v>0.09</v>
      </c>
      <c r="H231">
        <v>36</v>
      </c>
      <c r="I231" s="102">
        <f t="shared" si="23"/>
        <v>3.2399999999999996E-4</v>
      </c>
      <c r="J231">
        <f>(5/3)/24</f>
        <v>6.9444444444444448E-2</v>
      </c>
      <c r="K231">
        <v>4</v>
      </c>
      <c r="L231">
        <f>5*H231</f>
        <v>180</v>
      </c>
      <c r="M231">
        <f>4*30</f>
        <v>120</v>
      </c>
      <c r="N231" s="3">
        <v>0</v>
      </c>
      <c r="O231" s="3">
        <v>1</v>
      </c>
      <c r="P231" s="3">
        <v>0</v>
      </c>
      <c r="Q231" s="3">
        <v>0</v>
      </c>
      <c r="S231" s="107" t="s">
        <v>412</v>
      </c>
    </row>
    <row r="232" spans="1:20" s="103" customFormat="1">
      <c r="A232" s="108" t="s">
        <v>24</v>
      </c>
      <c r="B232" s="103" t="s">
        <v>524</v>
      </c>
      <c r="C232" s="103">
        <v>2010</v>
      </c>
      <c r="D232" s="103" t="s">
        <v>416</v>
      </c>
      <c r="E232" s="105"/>
      <c r="F232" s="105"/>
      <c r="I232" s="106"/>
      <c r="T232" s="103" t="s">
        <v>525</v>
      </c>
    </row>
    <row r="233" spans="1:20" s="103" customFormat="1">
      <c r="A233" s="103" t="s">
        <v>134</v>
      </c>
      <c r="B233" s="103" t="s">
        <v>526</v>
      </c>
      <c r="C233" s="103">
        <v>2008</v>
      </c>
      <c r="D233" s="103" t="s">
        <v>416</v>
      </c>
      <c r="I233" s="106"/>
      <c r="T233" s="110"/>
    </row>
    <row r="234" spans="1:20" s="103" customFormat="1">
      <c r="A234" s="108" t="s">
        <v>18</v>
      </c>
      <c r="B234" s="103" t="s">
        <v>527</v>
      </c>
      <c r="C234" s="103">
        <v>2005</v>
      </c>
      <c r="D234" s="108" t="s">
        <v>416</v>
      </c>
      <c r="I234" s="106"/>
    </row>
    <row r="235" spans="1:20" s="103" customFormat="1">
      <c r="A235" s="108" t="s">
        <v>18</v>
      </c>
      <c r="B235" s="103" t="s">
        <v>528</v>
      </c>
      <c r="C235" s="103">
        <v>2014</v>
      </c>
      <c r="D235" s="108" t="s">
        <v>416</v>
      </c>
      <c r="I235" s="106"/>
    </row>
    <row r="236" spans="1:20" s="103" customFormat="1">
      <c r="A236" s="108" t="s">
        <v>258</v>
      </c>
      <c r="B236" s="103" t="s">
        <v>529</v>
      </c>
      <c r="C236" s="103">
        <v>2008</v>
      </c>
      <c r="D236" s="108" t="s">
        <v>414</v>
      </c>
      <c r="I236" s="106"/>
      <c r="T236" s="108" t="s">
        <v>530</v>
      </c>
    </row>
    <row r="237" spans="1:20" s="103" customFormat="1">
      <c r="A237" s="108" t="s">
        <v>18</v>
      </c>
      <c r="B237" s="103" t="s">
        <v>531</v>
      </c>
      <c r="C237" s="103">
        <v>2009</v>
      </c>
      <c r="D237" s="108" t="s">
        <v>416</v>
      </c>
      <c r="I237" s="106"/>
      <c r="T237" s="108" t="s">
        <v>532</v>
      </c>
    </row>
    <row r="238" spans="1:20" s="103" customFormat="1">
      <c r="A238" s="108" t="s">
        <v>318</v>
      </c>
      <c r="B238" s="103" t="s">
        <v>533</v>
      </c>
      <c r="C238" s="103">
        <v>2009</v>
      </c>
      <c r="D238" s="108" t="s">
        <v>439</v>
      </c>
      <c r="I238" s="106"/>
    </row>
    <row r="239" spans="1:20" s="103" customFormat="1">
      <c r="A239" s="108" t="s">
        <v>18</v>
      </c>
      <c r="B239" s="103" t="s">
        <v>534</v>
      </c>
      <c r="C239" s="103">
        <v>2013</v>
      </c>
      <c r="D239" s="108" t="s">
        <v>414</v>
      </c>
      <c r="I239" s="106"/>
    </row>
    <row r="240" spans="1:20" s="103" customFormat="1">
      <c r="A240" s="103" t="s">
        <v>6</v>
      </c>
      <c r="B240" s="103" t="s">
        <v>535</v>
      </c>
      <c r="C240" s="103">
        <v>2007</v>
      </c>
      <c r="D240" s="108" t="s">
        <v>416</v>
      </c>
      <c r="I240" s="106"/>
    </row>
    <row r="241" spans="1:20" s="103" customFormat="1">
      <c r="A241" s="113" t="s">
        <v>18</v>
      </c>
      <c r="B241" s="103" t="s">
        <v>536</v>
      </c>
      <c r="C241" s="103">
        <v>2012</v>
      </c>
      <c r="D241" s="108" t="s">
        <v>416</v>
      </c>
      <c r="I241" s="106"/>
    </row>
    <row r="242" spans="1:20" s="103" customFormat="1">
      <c r="A242" s="113" t="s">
        <v>258</v>
      </c>
      <c r="B242" s="103" t="s">
        <v>537</v>
      </c>
      <c r="C242" s="103">
        <v>2012</v>
      </c>
      <c r="D242" s="108" t="s">
        <v>439</v>
      </c>
      <c r="I242" s="106"/>
    </row>
    <row r="243" spans="1:20" s="103" customFormat="1">
      <c r="A243" s="113" t="s">
        <v>149</v>
      </c>
      <c r="B243" s="103" t="s">
        <v>538</v>
      </c>
      <c r="C243" s="103">
        <v>2014</v>
      </c>
      <c r="D243" s="108" t="s">
        <v>450</v>
      </c>
      <c r="I243" s="106"/>
      <c r="T243" s="108" t="s">
        <v>539</v>
      </c>
    </row>
    <row r="244" spans="1:20" s="112" customFormat="1">
      <c r="A244" s="114" t="s">
        <v>313</v>
      </c>
      <c r="B244" s="112" t="s">
        <v>540</v>
      </c>
      <c r="C244" s="112">
        <v>2010</v>
      </c>
      <c r="D244" s="115" t="s">
        <v>408</v>
      </c>
      <c r="E244" s="114" t="s">
        <v>541</v>
      </c>
      <c r="F244" s="116" t="s">
        <v>542</v>
      </c>
      <c r="G244" s="112">
        <f>0.5*0.25</f>
        <v>0.125</v>
      </c>
      <c r="H244" s="112">
        <v>27</v>
      </c>
      <c r="I244" s="102">
        <f t="shared" si="20"/>
        <v>3.3750000000000002E-4</v>
      </c>
      <c r="J244" s="112">
        <f>30/1440</f>
        <v>2.0833333333333332E-2</v>
      </c>
      <c r="K244" s="112">
        <v>0</v>
      </c>
      <c r="L244" s="112">
        <f>J244*H244</f>
        <v>0.5625</v>
      </c>
      <c r="M244" s="112">
        <v>12</v>
      </c>
      <c r="N244" s="112">
        <v>0</v>
      </c>
      <c r="O244" s="112">
        <v>1</v>
      </c>
      <c r="P244" s="112">
        <v>0</v>
      </c>
      <c r="Q244" s="112">
        <v>0</v>
      </c>
      <c r="S244" s="112" t="s">
        <v>490</v>
      </c>
    </row>
    <row r="245" spans="1:20" s="103" customFormat="1">
      <c r="A245" s="108" t="s">
        <v>95</v>
      </c>
      <c r="B245" s="103" t="s">
        <v>543</v>
      </c>
      <c r="C245" s="103">
        <v>2007</v>
      </c>
      <c r="D245" s="108" t="s">
        <v>416</v>
      </c>
      <c r="I245" s="106"/>
    </row>
    <row r="246" spans="1:20" s="103" customFormat="1">
      <c r="A246" s="108" t="s">
        <v>341</v>
      </c>
      <c r="B246" s="103" t="s">
        <v>544</v>
      </c>
      <c r="C246" s="103">
        <v>2006</v>
      </c>
      <c r="D246" s="108" t="s">
        <v>439</v>
      </c>
      <c r="I246" s="106"/>
    </row>
    <row r="247" spans="1:20" s="103" customFormat="1">
      <c r="A247" s="108" t="s">
        <v>93</v>
      </c>
      <c r="B247" s="103" t="s">
        <v>545</v>
      </c>
      <c r="C247" s="103">
        <v>2008</v>
      </c>
      <c r="D247" s="108" t="s">
        <v>450</v>
      </c>
      <c r="I247" s="106"/>
    </row>
    <row r="248" spans="1:20">
      <c r="A248" t="s">
        <v>546</v>
      </c>
      <c r="B248" t="s">
        <v>547</v>
      </c>
      <c r="C248">
        <v>2006</v>
      </c>
      <c r="D248" s="116" t="s">
        <v>424</v>
      </c>
      <c r="E248" s="107" t="s">
        <v>548</v>
      </c>
      <c r="F248" s="107" t="s">
        <v>549</v>
      </c>
      <c r="G248">
        <v>60000</v>
      </c>
      <c r="H248">
        <v>2</v>
      </c>
      <c r="I248" s="102">
        <f t="shared" si="20"/>
        <v>12</v>
      </c>
      <c r="J248">
        <f>(5/24)</f>
        <v>0.20833333333333334</v>
      </c>
      <c r="K248">
        <v>365</v>
      </c>
      <c r="L248">
        <f>J248*10*2*15</f>
        <v>62.500000000000007</v>
      </c>
      <c r="M248">
        <f>10*365</f>
        <v>3650</v>
      </c>
      <c r="N248">
        <v>0</v>
      </c>
      <c r="O248">
        <v>1</v>
      </c>
      <c r="P248">
        <v>0</v>
      </c>
      <c r="Q248">
        <v>0</v>
      </c>
      <c r="R248" s="117" t="s">
        <v>550</v>
      </c>
      <c r="S248" s="107" t="s">
        <v>551</v>
      </c>
    </row>
    <row r="249" spans="1:20">
      <c r="A249" t="s">
        <v>546</v>
      </c>
      <c r="B249" t="s">
        <v>547</v>
      </c>
      <c r="C249">
        <v>2006</v>
      </c>
      <c r="D249" s="116" t="s">
        <v>424</v>
      </c>
      <c r="E249" t="s">
        <v>548</v>
      </c>
      <c r="F249" t="s">
        <v>552</v>
      </c>
      <c r="G249">
        <v>5000</v>
      </c>
      <c r="H249">
        <v>18</v>
      </c>
      <c r="I249" s="102">
        <f t="shared" si="20"/>
        <v>9</v>
      </c>
      <c r="J249">
        <f>11/24</f>
        <v>0.45833333333333331</v>
      </c>
      <c r="K249">
        <v>365</v>
      </c>
      <c r="L249">
        <f>J249*60*13</f>
        <v>357.5</v>
      </c>
      <c r="M249">
        <f>13*365</f>
        <v>4745</v>
      </c>
      <c r="N249">
        <v>0</v>
      </c>
      <c r="O249">
        <v>1</v>
      </c>
      <c r="P249">
        <v>0</v>
      </c>
      <c r="Q249">
        <v>2</v>
      </c>
      <c r="R249" t="s">
        <v>553</v>
      </c>
      <c r="S249" t="s">
        <v>554</v>
      </c>
    </row>
    <row r="250" spans="1:20">
      <c r="A250" t="s">
        <v>546</v>
      </c>
      <c r="B250" t="s">
        <v>547</v>
      </c>
      <c r="C250">
        <v>2006</v>
      </c>
      <c r="D250" s="116" t="s">
        <v>424</v>
      </c>
      <c r="E250" t="s">
        <v>548</v>
      </c>
      <c r="F250" t="s">
        <v>552</v>
      </c>
      <c r="G250">
        <v>5000</v>
      </c>
      <c r="H250">
        <v>18</v>
      </c>
      <c r="I250" s="102">
        <f t="shared" si="20"/>
        <v>9</v>
      </c>
      <c r="J250">
        <f>11/24</f>
        <v>0.45833333333333331</v>
      </c>
      <c r="K250">
        <v>90</v>
      </c>
      <c r="L250">
        <f>J250*40*5*4</f>
        <v>366.66666666666663</v>
      </c>
      <c r="M250">
        <f>5*365</f>
        <v>1825</v>
      </c>
      <c r="N250">
        <v>0</v>
      </c>
      <c r="O250">
        <v>1</v>
      </c>
      <c r="P250">
        <v>0</v>
      </c>
      <c r="Q250">
        <v>0</v>
      </c>
      <c r="S250" t="s">
        <v>555</v>
      </c>
      <c r="T250" t="s">
        <v>556</v>
      </c>
    </row>
    <row r="251" spans="1:20">
      <c r="A251" t="s">
        <v>546</v>
      </c>
      <c r="B251" t="s">
        <v>547</v>
      </c>
      <c r="C251">
        <v>2006</v>
      </c>
      <c r="D251" s="116" t="s">
        <v>424</v>
      </c>
      <c r="E251" t="s">
        <v>548</v>
      </c>
      <c r="F251" t="s">
        <v>552</v>
      </c>
      <c r="G251">
        <f>800*10000</f>
        <v>8000000</v>
      </c>
      <c r="H251">
        <v>200</v>
      </c>
      <c r="I251" s="102">
        <f t="shared" si="20"/>
        <v>160000</v>
      </c>
      <c r="J251">
        <f>(12.9/24)/200</f>
        <v>2.6874999999999998E-3</v>
      </c>
      <c r="K251">
        <v>365</v>
      </c>
      <c r="L251">
        <f>J251*19</f>
        <v>5.1062499999999997E-2</v>
      </c>
      <c r="M251">
        <f>(1996-1977)*365</f>
        <v>6935</v>
      </c>
      <c r="N251">
        <v>0</v>
      </c>
      <c r="O251">
        <v>0</v>
      </c>
      <c r="P251">
        <v>0</v>
      </c>
      <c r="Q251">
        <v>2</v>
      </c>
      <c r="R251" t="s">
        <v>557</v>
      </c>
      <c r="S251" t="s">
        <v>558</v>
      </c>
    </row>
    <row r="252" spans="1:20">
      <c r="A252" t="s">
        <v>546</v>
      </c>
      <c r="B252" t="s">
        <v>547</v>
      </c>
      <c r="C252">
        <v>2006</v>
      </c>
      <c r="D252" s="116" t="s">
        <v>424</v>
      </c>
      <c r="E252" t="s">
        <v>548</v>
      </c>
      <c r="F252" t="s">
        <v>559</v>
      </c>
      <c r="G252">
        <f>(100*PI()^2)</f>
        <v>986.96044010893581</v>
      </c>
      <c r="H252">
        <f>4*21</f>
        <v>84</v>
      </c>
      <c r="I252" s="102">
        <f t="shared" si="20"/>
        <v>8.2904676969150604</v>
      </c>
      <c r="J252">
        <f>8/24</f>
        <v>0.33333333333333331</v>
      </c>
      <c r="K252">
        <v>14</v>
      </c>
      <c r="L252">
        <f>J252*H252*52*(1995-1967)</f>
        <v>40768</v>
      </c>
      <c r="M252">
        <f>(1995-1967)*365</f>
        <v>10220</v>
      </c>
      <c r="N252">
        <v>0</v>
      </c>
      <c r="O252">
        <v>1</v>
      </c>
      <c r="P252">
        <v>0</v>
      </c>
      <c r="Q252">
        <v>0</v>
      </c>
      <c r="R252" t="s">
        <v>560</v>
      </c>
      <c r="S252" t="s">
        <v>561</v>
      </c>
      <c r="T252" t="s">
        <v>562</v>
      </c>
    </row>
    <row r="253" spans="1:20">
      <c r="A253" t="s">
        <v>546</v>
      </c>
      <c r="B253" t="s">
        <v>547</v>
      </c>
      <c r="C253">
        <v>2006</v>
      </c>
      <c r="D253" s="116" t="s">
        <v>424</v>
      </c>
      <c r="E253" t="s">
        <v>548</v>
      </c>
      <c r="F253" t="s">
        <v>559</v>
      </c>
      <c r="G253">
        <v>2</v>
      </c>
      <c r="H253">
        <v>300</v>
      </c>
      <c r="I253" s="102">
        <f t="shared" si="20"/>
        <v>0.06</v>
      </c>
      <c r="J253">
        <f>3/24</f>
        <v>0.125</v>
      </c>
      <c r="K253">
        <v>0</v>
      </c>
      <c r="L253">
        <f>J253*H253</f>
        <v>37.5</v>
      </c>
      <c r="M253">
        <f>2*365</f>
        <v>730</v>
      </c>
      <c r="N253">
        <v>0</v>
      </c>
      <c r="O253">
        <v>1</v>
      </c>
      <c r="P253">
        <v>0</v>
      </c>
      <c r="Q253">
        <v>0</v>
      </c>
      <c r="R253" t="s">
        <v>560</v>
      </c>
      <c r="S253" t="s">
        <v>563</v>
      </c>
      <c r="T253" t="s">
        <v>562</v>
      </c>
    </row>
    <row r="254" spans="1:20">
      <c r="A254" t="s">
        <v>546</v>
      </c>
      <c r="B254" t="s">
        <v>547</v>
      </c>
      <c r="C254">
        <v>2006</v>
      </c>
      <c r="D254" s="116" t="s">
        <v>424</v>
      </c>
      <c r="E254" t="s">
        <v>548</v>
      </c>
      <c r="F254" t="s">
        <v>559</v>
      </c>
      <c r="G254">
        <f>(100*PI()^2)</f>
        <v>986.96044010893581</v>
      </c>
      <c r="H254">
        <v>84</v>
      </c>
      <c r="I254" s="102">
        <f t="shared" ref="I254:I256" si="24">(G254*H254)/10000</f>
        <v>8.2904676969150604</v>
      </c>
      <c r="J254">
        <f>1/24</f>
        <v>4.1666666666666664E-2</v>
      </c>
      <c r="K254">
        <v>14</v>
      </c>
      <c r="L254">
        <f>J254*H254*52*(1995-1967)</f>
        <v>5096</v>
      </c>
      <c r="M254">
        <f>(1995-1967)*365</f>
        <v>10220</v>
      </c>
      <c r="N254">
        <v>0</v>
      </c>
      <c r="O254">
        <v>1</v>
      </c>
      <c r="P254">
        <v>0</v>
      </c>
      <c r="Q254">
        <v>0</v>
      </c>
      <c r="R254" t="s">
        <v>560</v>
      </c>
      <c r="S254" t="s">
        <v>561</v>
      </c>
      <c r="T254" t="s">
        <v>562</v>
      </c>
    </row>
    <row r="255" spans="1:20">
      <c r="A255" t="s">
        <v>546</v>
      </c>
      <c r="B255" t="s">
        <v>547</v>
      </c>
      <c r="C255">
        <v>2006</v>
      </c>
      <c r="D255" s="116" t="s">
        <v>424</v>
      </c>
      <c r="E255" t="s">
        <v>548</v>
      </c>
      <c r="F255" t="s">
        <v>564</v>
      </c>
      <c r="G255">
        <f>PI()*0.25^2</f>
        <v>0.19634954084936207</v>
      </c>
      <c r="H255">
        <v>1</v>
      </c>
      <c r="I255" s="118">
        <f t="shared" si="24"/>
        <v>1.9634954084936207E-5</v>
      </c>
      <c r="J255">
        <f>5/1440</f>
        <v>3.472222222222222E-3</v>
      </c>
      <c r="K255">
        <v>1</v>
      </c>
      <c r="L255">
        <f>J255*M255</f>
        <v>35.486111111111107</v>
      </c>
      <c r="M255">
        <f>(1995-1967)*365</f>
        <v>10220</v>
      </c>
      <c r="N255">
        <v>0</v>
      </c>
      <c r="O255">
        <v>0</v>
      </c>
      <c r="P255">
        <v>0</v>
      </c>
      <c r="Q255">
        <v>0</v>
      </c>
    </row>
    <row r="256" spans="1:20">
      <c r="A256" t="s">
        <v>546</v>
      </c>
      <c r="B256" t="s">
        <v>547</v>
      </c>
      <c r="C256">
        <v>2006</v>
      </c>
      <c r="D256" s="116" t="s">
        <v>424</v>
      </c>
      <c r="E256" t="s">
        <v>548</v>
      </c>
      <c r="F256" t="s">
        <v>565</v>
      </c>
      <c r="G256">
        <f>PI()*0.25^2</f>
        <v>0.19634954084936207</v>
      </c>
      <c r="H256">
        <v>1</v>
      </c>
      <c r="I256" s="118">
        <f t="shared" si="24"/>
        <v>1.9634954084936207E-5</v>
      </c>
      <c r="J256">
        <f>5/1440</f>
        <v>3.472222222222222E-3</v>
      </c>
      <c r="K256">
        <v>1</v>
      </c>
      <c r="L256">
        <f>J256*M256</f>
        <v>22.8125</v>
      </c>
      <c r="M256">
        <f>(1996-1978)*365</f>
        <v>6570</v>
      </c>
      <c r="N256">
        <v>0</v>
      </c>
      <c r="O256">
        <v>0</v>
      </c>
      <c r="P256">
        <v>0</v>
      </c>
      <c r="Q256">
        <v>0</v>
      </c>
    </row>
    <row r="257" spans="1:21" s="103" customFormat="1">
      <c r="A257" s="108" t="s">
        <v>93</v>
      </c>
      <c r="B257" s="103" t="s">
        <v>566</v>
      </c>
      <c r="C257" s="103">
        <v>2009</v>
      </c>
      <c r="D257" s="108" t="s">
        <v>439</v>
      </c>
      <c r="I257" s="106">
        <f>(G257*H257)/10000</f>
        <v>0</v>
      </c>
    </row>
    <row r="258" spans="1:21">
      <c r="A258" t="s">
        <v>258</v>
      </c>
      <c r="B258" t="s">
        <v>567</v>
      </c>
      <c r="C258">
        <v>2012</v>
      </c>
      <c r="D258" s="116" t="s">
        <v>568</v>
      </c>
      <c r="E258" t="s">
        <v>569</v>
      </c>
      <c r="F258" t="s">
        <v>570</v>
      </c>
      <c r="G258">
        <f>PI()*0.025^2</f>
        <v>1.9634954084936209E-3</v>
      </c>
      <c r="H258">
        <f>(51+87)/2*6</f>
        <v>414</v>
      </c>
      <c r="I258" s="102">
        <f>(G258*H258)/10000</f>
        <v>8.1288709911635904E-5</v>
      </c>
      <c r="J258">
        <f>30/1440</f>
        <v>2.0833333333333332E-2</v>
      </c>
      <c r="K258">
        <f>14*365</f>
        <v>5110</v>
      </c>
      <c r="L258">
        <f>J258*H258</f>
        <v>8.625</v>
      </c>
      <c r="M258">
        <f>2000*365</f>
        <v>730000</v>
      </c>
      <c r="N258">
        <v>0</v>
      </c>
      <c r="O258">
        <v>0</v>
      </c>
      <c r="P258">
        <v>0</v>
      </c>
      <c r="Q258">
        <v>0</v>
      </c>
      <c r="S258" t="s">
        <v>571</v>
      </c>
    </row>
    <row r="259" spans="1:21">
      <c r="A259" t="s">
        <v>258</v>
      </c>
      <c r="B259" t="s">
        <v>567</v>
      </c>
      <c r="C259">
        <v>2012</v>
      </c>
      <c r="D259" s="116" t="s">
        <v>568</v>
      </c>
      <c r="E259" t="s">
        <v>569</v>
      </c>
      <c r="F259" t="s">
        <v>570</v>
      </c>
      <c r="G259">
        <v>475000</v>
      </c>
      <c r="H259">
        <v>6</v>
      </c>
      <c r="I259" s="102">
        <f t="shared" ref="I259:I260" si="25">(G259*H259)/10000</f>
        <v>285</v>
      </c>
      <c r="J259">
        <f>6/24</f>
        <v>0.25</v>
      </c>
      <c r="K259">
        <v>0</v>
      </c>
      <c r="L259">
        <f>J259*6</f>
        <v>1.5</v>
      </c>
      <c r="M259">
        <v>1</v>
      </c>
      <c r="N259">
        <v>0</v>
      </c>
      <c r="O259">
        <v>0</v>
      </c>
      <c r="P259">
        <v>0</v>
      </c>
      <c r="Q259">
        <v>0</v>
      </c>
      <c r="S259" t="s">
        <v>572</v>
      </c>
    </row>
    <row r="260" spans="1:21">
      <c r="A260" t="s">
        <v>258</v>
      </c>
      <c r="B260" t="s">
        <v>567</v>
      </c>
      <c r="C260">
        <v>2012</v>
      </c>
      <c r="D260" s="116" t="s">
        <v>568</v>
      </c>
      <c r="E260" t="s">
        <v>569</v>
      </c>
      <c r="F260" t="s">
        <v>570</v>
      </c>
      <c r="G260">
        <v>1</v>
      </c>
      <c r="H260">
        <v>4</v>
      </c>
      <c r="I260" s="102">
        <f t="shared" si="25"/>
        <v>4.0000000000000002E-4</v>
      </c>
      <c r="J260">
        <f>15/1440</f>
        <v>1.0416666666666666E-2</v>
      </c>
      <c r="K260">
        <v>1</v>
      </c>
      <c r="L260">
        <f>M260*J260</f>
        <v>399.21875</v>
      </c>
      <c r="M260">
        <f>105*365</f>
        <v>38325</v>
      </c>
      <c r="N260">
        <v>0</v>
      </c>
      <c r="O260">
        <v>0</v>
      </c>
      <c r="P260">
        <v>0</v>
      </c>
      <c r="Q260">
        <v>0</v>
      </c>
      <c r="S260" t="s">
        <v>551</v>
      </c>
    </row>
    <row r="261" spans="1:21" s="119" customFormat="1" ht="15.75" customHeight="1">
      <c r="A261" s="120" t="s">
        <v>149</v>
      </c>
      <c r="B261" s="121" t="s">
        <v>573</v>
      </c>
      <c r="C261" s="120">
        <v>2008</v>
      </c>
      <c r="D261" s="121"/>
      <c r="L261" s="122"/>
      <c r="T261" s="119" t="s">
        <v>574</v>
      </c>
      <c r="U261" s="119" t="s">
        <v>575</v>
      </c>
    </row>
    <row r="262" spans="1:21" s="119" customFormat="1" ht="15.75" customHeight="1">
      <c r="A262" s="120" t="s">
        <v>93</v>
      </c>
      <c r="B262" s="121" t="s">
        <v>576</v>
      </c>
      <c r="C262" s="120">
        <v>2009</v>
      </c>
      <c r="F262" s="121"/>
      <c r="T262" s="119" t="s">
        <v>574</v>
      </c>
      <c r="U262" s="119" t="s">
        <v>577</v>
      </c>
    </row>
    <row r="263" spans="1:21" s="119" customFormat="1" ht="15.75" customHeight="1">
      <c r="A263" s="120" t="s">
        <v>95</v>
      </c>
      <c r="B263" s="121" t="s">
        <v>578</v>
      </c>
      <c r="C263" s="120">
        <v>2007</v>
      </c>
      <c r="D263" s="121"/>
      <c r="T263" s="119" t="s">
        <v>574</v>
      </c>
      <c r="U263" s="119" t="s">
        <v>579</v>
      </c>
    </row>
    <row r="264" spans="1:21" s="119" customFormat="1" ht="15.75" customHeight="1">
      <c r="A264" s="120" t="s">
        <v>95</v>
      </c>
      <c r="B264" s="121" t="s">
        <v>580</v>
      </c>
      <c r="C264" s="120">
        <v>2011</v>
      </c>
      <c r="D264" s="121"/>
      <c r="T264" s="119" t="s">
        <v>574</v>
      </c>
      <c r="U264" s="119" t="s">
        <v>581</v>
      </c>
    </row>
    <row r="265" spans="1:21" s="119" customFormat="1" ht="15.75" customHeight="1">
      <c r="A265" s="120" t="s">
        <v>127</v>
      </c>
      <c r="B265" s="121" t="s">
        <v>582</v>
      </c>
      <c r="C265" s="120">
        <v>2008</v>
      </c>
      <c r="D265" s="121"/>
      <c r="T265" s="119" t="s">
        <v>574</v>
      </c>
      <c r="U265" s="119" t="s">
        <v>579</v>
      </c>
    </row>
    <row r="266" spans="1:21" ht="15.75" customHeight="1">
      <c r="A266" s="123" t="s">
        <v>95</v>
      </c>
      <c r="B266" s="114" t="s">
        <v>583</v>
      </c>
      <c r="C266" s="123">
        <v>2005</v>
      </c>
      <c r="D266" s="124" t="s">
        <v>26</v>
      </c>
      <c r="E266" t="s">
        <v>584</v>
      </c>
      <c r="F266" t="s">
        <v>585</v>
      </c>
      <c r="G266">
        <v>4</v>
      </c>
      <c r="H266">
        <f>16+4+(28+29-27)</f>
        <v>50</v>
      </c>
      <c r="I266">
        <f>H266*G266/10000</f>
        <v>0.02</v>
      </c>
      <c r="J266">
        <v>1</v>
      </c>
      <c r="K266">
        <v>0</v>
      </c>
      <c r="L266">
        <v>50</v>
      </c>
      <c r="M266">
        <f>365+365-60</f>
        <v>670</v>
      </c>
      <c r="N266">
        <v>3</v>
      </c>
      <c r="O266">
        <v>2</v>
      </c>
      <c r="P266">
        <v>2</v>
      </c>
      <c r="Q266">
        <v>1</v>
      </c>
      <c r="S266" t="s">
        <v>586</v>
      </c>
      <c r="T266" s="112" t="s">
        <v>587</v>
      </c>
    </row>
    <row r="267" spans="1:21" ht="15.75" customHeight="1">
      <c r="A267" s="123" t="s">
        <v>95</v>
      </c>
      <c r="B267" s="114" t="s">
        <v>583</v>
      </c>
      <c r="C267" s="123">
        <v>2005</v>
      </c>
      <c r="D267" s="124" t="s">
        <v>26</v>
      </c>
      <c r="E267" t="s">
        <v>584</v>
      </c>
      <c r="F267" t="s">
        <v>585</v>
      </c>
      <c r="G267">
        <f>0.5*0.1</f>
        <v>0.05</v>
      </c>
      <c r="H267">
        <v>6</v>
      </c>
      <c r="I267" s="125">
        <f>H267*G267/10000</f>
        <v>3.0000000000000004E-5</v>
      </c>
      <c r="J267">
        <v>1</v>
      </c>
      <c r="K267">
        <v>0</v>
      </c>
      <c r="L267">
        <v>6</v>
      </c>
      <c r="M267">
        <v>670</v>
      </c>
      <c r="N267">
        <v>3</v>
      </c>
      <c r="O267">
        <v>0</v>
      </c>
      <c r="P267">
        <v>2</v>
      </c>
      <c r="Q267">
        <v>1</v>
      </c>
      <c r="S267" t="s">
        <v>588</v>
      </c>
      <c r="T267" s="112" t="s">
        <v>589</v>
      </c>
    </row>
    <row r="268" spans="1:21" s="119" customFormat="1" ht="15.75" customHeight="1">
      <c r="A268" s="120" t="s">
        <v>269</v>
      </c>
      <c r="B268" s="121" t="s">
        <v>590</v>
      </c>
      <c r="C268" s="120">
        <v>2005</v>
      </c>
      <c r="D268" s="121"/>
      <c r="T268" s="119" t="s">
        <v>574</v>
      </c>
      <c r="U268" s="119" t="s">
        <v>591</v>
      </c>
    </row>
    <row r="269" spans="1:21" s="119" customFormat="1" ht="15.75" customHeight="1">
      <c r="A269" s="120" t="s">
        <v>119</v>
      </c>
      <c r="B269" s="121" t="s">
        <v>592</v>
      </c>
      <c r="C269" s="120">
        <v>2005</v>
      </c>
      <c r="D269" s="121"/>
      <c r="T269" s="119" t="s">
        <v>574</v>
      </c>
      <c r="U269" s="119" t="s">
        <v>581</v>
      </c>
    </row>
    <row r="270" spans="1:21" s="112" customFormat="1" ht="15.75" customHeight="1">
      <c r="A270" s="126" t="s">
        <v>234</v>
      </c>
      <c r="B270" s="114" t="s">
        <v>593</v>
      </c>
      <c r="C270" s="126">
        <v>2008</v>
      </c>
      <c r="D270" s="114" t="s">
        <v>26</v>
      </c>
      <c r="E270" s="112" t="s">
        <v>594</v>
      </c>
      <c r="F270" s="112" t="s">
        <v>595</v>
      </c>
      <c r="G270" s="112">
        <f>(AVERAGE(827/10,632/6,1114/22,867/15)*10000)</f>
        <v>741174.24242424231</v>
      </c>
      <c r="H270" s="112">
        <f>10+6+22+15</f>
        <v>53</v>
      </c>
      <c r="I270" s="112">
        <f>827+632+1114+867</f>
        <v>3440</v>
      </c>
      <c r="J270" s="112">
        <v>1</v>
      </c>
      <c r="K270" s="112">
        <f>AVERAGE(15,30,30)</f>
        <v>25</v>
      </c>
      <c r="L270" s="112">
        <f>J270*H270*2.5</f>
        <v>132.5</v>
      </c>
      <c r="M270" s="112">
        <f>(5*365)+30</f>
        <v>1855</v>
      </c>
      <c r="N270" s="112">
        <v>3</v>
      </c>
      <c r="O270" s="112">
        <v>1</v>
      </c>
      <c r="P270" s="112">
        <v>0</v>
      </c>
      <c r="Q270" s="112">
        <v>0</v>
      </c>
      <c r="S270" s="112" t="s">
        <v>596</v>
      </c>
    </row>
    <row r="271" spans="1:21" s="119" customFormat="1" ht="15.75" customHeight="1">
      <c r="A271" s="120" t="s">
        <v>93</v>
      </c>
      <c r="B271" s="121" t="s">
        <v>597</v>
      </c>
      <c r="C271" s="120">
        <v>2009</v>
      </c>
      <c r="D271" s="121"/>
      <c r="T271" s="119" t="s">
        <v>574</v>
      </c>
      <c r="U271" s="119" t="s">
        <v>575</v>
      </c>
    </row>
    <row r="272" spans="1:21" ht="15.75" customHeight="1">
      <c r="A272" s="123" t="s">
        <v>24</v>
      </c>
      <c r="B272" s="114" t="s">
        <v>598</v>
      </c>
      <c r="C272" s="123">
        <v>2012</v>
      </c>
      <c r="D272" s="124" t="s">
        <v>26</v>
      </c>
      <c r="E272" t="s">
        <v>599</v>
      </c>
      <c r="F272" t="s">
        <v>600</v>
      </c>
      <c r="G272">
        <v>100</v>
      </c>
      <c r="H272">
        <v>89</v>
      </c>
      <c r="I272">
        <f>H272*G272/10000</f>
        <v>0.89</v>
      </c>
      <c r="J272">
        <f>7594/89</f>
        <v>85.325842696629209</v>
      </c>
      <c r="K272">
        <v>0</v>
      </c>
      <c r="L272">
        <v>7594</v>
      </c>
      <c r="M272">
        <f>6*30</f>
        <v>180</v>
      </c>
      <c r="N272">
        <v>3</v>
      </c>
      <c r="O272">
        <v>0</v>
      </c>
      <c r="P272">
        <v>2</v>
      </c>
      <c r="Q272">
        <v>1</v>
      </c>
      <c r="S272" t="s">
        <v>601</v>
      </c>
    </row>
    <row r="273" spans="1:21" s="119" customFormat="1" ht="15.75" customHeight="1">
      <c r="A273" s="120" t="s">
        <v>134</v>
      </c>
      <c r="B273" s="121" t="s">
        <v>602</v>
      </c>
      <c r="C273" s="120">
        <v>2008</v>
      </c>
      <c r="D273" s="121"/>
      <c r="T273" s="119" t="s">
        <v>574</v>
      </c>
      <c r="U273" s="119" t="s">
        <v>581</v>
      </c>
    </row>
    <row r="274" spans="1:21" s="119" customFormat="1" ht="15.75" customHeight="1">
      <c r="A274" s="120" t="s">
        <v>149</v>
      </c>
      <c r="B274" s="121" t="s">
        <v>603</v>
      </c>
      <c r="C274" s="120">
        <v>2007</v>
      </c>
      <c r="D274" s="121"/>
      <c r="T274" s="119" t="s">
        <v>574</v>
      </c>
      <c r="U274" s="119" t="s">
        <v>604</v>
      </c>
    </row>
    <row r="275" spans="1:21" s="119" customFormat="1" ht="15.75" customHeight="1">
      <c r="A275" s="120" t="s">
        <v>258</v>
      </c>
      <c r="B275" s="121" t="s">
        <v>605</v>
      </c>
      <c r="C275" s="120">
        <v>2011</v>
      </c>
      <c r="D275" s="121"/>
      <c r="T275" s="119" t="s">
        <v>574</v>
      </c>
      <c r="U275" s="119" t="s">
        <v>581</v>
      </c>
    </row>
    <row r="276" spans="1:21" s="119" customFormat="1" ht="15.75" customHeight="1">
      <c r="A276" s="120" t="s">
        <v>149</v>
      </c>
      <c r="B276" s="121" t="s">
        <v>606</v>
      </c>
      <c r="C276" s="120">
        <v>2014</v>
      </c>
      <c r="D276" s="121"/>
      <c r="T276" s="119" t="s">
        <v>574</v>
      </c>
      <c r="U276" s="119" t="s">
        <v>575</v>
      </c>
    </row>
    <row r="277" spans="1:21" s="119" customFormat="1" ht="15.75" customHeight="1">
      <c r="A277" s="120" t="s">
        <v>18</v>
      </c>
      <c r="B277" s="121" t="s">
        <v>607</v>
      </c>
      <c r="C277" s="120">
        <v>2005</v>
      </c>
      <c r="D277" s="121"/>
      <c r="T277" s="119" t="s">
        <v>574</v>
      </c>
      <c r="U277" s="119" t="s">
        <v>608</v>
      </c>
    </row>
    <row r="278" spans="1:21" s="119" customFormat="1" ht="15.75" customHeight="1">
      <c r="A278" s="120" t="s">
        <v>50</v>
      </c>
      <c r="B278" s="121" t="s">
        <v>609</v>
      </c>
      <c r="C278" s="120">
        <v>2005</v>
      </c>
      <c r="D278" s="121"/>
      <c r="T278" s="119" t="s">
        <v>574</v>
      </c>
      <c r="U278" s="119" t="s">
        <v>608</v>
      </c>
    </row>
    <row r="279" spans="1:21" s="119" customFormat="1" ht="15.75" customHeight="1">
      <c r="A279" s="120" t="s">
        <v>18</v>
      </c>
      <c r="B279" s="121" t="s">
        <v>610</v>
      </c>
      <c r="C279" s="120">
        <v>2007</v>
      </c>
      <c r="D279" s="121"/>
      <c r="T279" s="119" t="s">
        <v>574</v>
      </c>
      <c r="U279" s="119" t="s">
        <v>579</v>
      </c>
    </row>
    <row r="280" spans="1:21" s="119" customFormat="1" ht="15.75" customHeight="1">
      <c r="A280" s="120" t="s">
        <v>0</v>
      </c>
      <c r="B280" s="121" t="s">
        <v>611</v>
      </c>
      <c r="C280" s="120">
        <v>2008</v>
      </c>
      <c r="D280" s="121"/>
      <c r="T280" s="119" t="s">
        <v>574</v>
      </c>
      <c r="U280" s="119" t="s">
        <v>581</v>
      </c>
    </row>
    <row r="281" spans="1:21" s="119" customFormat="1" ht="15.75" customHeight="1">
      <c r="A281" s="120" t="s">
        <v>24</v>
      </c>
      <c r="B281" s="121" t="s">
        <v>612</v>
      </c>
      <c r="C281" s="120">
        <v>2007</v>
      </c>
      <c r="D281" s="121"/>
      <c r="T281" s="119" t="s">
        <v>574</v>
      </c>
      <c r="U281" s="119" t="s">
        <v>613</v>
      </c>
    </row>
    <row r="282" spans="1:21" s="119" customFormat="1" ht="15.75" customHeight="1">
      <c r="A282" s="120" t="s">
        <v>258</v>
      </c>
      <c r="B282" s="121" t="s">
        <v>614</v>
      </c>
      <c r="C282" s="120">
        <v>2011</v>
      </c>
      <c r="D282" s="121"/>
      <c r="T282" s="119" t="s">
        <v>574</v>
      </c>
      <c r="U282" s="119" t="s">
        <v>615</v>
      </c>
    </row>
    <row r="283" spans="1:21" ht="15.75" customHeight="1">
      <c r="A283" s="123" t="s">
        <v>95</v>
      </c>
      <c r="B283" s="17" t="s">
        <v>616</v>
      </c>
      <c r="C283" s="3">
        <v>2012</v>
      </c>
      <c r="D283" s="17" t="s">
        <v>26</v>
      </c>
      <c r="E283" s="17" t="s">
        <v>617</v>
      </c>
      <c r="F283" s="17" t="s">
        <v>618</v>
      </c>
      <c r="G283" s="3">
        <f>20*PI()*(0.0127^2)</f>
        <v>1.0134149581949954E-2</v>
      </c>
      <c r="H283" s="3">
        <f>5*8</f>
        <v>40</v>
      </c>
      <c r="I283" s="3">
        <f>(H283*G283)/10000</f>
        <v>4.0536598327799815E-5</v>
      </c>
      <c r="J283" s="3">
        <f>5/60/24*40</f>
        <v>0.1388888888888889</v>
      </c>
      <c r="K283" s="3">
        <v>7</v>
      </c>
      <c r="L283" s="3">
        <f>J283*H283</f>
        <v>5.5555555555555554</v>
      </c>
      <c r="M283" s="3">
        <v>28</v>
      </c>
      <c r="N283" s="3">
        <v>3</v>
      </c>
      <c r="O283" s="3">
        <v>0</v>
      </c>
      <c r="P283" s="3">
        <v>3</v>
      </c>
      <c r="Q283" s="3">
        <v>1</v>
      </c>
      <c r="R283" s="3"/>
      <c r="S283" s="17" t="s">
        <v>588</v>
      </c>
      <c r="T283" s="17" t="s">
        <v>619</v>
      </c>
      <c r="U283" s="3"/>
    </row>
    <row r="284" spans="1:21" ht="15.75" customHeight="1">
      <c r="A284" s="123" t="s">
        <v>111</v>
      </c>
      <c r="B284" s="114" t="s">
        <v>620</v>
      </c>
      <c r="C284" s="123">
        <v>2011</v>
      </c>
      <c r="D284" s="124" t="s">
        <v>621</v>
      </c>
      <c r="E284" t="s">
        <v>622</v>
      </c>
      <c r="F284" t="s">
        <v>623</v>
      </c>
      <c r="G284">
        <f>PI()*(100^2)*25</f>
        <v>785398.16339744825</v>
      </c>
      <c r="H284">
        <v>993</v>
      </c>
      <c r="I284">
        <f>H284*G284/10000</f>
        <v>77990.037625366618</v>
      </c>
      <c r="J284" s="3">
        <f>5/60/24</f>
        <v>3.472222222222222E-3</v>
      </c>
      <c r="K284">
        <f>12/60/24</f>
        <v>8.3333333333333332E-3</v>
      </c>
      <c r="L284">
        <f>J284*25*993</f>
        <v>86.197916666666657</v>
      </c>
      <c r="M284" s="3">
        <v>47</v>
      </c>
      <c r="N284">
        <v>3</v>
      </c>
      <c r="O284">
        <v>1</v>
      </c>
      <c r="P284">
        <v>0</v>
      </c>
      <c r="Q284">
        <v>1</v>
      </c>
      <c r="R284" s="127" t="s">
        <v>624</v>
      </c>
      <c r="S284" t="s">
        <v>625</v>
      </c>
      <c r="T284" s="128" t="s">
        <v>626</v>
      </c>
    </row>
    <row r="285" spans="1:21" ht="15.75" customHeight="1">
      <c r="A285" s="123" t="s">
        <v>111</v>
      </c>
      <c r="B285" s="114" t="s">
        <v>620</v>
      </c>
      <c r="C285" s="123">
        <v>2011</v>
      </c>
      <c r="D285" s="124" t="s">
        <v>290</v>
      </c>
      <c r="E285" t="s">
        <v>622</v>
      </c>
      <c r="F285" t="s">
        <v>623</v>
      </c>
      <c r="G285">
        <v>900</v>
      </c>
      <c r="H285">
        <f>(100000000/G285*993)</f>
        <v>110333333.33333333</v>
      </c>
      <c r="I285">
        <f>H285*G285/10000</f>
        <v>9930000</v>
      </c>
      <c r="J285" s="3">
        <f>1/60/60/24</f>
        <v>1.1574074074074073E-5</v>
      </c>
      <c r="K285">
        <v>365</v>
      </c>
      <c r="L285" s="3">
        <f>K285*J285*5</f>
        <v>2.1122685185185185E-2</v>
      </c>
      <c r="M285" s="3">
        <f>365*5</f>
        <v>1825</v>
      </c>
      <c r="N285">
        <v>1</v>
      </c>
      <c r="O285">
        <v>2</v>
      </c>
      <c r="P285">
        <v>0</v>
      </c>
      <c r="Q285">
        <v>0</v>
      </c>
      <c r="S285" t="s">
        <v>627</v>
      </c>
      <c r="T285" s="112" t="s">
        <v>628</v>
      </c>
    </row>
    <row r="286" spans="1:21" ht="15.75" customHeight="1">
      <c r="A286" s="123" t="s">
        <v>111</v>
      </c>
      <c r="B286" s="114" t="s">
        <v>620</v>
      </c>
      <c r="C286" s="123">
        <v>2011</v>
      </c>
      <c r="D286" s="124" t="s">
        <v>290</v>
      </c>
      <c r="E286" t="s">
        <v>622</v>
      </c>
      <c r="F286" t="s">
        <v>623</v>
      </c>
      <c r="G286">
        <f>100*100</f>
        <v>10000</v>
      </c>
      <c r="H286">
        <f>(100000000/G286*993)</f>
        <v>9930000</v>
      </c>
      <c r="I286">
        <f>H286*G286/10000</f>
        <v>9930000</v>
      </c>
      <c r="J286" s="3">
        <f>1/60/60/24</f>
        <v>1.1574074074074073E-5</v>
      </c>
      <c r="K286">
        <v>0</v>
      </c>
      <c r="L286" s="3">
        <v>1</v>
      </c>
      <c r="M286" s="3">
        <v>1</v>
      </c>
      <c r="N286" s="17">
        <v>0</v>
      </c>
      <c r="O286" s="17">
        <v>0</v>
      </c>
      <c r="P286" s="17">
        <v>1</v>
      </c>
      <c r="Q286" s="17">
        <v>0</v>
      </c>
      <c r="S286" t="s">
        <v>627</v>
      </c>
      <c r="T286" s="112" t="s">
        <v>629</v>
      </c>
    </row>
    <row r="287" spans="1:21" ht="15.75" customHeight="1">
      <c r="A287" s="123" t="s">
        <v>111</v>
      </c>
      <c r="B287" s="114" t="s">
        <v>620</v>
      </c>
      <c r="C287" s="123">
        <v>2011</v>
      </c>
      <c r="D287" s="124" t="s">
        <v>290</v>
      </c>
      <c r="E287" t="s">
        <v>622</v>
      </c>
      <c r="F287" t="s">
        <v>623</v>
      </c>
      <c r="G287">
        <v>900</v>
      </c>
      <c r="H287">
        <f>(100000000/G287*993)</f>
        <v>110333333.33333333</v>
      </c>
      <c r="I287">
        <f>H287*G287/10000</f>
        <v>9930000</v>
      </c>
      <c r="J287" s="3">
        <f>1/60/60/24</f>
        <v>1.1574074074074073E-5</v>
      </c>
      <c r="K287">
        <v>0</v>
      </c>
      <c r="L287" s="3">
        <v>1</v>
      </c>
      <c r="M287" s="3">
        <v>1</v>
      </c>
      <c r="N287">
        <v>0</v>
      </c>
      <c r="O287">
        <v>0</v>
      </c>
      <c r="P287">
        <v>2</v>
      </c>
      <c r="Q287">
        <v>0</v>
      </c>
      <c r="S287" t="s">
        <v>627</v>
      </c>
      <c r="T287" s="112" t="s">
        <v>630</v>
      </c>
    </row>
    <row r="288" spans="1:21" s="119" customFormat="1" ht="15.75" customHeight="1">
      <c r="A288" s="120" t="s">
        <v>50</v>
      </c>
      <c r="B288" s="121" t="s">
        <v>631</v>
      </c>
      <c r="C288" s="120">
        <v>2009</v>
      </c>
      <c r="D288" s="121"/>
      <c r="T288" s="119" t="s">
        <v>574</v>
      </c>
      <c r="U288" s="119" t="s">
        <v>608</v>
      </c>
    </row>
    <row r="289" spans="1:21" s="119" customFormat="1" ht="15.75" customHeight="1">
      <c r="A289" s="120" t="s">
        <v>234</v>
      </c>
      <c r="B289" s="121" t="s">
        <v>632</v>
      </c>
      <c r="C289" s="120">
        <v>2009</v>
      </c>
      <c r="D289" s="121"/>
      <c r="T289" s="119" t="s">
        <v>574</v>
      </c>
      <c r="U289" s="119" t="s">
        <v>633</v>
      </c>
    </row>
    <row r="290" spans="1:21" s="119" customFormat="1" ht="15.75" customHeight="1">
      <c r="A290" s="120" t="s">
        <v>149</v>
      </c>
      <c r="B290" s="121" t="s">
        <v>634</v>
      </c>
      <c r="C290" s="120">
        <v>2005</v>
      </c>
      <c r="D290" s="121"/>
      <c r="T290" s="119" t="s">
        <v>574</v>
      </c>
      <c r="U290" s="119" t="s">
        <v>635</v>
      </c>
    </row>
    <row r="291" spans="1:21" s="119" customFormat="1" ht="15.75" customHeight="1">
      <c r="A291" s="120" t="s">
        <v>149</v>
      </c>
      <c r="B291" s="121" t="s">
        <v>636</v>
      </c>
      <c r="C291" s="120">
        <v>2009</v>
      </c>
      <c r="D291" s="121"/>
      <c r="T291" s="119" t="s">
        <v>574</v>
      </c>
      <c r="U291" s="119" t="s">
        <v>635</v>
      </c>
    </row>
    <row r="292" spans="1:21" ht="15.75" customHeight="1">
      <c r="A292" s="123" t="s">
        <v>111</v>
      </c>
      <c r="B292" s="114" t="s">
        <v>637</v>
      </c>
      <c r="C292" s="123">
        <v>2005</v>
      </c>
      <c r="D292" s="124" t="s">
        <v>26</v>
      </c>
      <c r="E292" t="s">
        <v>638</v>
      </c>
      <c r="F292" t="s">
        <v>639</v>
      </c>
      <c r="G292">
        <f>2000*2000*8</f>
        <v>32000000</v>
      </c>
      <c r="H292">
        <v>2262</v>
      </c>
      <c r="I292">
        <f>H292*G292/10000</f>
        <v>7238400</v>
      </c>
      <c r="J292" s="3">
        <f>2/24</f>
        <v>8.3333333333333329E-2</v>
      </c>
      <c r="K292">
        <v>28</v>
      </c>
      <c r="L292" s="3">
        <f>K292*J292*8</f>
        <v>18.666666666666664</v>
      </c>
      <c r="M292" s="3">
        <f>4*30*4</f>
        <v>480</v>
      </c>
      <c r="N292">
        <v>3</v>
      </c>
      <c r="O292">
        <v>1</v>
      </c>
      <c r="P292">
        <v>0</v>
      </c>
      <c r="Q292">
        <v>1</v>
      </c>
      <c r="R292" t="s">
        <v>640</v>
      </c>
      <c r="S292" t="s">
        <v>641</v>
      </c>
      <c r="T292" s="128" t="s">
        <v>642</v>
      </c>
    </row>
    <row r="293" spans="1:21" ht="15.75" customHeight="1">
      <c r="A293" s="123" t="s">
        <v>111</v>
      </c>
      <c r="B293" s="114" t="s">
        <v>637</v>
      </c>
      <c r="C293" s="123">
        <v>2005</v>
      </c>
      <c r="D293" s="124" t="s">
        <v>643</v>
      </c>
      <c r="E293" t="s">
        <v>638</v>
      </c>
      <c r="F293" t="s">
        <v>639</v>
      </c>
      <c r="G293" s="129">
        <v>6368199.4000000004</v>
      </c>
      <c r="H293">
        <v>38254</v>
      </c>
      <c r="I293">
        <f>H293*G293/10000</f>
        <v>24360909.984760001</v>
      </c>
      <c r="J293" s="3">
        <v>1</v>
      </c>
      <c r="K293">
        <v>0</v>
      </c>
      <c r="L293">
        <v>1</v>
      </c>
      <c r="M293" s="3">
        <v>365</v>
      </c>
      <c r="N293">
        <v>0</v>
      </c>
      <c r="O293">
        <v>1</v>
      </c>
      <c r="P293">
        <v>0</v>
      </c>
      <c r="Q293">
        <v>0</v>
      </c>
      <c r="S293" t="s">
        <v>627</v>
      </c>
      <c r="T293" s="112" t="s">
        <v>644</v>
      </c>
    </row>
    <row r="294" spans="1:21" ht="15.75" customHeight="1">
      <c r="A294" s="123" t="s">
        <v>111</v>
      </c>
      <c r="B294" s="114" t="s">
        <v>637</v>
      </c>
      <c r="C294" s="123">
        <v>2005</v>
      </c>
      <c r="D294" s="124" t="s">
        <v>645</v>
      </c>
      <c r="E294" t="s">
        <v>638</v>
      </c>
      <c r="F294" t="s">
        <v>639</v>
      </c>
      <c r="G294">
        <f>PI()*(0.5^2)</f>
        <v>0.78539816339744828</v>
      </c>
      <c r="H294">
        <v>270</v>
      </c>
      <c r="I294">
        <f>H294*G294/10000</f>
        <v>2.1205750411731103E-2</v>
      </c>
      <c r="J294" s="3">
        <f>1/60/60/24</f>
        <v>1.1574074074074073E-5</v>
      </c>
      <c r="K294">
        <v>30</v>
      </c>
      <c r="L294" s="3">
        <f>30*3*30*J294</f>
        <v>3.125E-2</v>
      </c>
      <c r="M294" s="3">
        <f>40*365</f>
        <v>14600</v>
      </c>
      <c r="N294">
        <v>0</v>
      </c>
      <c r="O294">
        <v>0</v>
      </c>
      <c r="P294">
        <v>1</v>
      </c>
      <c r="Q294">
        <v>0</v>
      </c>
      <c r="R294" t="s">
        <v>646</v>
      </c>
      <c r="S294" t="s">
        <v>627</v>
      </c>
      <c r="T294" s="112" t="s">
        <v>647</v>
      </c>
    </row>
    <row r="295" spans="1:21" s="119" customFormat="1" ht="15.75" customHeight="1">
      <c r="A295" s="120" t="s">
        <v>234</v>
      </c>
      <c r="B295" s="121" t="s">
        <v>648</v>
      </c>
      <c r="C295" s="120">
        <v>2009</v>
      </c>
      <c r="D295" s="121"/>
      <c r="T295" s="119" t="s">
        <v>574</v>
      </c>
      <c r="U295" s="119" t="s">
        <v>649</v>
      </c>
    </row>
    <row r="296" spans="1:21" s="119" customFormat="1" ht="15.75" customHeight="1">
      <c r="A296" s="120" t="s">
        <v>50</v>
      </c>
      <c r="B296" s="121" t="s">
        <v>650</v>
      </c>
      <c r="C296" s="120">
        <v>2007</v>
      </c>
      <c r="D296" s="121"/>
      <c r="T296" s="119" t="s">
        <v>574</v>
      </c>
      <c r="U296" s="119" t="s">
        <v>613</v>
      </c>
    </row>
    <row r="297" spans="1:21" s="121" customFormat="1" ht="15.75" customHeight="1">
      <c r="A297" s="120" t="s">
        <v>24</v>
      </c>
      <c r="B297" s="121" t="s">
        <v>651</v>
      </c>
      <c r="C297" s="120">
        <v>2013</v>
      </c>
      <c r="T297" s="121" t="s">
        <v>574</v>
      </c>
      <c r="U297" s="121" t="s">
        <v>579</v>
      </c>
    </row>
    <row r="298" spans="1:21" s="121" customFormat="1" ht="15.75" customHeight="1">
      <c r="A298" s="120" t="s">
        <v>127</v>
      </c>
      <c r="B298" s="121" t="s">
        <v>652</v>
      </c>
      <c r="C298" s="120">
        <v>2006</v>
      </c>
      <c r="T298" s="121" t="s">
        <v>653</v>
      </c>
      <c r="U298" s="121" t="s">
        <v>615</v>
      </c>
    </row>
    <row r="299" spans="1:21" s="121" customFormat="1" ht="15.75" customHeight="1">
      <c r="A299" s="120" t="s">
        <v>127</v>
      </c>
      <c r="B299" s="121" t="s">
        <v>654</v>
      </c>
      <c r="C299" s="120">
        <v>2007</v>
      </c>
      <c r="T299" s="121" t="s">
        <v>574</v>
      </c>
      <c r="U299" s="121" t="s">
        <v>579</v>
      </c>
    </row>
    <row r="300" spans="1:21" s="121" customFormat="1" ht="15.75" customHeight="1">
      <c r="A300" s="120" t="s">
        <v>18</v>
      </c>
      <c r="B300" s="121" t="s">
        <v>655</v>
      </c>
      <c r="C300" s="120">
        <v>2011</v>
      </c>
      <c r="T300" s="121" t="s">
        <v>574</v>
      </c>
      <c r="U300" s="121" t="s">
        <v>579</v>
      </c>
    </row>
    <row r="301" spans="1:21" s="114" customFormat="1" ht="15.75" customHeight="1">
      <c r="A301" s="126" t="s">
        <v>24</v>
      </c>
      <c r="B301" s="114" t="s">
        <v>656</v>
      </c>
      <c r="C301" s="126">
        <v>2007</v>
      </c>
      <c r="D301" s="114" t="s">
        <v>26</v>
      </c>
      <c r="E301" s="126" t="s">
        <v>657</v>
      </c>
      <c r="F301" s="114" t="s">
        <v>658</v>
      </c>
      <c r="G301" s="114">
        <f>((2*196)+273+45)/198</f>
        <v>3.5858585858585861</v>
      </c>
      <c r="H301" s="114">
        <v>198</v>
      </c>
      <c r="I301" s="114">
        <f>H301*G301/10000</f>
        <v>7.0999999999999994E-2</v>
      </c>
      <c r="J301" s="114">
        <f>(28)/196</f>
        <v>0.14285714285714285</v>
      </c>
      <c r="K301" s="114">
        <v>365</v>
      </c>
      <c r="L301" s="114">
        <f>J301*196</f>
        <v>28</v>
      </c>
      <c r="M301" s="114">
        <f>10*365</f>
        <v>3650</v>
      </c>
      <c r="N301" s="114">
        <v>3</v>
      </c>
      <c r="O301" s="114">
        <v>0</v>
      </c>
      <c r="P301" s="114">
        <v>1</v>
      </c>
      <c r="Q301" s="114">
        <v>0</v>
      </c>
      <c r="T301" s="114" t="s">
        <v>659</v>
      </c>
    </row>
    <row r="302" spans="1:21" s="114" customFormat="1" ht="15.75" customHeight="1">
      <c r="A302" s="126" t="s">
        <v>24</v>
      </c>
      <c r="B302" s="114" t="s">
        <v>656</v>
      </c>
      <c r="C302" s="126">
        <v>2007</v>
      </c>
      <c r="D302" s="114" t="s">
        <v>26</v>
      </c>
      <c r="E302" s="126" t="s">
        <v>657</v>
      </c>
      <c r="F302" s="114" t="s">
        <v>658</v>
      </c>
      <c r="G302" s="114">
        <f>((2*196)+273+45)/198</f>
        <v>3.5858585858585861</v>
      </c>
      <c r="H302" s="114">
        <v>198</v>
      </c>
      <c r="I302" s="114">
        <f>H302*G302/10000</f>
        <v>7.0999999999999994E-2</v>
      </c>
      <c r="J302" s="114">
        <f>(31)/196</f>
        <v>0.15816326530612246</v>
      </c>
      <c r="K302" s="114">
        <v>365</v>
      </c>
      <c r="L302" s="114">
        <f>J302*196</f>
        <v>31</v>
      </c>
      <c r="M302" s="114">
        <f>10*365</f>
        <v>3650</v>
      </c>
      <c r="N302" s="114">
        <v>3</v>
      </c>
      <c r="O302" s="114">
        <v>1</v>
      </c>
      <c r="P302" s="114">
        <v>1</v>
      </c>
      <c r="Q302" s="114">
        <v>0</v>
      </c>
      <c r="T302" s="114" t="s">
        <v>660</v>
      </c>
    </row>
    <row r="303" spans="1:21" s="114" customFormat="1" ht="15.75" customHeight="1">
      <c r="A303" s="126" t="s">
        <v>24</v>
      </c>
      <c r="B303" s="114" t="s">
        <v>656</v>
      </c>
      <c r="C303" s="126">
        <v>2007</v>
      </c>
      <c r="D303" s="114" t="s">
        <v>26</v>
      </c>
      <c r="E303" s="126" t="s">
        <v>657</v>
      </c>
      <c r="F303" s="114" t="s">
        <v>658</v>
      </c>
      <c r="G303" s="114">
        <f>((2*196)+273+45)/198</f>
        <v>3.5858585858585861</v>
      </c>
      <c r="H303" s="114">
        <v>198</v>
      </c>
      <c r="I303" s="114">
        <f>H303*G303/10000</f>
        <v>7.0999999999999994E-2</v>
      </c>
      <c r="J303" s="114">
        <f>5/196</f>
        <v>2.5510204081632654E-2</v>
      </c>
      <c r="K303" s="114">
        <f>(365*7)/5</f>
        <v>511</v>
      </c>
      <c r="L303" s="114">
        <f>J303*196</f>
        <v>5</v>
      </c>
      <c r="M303" s="114">
        <f>7*365</f>
        <v>2555</v>
      </c>
      <c r="N303" s="114">
        <v>3</v>
      </c>
      <c r="O303" s="114">
        <v>1</v>
      </c>
      <c r="P303" s="114">
        <v>0</v>
      </c>
      <c r="Q303" s="114">
        <v>0</v>
      </c>
      <c r="T303" s="114" t="s">
        <v>661</v>
      </c>
    </row>
    <row r="304" spans="1:21" s="114" customFormat="1" ht="15.75" customHeight="1">
      <c r="A304" s="126" t="s">
        <v>24</v>
      </c>
      <c r="B304" s="114" t="s">
        <v>656</v>
      </c>
      <c r="C304" s="126">
        <v>2007</v>
      </c>
      <c r="D304" s="114" t="s">
        <v>26</v>
      </c>
      <c r="E304" s="126" t="s">
        <v>657</v>
      </c>
      <c r="F304" s="114" t="s">
        <v>658</v>
      </c>
      <c r="G304" s="114">
        <f>(0.4*0.05)</f>
        <v>2.0000000000000004E-2</v>
      </c>
      <c r="H304" s="114">
        <v>20</v>
      </c>
      <c r="I304" s="114">
        <f>H304*G304/10000</f>
        <v>4.000000000000001E-5</v>
      </c>
      <c r="J304" s="114">
        <f>20/196</f>
        <v>0.10204081632653061</v>
      </c>
      <c r="K304" s="114">
        <f>(365*4)/3</f>
        <v>486.66666666666669</v>
      </c>
      <c r="L304" s="114">
        <f>J304*196</f>
        <v>20</v>
      </c>
      <c r="M304" s="114">
        <f>4*365</f>
        <v>1460</v>
      </c>
      <c r="N304" s="114">
        <v>3</v>
      </c>
      <c r="O304" s="114">
        <v>1</v>
      </c>
      <c r="P304" s="114">
        <v>0</v>
      </c>
      <c r="Q304" s="114">
        <v>0</v>
      </c>
      <c r="S304" s="114" t="s">
        <v>662</v>
      </c>
      <c r="T304" s="114" t="s">
        <v>663</v>
      </c>
    </row>
    <row r="305" spans="1:21" s="121" customFormat="1" ht="15.75" customHeight="1">
      <c r="A305" s="120" t="s">
        <v>149</v>
      </c>
      <c r="B305" s="121" t="s">
        <v>664</v>
      </c>
      <c r="C305" s="120">
        <v>2006</v>
      </c>
      <c r="T305" s="121" t="s">
        <v>574</v>
      </c>
      <c r="U305" s="121" t="s">
        <v>665</v>
      </c>
    </row>
    <row r="306" spans="1:21" s="121" customFormat="1" ht="15.75" customHeight="1">
      <c r="A306" s="120" t="s">
        <v>18</v>
      </c>
      <c r="B306" s="121" t="s">
        <v>666</v>
      </c>
      <c r="C306" s="120">
        <v>2009</v>
      </c>
      <c r="T306" s="121" t="s">
        <v>574</v>
      </c>
      <c r="U306" s="121" t="s">
        <v>667</v>
      </c>
    </row>
    <row r="307" spans="1:21" s="121" customFormat="1" ht="15.75" customHeight="1">
      <c r="A307" s="120" t="s">
        <v>134</v>
      </c>
      <c r="B307" s="121" t="s">
        <v>668</v>
      </c>
      <c r="C307" s="121">
        <v>2011</v>
      </c>
      <c r="T307" s="121" t="s">
        <v>574</v>
      </c>
      <c r="U307" s="121" t="s">
        <v>575</v>
      </c>
    </row>
    <row r="308" spans="1:21" s="121" customFormat="1" ht="15.75" customHeight="1">
      <c r="A308" s="120" t="s">
        <v>50</v>
      </c>
      <c r="B308" s="121" t="s">
        <v>669</v>
      </c>
      <c r="C308" s="121">
        <v>2004</v>
      </c>
      <c r="T308" s="121" t="s">
        <v>574</v>
      </c>
      <c r="U308" s="121" t="s">
        <v>613</v>
      </c>
    </row>
    <row r="309" spans="1:21" s="119" customFormat="1" ht="15.75" customHeight="1">
      <c r="A309" s="120" t="s">
        <v>18</v>
      </c>
      <c r="B309" s="121" t="s">
        <v>670</v>
      </c>
      <c r="C309" s="120">
        <v>2007</v>
      </c>
      <c r="T309" s="121" t="s">
        <v>574</v>
      </c>
      <c r="U309" s="121" t="s">
        <v>575</v>
      </c>
    </row>
    <row r="310" spans="1:21" s="119" customFormat="1" ht="15.75" customHeight="1">
      <c r="A310" s="120" t="s">
        <v>93</v>
      </c>
      <c r="B310" s="121" t="s">
        <v>671</v>
      </c>
      <c r="C310" s="120">
        <v>2009</v>
      </c>
      <c r="T310" s="121" t="s">
        <v>574</v>
      </c>
      <c r="U310" s="121" t="s">
        <v>579</v>
      </c>
    </row>
    <row r="311" spans="1:21" s="119" customFormat="1" ht="15.75" customHeight="1">
      <c r="A311" s="120" t="s">
        <v>313</v>
      </c>
      <c r="B311" s="121" t="s">
        <v>672</v>
      </c>
      <c r="C311" s="120">
        <v>2005</v>
      </c>
      <c r="T311" s="121" t="s">
        <v>574</v>
      </c>
      <c r="U311" s="121" t="s">
        <v>579</v>
      </c>
    </row>
    <row r="312" spans="1:21" s="119" customFormat="1" ht="15.75" customHeight="1">
      <c r="A312" s="120" t="s">
        <v>278</v>
      </c>
      <c r="B312" s="121" t="s">
        <v>673</v>
      </c>
      <c r="C312" s="120">
        <v>2004</v>
      </c>
      <c r="T312" s="121" t="s">
        <v>574</v>
      </c>
      <c r="U312" s="121" t="s">
        <v>581</v>
      </c>
    </row>
    <row r="313" spans="1:21" s="119" customFormat="1" ht="15.75" customHeight="1">
      <c r="A313" s="120" t="s">
        <v>18</v>
      </c>
      <c r="B313" s="121" t="s">
        <v>674</v>
      </c>
      <c r="C313" s="120">
        <v>2004</v>
      </c>
      <c r="T313" s="121" t="s">
        <v>574</v>
      </c>
      <c r="U313" s="121" t="s">
        <v>675</v>
      </c>
    </row>
    <row r="314" spans="1:21" s="119" customFormat="1" ht="15.75" customHeight="1">
      <c r="A314" s="120" t="s">
        <v>93</v>
      </c>
      <c r="B314" s="121" t="s">
        <v>676</v>
      </c>
      <c r="C314" s="120">
        <v>2012</v>
      </c>
      <c r="T314" s="121" t="s">
        <v>574</v>
      </c>
      <c r="U314" s="121" t="s">
        <v>579</v>
      </c>
    </row>
    <row r="315" spans="1:21" s="119" customFormat="1" ht="15.75" customHeight="1">
      <c r="A315" s="120" t="s">
        <v>318</v>
      </c>
      <c r="B315" s="121" t="s">
        <v>677</v>
      </c>
      <c r="C315" s="120">
        <v>2008</v>
      </c>
      <c r="T315" s="121" t="s">
        <v>574</v>
      </c>
      <c r="U315" s="121" t="s">
        <v>581</v>
      </c>
    </row>
    <row r="316" spans="1:21" s="119" customFormat="1" ht="15.75" customHeight="1">
      <c r="A316" s="120" t="s">
        <v>6</v>
      </c>
      <c r="B316" s="121" t="s">
        <v>678</v>
      </c>
      <c r="C316" s="120">
        <v>2013</v>
      </c>
      <c r="E316" s="120"/>
      <c r="T316" s="121" t="s">
        <v>574</v>
      </c>
      <c r="U316" s="121" t="s">
        <v>679</v>
      </c>
    </row>
    <row r="317" spans="1:21" ht="15.75" customHeight="1">
      <c r="A317" s="123" t="s">
        <v>318</v>
      </c>
      <c r="B317" s="114" t="s">
        <v>680</v>
      </c>
      <c r="C317" s="123">
        <v>2012</v>
      </c>
      <c r="D317" t="s">
        <v>26</v>
      </c>
      <c r="E317" s="123" t="s">
        <v>681</v>
      </c>
      <c r="F317" s="123" t="s">
        <v>682</v>
      </c>
      <c r="G317">
        <v>0.104835</v>
      </c>
      <c r="H317">
        <v>160</v>
      </c>
      <c r="I317">
        <f t="shared" ref="I317:I322" si="26">H317*G317/10000</f>
        <v>1.6773599999999999E-3</v>
      </c>
      <c r="J317">
        <f>60/160</f>
        <v>0.375</v>
      </c>
      <c r="K317">
        <v>0</v>
      </c>
      <c r="L317">
        <f>J317*160</f>
        <v>60</v>
      </c>
      <c r="M317">
        <v>60</v>
      </c>
      <c r="N317">
        <v>3</v>
      </c>
      <c r="O317">
        <v>2</v>
      </c>
      <c r="P317">
        <v>0</v>
      </c>
      <c r="Q317">
        <v>0</v>
      </c>
      <c r="S317" t="s">
        <v>601</v>
      </c>
      <c r="T317" s="114" t="s">
        <v>683</v>
      </c>
    </row>
    <row r="318" spans="1:21" ht="15.75" customHeight="1">
      <c r="A318" s="123" t="s">
        <v>318</v>
      </c>
      <c r="B318" s="114" t="s">
        <v>680</v>
      </c>
      <c r="C318" s="123">
        <v>2012</v>
      </c>
      <c r="D318" t="s">
        <v>26</v>
      </c>
      <c r="E318" s="123" t="s">
        <v>681</v>
      </c>
      <c r="F318" s="123" t="s">
        <v>682</v>
      </c>
      <c r="G318">
        <v>0.104835</v>
      </c>
      <c r="H318">
        <v>240</v>
      </c>
      <c r="I318">
        <f t="shared" si="26"/>
        <v>2.5160399999999998E-3</v>
      </c>
      <c r="J318">
        <f>60/240</f>
        <v>0.25</v>
      </c>
      <c r="K318">
        <v>0</v>
      </c>
      <c r="L318">
        <f>J318*240</f>
        <v>60</v>
      </c>
      <c r="M318">
        <v>60</v>
      </c>
      <c r="N318">
        <v>3</v>
      </c>
      <c r="O318">
        <v>1</v>
      </c>
      <c r="P318">
        <v>0</v>
      </c>
      <c r="Q318">
        <v>2</v>
      </c>
      <c r="S318" t="s">
        <v>601</v>
      </c>
      <c r="T318" s="114" t="s">
        <v>684</v>
      </c>
    </row>
    <row r="319" spans="1:21" ht="15.75" customHeight="1">
      <c r="A319" s="123" t="s">
        <v>318</v>
      </c>
      <c r="B319" s="114" t="s">
        <v>680</v>
      </c>
      <c r="C319" s="123">
        <v>2012</v>
      </c>
      <c r="D319" t="s">
        <v>26</v>
      </c>
      <c r="E319" s="123" t="s">
        <v>681</v>
      </c>
      <c r="F319" s="123" t="s">
        <v>682</v>
      </c>
      <c r="G319">
        <v>0.104835</v>
      </c>
      <c r="H319">
        <v>64</v>
      </c>
      <c r="I319">
        <f t="shared" si="26"/>
        <v>6.7094400000000003E-4</v>
      </c>
      <c r="J319">
        <f>1/64</f>
        <v>1.5625E-2</v>
      </c>
      <c r="K319">
        <v>0</v>
      </c>
      <c r="L319">
        <f>J319*64</f>
        <v>1</v>
      </c>
      <c r="M319">
        <v>1</v>
      </c>
      <c r="N319">
        <v>3</v>
      </c>
      <c r="O319">
        <v>1</v>
      </c>
      <c r="P319">
        <v>0</v>
      </c>
      <c r="Q319">
        <v>2</v>
      </c>
      <c r="S319" t="s">
        <v>662</v>
      </c>
      <c r="T319" s="114" t="s">
        <v>685</v>
      </c>
    </row>
    <row r="320" spans="1:21" ht="15.75" customHeight="1">
      <c r="A320" s="123" t="s">
        <v>318</v>
      </c>
      <c r="B320" s="114" t="s">
        <v>680</v>
      </c>
      <c r="C320" s="123">
        <v>2012</v>
      </c>
      <c r="D320" t="s">
        <v>26</v>
      </c>
      <c r="E320" s="123" t="s">
        <v>681</v>
      </c>
      <c r="F320" s="123" t="s">
        <v>682</v>
      </c>
      <c r="G320" s="130">
        <f>(0.1*0.05)*20</f>
        <v>0.10000000000000002</v>
      </c>
      <c r="H320">
        <v>64</v>
      </c>
      <c r="I320" s="130">
        <f t="shared" si="26"/>
        <v>6.4000000000000016E-4</v>
      </c>
      <c r="J320">
        <f>1/64</f>
        <v>1.5625E-2</v>
      </c>
      <c r="K320">
        <v>0</v>
      </c>
      <c r="L320">
        <f>J320*64</f>
        <v>1</v>
      </c>
      <c r="M320">
        <v>1</v>
      </c>
      <c r="N320">
        <v>3</v>
      </c>
      <c r="O320">
        <v>2</v>
      </c>
      <c r="P320">
        <v>0</v>
      </c>
      <c r="Q320">
        <v>0</v>
      </c>
      <c r="S320" t="s">
        <v>662</v>
      </c>
      <c r="T320" s="114" t="s">
        <v>686</v>
      </c>
    </row>
    <row r="321" spans="1:21" ht="15.75" customHeight="1">
      <c r="A321" s="123" t="s">
        <v>318</v>
      </c>
      <c r="B321" s="114" t="s">
        <v>680</v>
      </c>
      <c r="C321" s="123">
        <v>2012</v>
      </c>
      <c r="D321" t="s">
        <v>26</v>
      </c>
      <c r="E321" s="123" t="s">
        <v>681</v>
      </c>
      <c r="F321" s="123" t="s">
        <v>682</v>
      </c>
      <c r="G321">
        <f>(0.2*0.2)*3</f>
        <v>0.12000000000000002</v>
      </c>
      <c r="H321">
        <v>64</v>
      </c>
      <c r="I321">
        <f t="shared" si="26"/>
        <v>7.6800000000000013E-4</v>
      </c>
      <c r="J321">
        <f>1/64</f>
        <v>1.5625E-2</v>
      </c>
      <c r="K321">
        <v>0</v>
      </c>
      <c r="L321">
        <f>J321*64</f>
        <v>1</v>
      </c>
      <c r="M321">
        <v>1</v>
      </c>
      <c r="N321">
        <v>0</v>
      </c>
      <c r="O321">
        <v>2</v>
      </c>
      <c r="P321">
        <v>0</v>
      </c>
      <c r="Q321">
        <v>0</v>
      </c>
      <c r="S321" t="s">
        <v>662</v>
      </c>
      <c r="T321" s="114" t="s">
        <v>687</v>
      </c>
    </row>
    <row r="322" spans="1:21" ht="15.75" customHeight="1">
      <c r="A322" s="123" t="s">
        <v>318</v>
      </c>
      <c r="B322" s="114" t="s">
        <v>680</v>
      </c>
      <c r="C322" s="123">
        <v>2012</v>
      </c>
      <c r="D322" t="s">
        <v>645</v>
      </c>
      <c r="E322" s="123" t="s">
        <v>681</v>
      </c>
      <c r="F322" s="123" t="s">
        <v>682</v>
      </c>
      <c r="G322">
        <f>PI()*((0.016/2)^2)</f>
        <v>2.0106192982974675E-4</v>
      </c>
      <c r="H322">
        <v>16</v>
      </c>
      <c r="I322">
        <f t="shared" si="26"/>
        <v>3.2169908772759479E-7</v>
      </c>
      <c r="J322" s="3">
        <f>1/60/60/24</f>
        <v>1.1574074074074073E-5</v>
      </c>
      <c r="K322">
        <f>5/60/24</f>
        <v>3.472222222222222E-3</v>
      </c>
      <c r="L322">
        <f>12*24*60*J322</f>
        <v>0.19999999999999998</v>
      </c>
      <c r="M322">
        <v>60</v>
      </c>
      <c r="N322">
        <v>0</v>
      </c>
      <c r="O322">
        <v>0</v>
      </c>
      <c r="P322">
        <v>1</v>
      </c>
      <c r="Q322">
        <v>0</v>
      </c>
      <c r="S322" t="s">
        <v>688</v>
      </c>
      <c r="T322" s="114" t="s">
        <v>689</v>
      </c>
    </row>
    <row r="323" spans="1:21" s="119" customFormat="1" ht="15.75" customHeight="1">
      <c r="A323" s="120" t="s">
        <v>149</v>
      </c>
      <c r="B323" s="121" t="s">
        <v>690</v>
      </c>
      <c r="C323" s="120">
        <v>2010</v>
      </c>
      <c r="T323" s="121" t="s">
        <v>574</v>
      </c>
      <c r="U323" s="119" t="s">
        <v>675</v>
      </c>
    </row>
    <row r="324" spans="1:21" s="119" customFormat="1" ht="15.75" customHeight="1">
      <c r="A324" s="120" t="s">
        <v>134</v>
      </c>
      <c r="B324" s="121" t="s">
        <v>691</v>
      </c>
      <c r="C324" s="120">
        <v>2006</v>
      </c>
      <c r="T324" s="121" t="s">
        <v>574</v>
      </c>
      <c r="U324" s="119" t="s">
        <v>675</v>
      </c>
    </row>
    <row r="325" spans="1:21" s="119" customFormat="1" ht="15.75" customHeight="1">
      <c r="A325" s="120" t="s">
        <v>18</v>
      </c>
      <c r="B325" s="121" t="s">
        <v>692</v>
      </c>
      <c r="C325" s="120">
        <v>2009</v>
      </c>
      <c r="T325" s="121" t="s">
        <v>574</v>
      </c>
      <c r="U325" s="119" t="s">
        <v>579</v>
      </c>
    </row>
    <row r="326" spans="1:21" s="119" customFormat="1" ht="15.75" customHeight="1">
      <c r="A326" s="120" t="s">
        <v>0</v>
      </c>
      <c r="B326" s="121" t="s">
        <v>693</v>
      </c>
      <c r="C326" s="120">
        <v>2014</v>
      </c>
      <c r="T326" s="121" t="s">
        <v>574</v>
      </c>
      <c r="U326" s="119" t="s">
        <v>613</v>
      </c>
    </row>
    <row r="327" spans="1:21" s="119" customFormat="1" ht="15.75" customHeight="1">
      <c r="A327" s="120" t="s">
        <v>18</v>
      </c>
      <c r="B327" s="121" t="s">
        <v>694</v>
      </c>
      <c r="C327" s="120">
        <v>2007</v>
      </c>
      <c r="T327" s="121" t="s">
        <v>574</v>
      </c>
      <c r="U327" s="119" t="s">
        <v>579</v>
      </c>
    </row>
    <row r="328" spans="1:21" s="119" customFormat="1" ht="15.75" customHeight="1">
      <c r="A328" s="120" t="s">
        <v>454</v>
      </c>
      <c r="B328" s="121" t="s">
        <v>695</v>
      </c>
      <c r="C328" s="120">
        <v>2011</v>
      </c>
      <c r="T328" s="121" t="s">
        <v>574</v>
      </c>
      <c r="U328" s="119" t="s">
        <v>575</v>
      </c>
    </row>
    <row r="329" spans="1:21" ht="15.75" customHeight="1">
      <c r="A329" s="123" t="s">
        <v>6</v>
      </c>
      <c r="B329" s="114" t="s">
        <v>696</v>
      </c>
      <c r="C329" s="123">
        <v>2010</v>
      </c>
      <c r="D329" t="s">
        <v>26</v>
      </c>
      <c r="E329" s="123" t="s">
        <v>697</v>
      </c>
      <c r="F329" t="s">
        <v>698</v>
      </c>
      <c r="G329">
        <f>PI()*((0.0483/2)^2)</f>
        <v>1.8322475214082733E-3</v>
      </c>
      <c r="H329">
        <v>1</v>
      </c>
      <c r="I329">
        <f t="shared" ref="I329:I335" si="27">H329*G329/10000</f>
        <v>1.8322475214082733E-7</v>
      </c>
      <c r="J329" s="3">
        <f>1/60/60/24</f>
        <v>1.1574074074074073E-5</v>
      </c>
      <c r="K329">
        <v>32</v>
      </c>
      <c r="L329">
        <f>((365*2)/32)*J329</f>
        <v>2.6403356481481482E-4</v>
      </c>
      <c r="M329">
        <f>365*2</f>
        <v>730</v>
      </c>
      <c r="N329">
        <v>0</v>
      </c>
      <c r="O329">
        <v>0</v>
      </c>
      <c r="P329">
        <v>1</v>
      </c>
      <c r="Q329">
        <v>0</v>
      </c>
      <c r="S329" t="s">
        <v>699</v>
      </c>
      <c r="T329" s="114" t="s">
        <v>700</v>
      </c>
    </row>
    <row r="330" spans="1:21" ht="15.75" customHeight="1">
      <c r="A330" s="123" t="s">
        <v>6</v>
      </c>
      <c r="B330" s="114" t="s">
        <v>696</v>
      </c>
      <c r="C330" s="123">
        <v>2010</v>
      </c>
      <c r="D330" t="s">
        <v>26</v>
      </c>
      <c r="E330" s="123" t="s">
        <v>697</v>
      </c>
      <c r="F330" t="s">
        <v>698</v>
      </c>
      <c r="G330">
        <f>PI()*((0.33/2)^2)</f>
        <v>8.5529859993982132E-2</v>
      </c>
      <c r="H330">
        <v>1</v>
      </c>
      <c r="I330">
        <f t="shared" si="27"/>
        <v>8.5529859993982129E-6</v>
      </c>
      <c r="J330" s="3">
        <f>1/60/60/24</f>
        <v>1.1574074074074073E-5</v>
      </c>
      <c r="K330">
        <v>32</v>
      </c>
      <c r="L330">
        <f>((365*2)/32)*J330</f>
        <v>2.6403356481481482E-4</v>
      </c>
      <c r="M330">
        <f>365*2</f>
        <v>730</v>
      </c>
      <c r="N330">
        <v>0</v>
      </c>
      <c r="O330">
        <v>0</v>
      </c>
      <c r="P330">
        <v>2</v>
      </c>
      <c r="Q330">
        <v>0</v>
      </c>
      <c r="S330" t="s">
        <v>699</v>
      </c>
      <c r="T330" s="114" t="s">
        <v>701</v>
      </c>
    </row>
    <row r="331" spans="1:21" ht="15.75" customHeight="1">
      <c r="A331" s="123" t="s">
        <v>6</v>
      </c>
      <c r="B331" s="114" t="s">
        <v>696</v>
      </c>
      <c r="C331" s="123">
        <v>2010</v>
      </c>
      <c r="D331" t="s">
        <v>645</v>
      </c>
      <c r="E331" s="123" t="s">
        <v>697</v>
      </c>
      <c r="F331" t="s">
        <v>698</v>
      </c>
      <c r="G331">
        <f>PI()*((0.2/2)^2)</f>
        <v>3.1415926535897934E-2</v>
      </c>
      <c r="H331">
        <v>1</v>
      </c>
      <c r="I331">
        <f t="shared" si="27"/>
        <v>3.1415926535897933E-6</v>
      </c>
      <c r="J331" s="3">
        <f>1/60/60/24</f>
        <v>1.1574074074074073E-5</v>
      </c>
      <c r="K331">
        <f>1/24</f>
        <v>4.1666666666666664E-2</v>
      </c>
      <c r="L331">
        <f>((120*24)*J331)</f>
        <v>3.3333333333333333E-2</v>
      </c>
      <c r="M331">
        <v>317</v>
      </c>
      <c r="N331">
        <v>0</v>
      </c>
      <c r="O331">
        <v>0</v>
      </c>
      <c r="P331">
        <v>2</v>
      </c>
      <c r="Q331">
        <v>0</v>
      </c>
      <c r="S331" t="s">
        <v>662</v>
      </c>
      <c r="T331" s="114" t="s">
        <v>702</v>
      </c>
    </row>
    <row r="332" spans="1:21" ht="15.75" customHeight="1">
      <c r="A332" s="123" t="s">
        <v>6</v>
      </c>
      <c r="B332" s="114" t="s">
        <v>696</v>
      </c>
      <c r="C332" s="123">
        <v>2010</v>
      </c>
      <c r="D332" t="s">
        <v>645</v>
      </c>
      <c r="E332" s="123" t="s">
        <v>697</v>
      </c>
      <c r="F332" t="s">
        <v>698</v>
      </c>
      <c r="G332">
        <f>PI()*(0.5^2)</f>
        <v>0.78539816339744828</v>
      </c>
      <c r="H332">
        <v>1</v>
      </c>
      <c r="I332">
        <f t="shared" si="27"/>
        <v>7.8539816339744827E-5</v>
      </c>
      <c r="J332" s="3">
        <f>1/60/60/24</f>
        <v>1.1574074074074073E-5</v>
      </c>
      <c r="K332">
        <f>1/24</f>
        <v>4.1666666666666664E-2</v>
      </c>
      <c r="L332">
        <f>((730*24)*J332)</f>
        <v>0.20277777777777778</v>
      </c>
      <c r="M332">
        <v>730</v>
      </c>
      <c r="N332">
        <v>0</v>
      </c>
      <c r="O332">
        <v>0</v>
      </c>
      <c r="P332">
        <v>2</v>
      </c>
      <c r="Q332">
        <v>0</v>
      </c>
      <c r="S332" t="s">
        <v>703</v>
      </c>
      <c r="T332" s="114" t="s">
        <v>704</v>
      </c>
    </row>
    <row r="333" spans="1:21" ht="15.75" customHeight="1">
      <c r="A333" s="123" t="s">
        <v>6</v>
      </c>
      <c r="B333" s="114" t="s">
        <v>696</v>
      </c>
      <c r="C333" s="123">
        <v>2010</v>
      </c>
      <c r="D333" t="s">
        <v>26</v>
      </c>
      <c r="E333" s="123" t="s">
        <v>697</v>
      </c>
      <c r="F333" t="s">
        <v>698</v>
      </c>
      <c r="G333">
        <f>PI()*(0.75^2)*8</f>
        <v>14.137166941154069</v>
      </c>
      <c r="H333">
        <v>3</v>
      </c>
      <c r="I333">
        <f t="shared" si="27"/>
        <v>4.2411500823462209E-3</v>
      </c>
      <c r="J333">
        <v>1</v>
      </c>
      <c r="K333">
        <v>90</v>
      </c>
      <c r="L333">
        <f>730/90*H333</f>
        <v>24.333333333333332</v>
      </c>
      <c r="M333">
        <v>730</v>
      </c>
      <c r="N333">
        <v>0</v>
      </c>
      <c r="O333">
        <v>1</v>
      </c>
      <c r="P333">
        <v>0</v>
      </c>
      <c r="Q333">
        <v>0</v>
      </c>
      <c r="S333" t="s">
        <v>705</v>
      </c>
      <c r="T333" s="114" t="s">
        <v>706</v>
      </c>
    </row>
    <row r="334" spans="1:21" ht="15.75" customHeight="1">
      <c r="A334" s="123" t="s">
        <v>6</v>
      </c>
      <c r="B334" s="114" t="s">
        <v>707</v>
      </c>
      <c r="C334" s="123">
        <v>2013</v>
      </c>
      <c r="D334" t="s">
        <v>26</v>
      </c>
      <c r="E334" s="123" t="s">
        <v>708</v>
      </c>
      <c r="F334" s="123" t="s">
        <v>709</v>
      </c>
      <c r="G334">
        <f>PI()*((0.6/2)^2)</f>
        <v>0.28274333882308139</v>
      </c>
      <c r="H334">
        <v>10</v>
      </c>
      <c r="I334">
        <f t="shared" si="27"/>
        <v>2.8274333882308137E-4</v>
      </c>
      <c r="J334" s="17">
        <f>1/60/24</f>
        <v>6.9444444444444447E-4</v>
      </c>
      <c r="K334">
        <v>0</v>
      </c>
      <c r="L334">
        <f>J334*H334</f>
        <v>6.9444444444444449E-3</v>
      </c>
      <c r="M334">
        <v>31</v>
      </c>
      <c r="N334">
        <v>0</v>
      </c>
      <c r="O334">
        <v>0</v>
      </c>
      <c r="P334">
        <v>1</v>
      </c>
      <c r="Q334">
        <v>0</v>
      </c>
      <c r="S334" t="s">
        <v>586</v>
      </c>
      <c r="T334" s="114" t="s">
        <v>710</v>
      </c>
    </row>
    <row r="335" spans="1:21" ht="15.75" customHeight="1">
      <c r="A335" s="123" t="s">
        <v>6</v>
      </c>
      <c r="B335" s="114" t="s">
        <v>707</v>
      </c>
      <c r="C335" s="123">
        <v>2013</v>
      </c>
      <c r="D335" t="s">
        <v>26</v>
      </c>
      <c r="E335" s="123" t="s">
        <v>708</v>
      </c>
      <c r="F335" s="123" t="s">
        <v>709</v>
      </c>
      <c r="G335">
        <f>PI()*((0.013/2)^2)</f>
        <v>1.3273228961416876E-4</v>
      </c>
      <c r="H335">
        <v>10</v>
      </c>
      <c r="I335">
        <f t="shared" si="27"/>
        <v>1.3273228961416876E-7</v>
      </c>
      <c r="J335" s="3">
        <f>1/60/60/24</f>
        <v>1.1574074074074073E-5</v>
      </c>
      <c r="K335">
        <v>0</v>
      </c>
      <c r="L335">
        <f>J335*H335</f>
        <v>1.1574074074074073E-4</v>
      </c>
      <c r="M335">
        <v>31</v>
      </c>
      <c r="N335">
        <v>0</v>
      </c>
      <c r="O335">
        <v>0</v>
      </c>
      <c r="P335">
        <v>2</v>
      </c>
      <c r="Q335">
        <v>0</v>
      </c>
      <c r="S335" t="s">
        <v>586</v>
      </c>
      <c r="T335" s="114" t="s">
        <v>711</v>
      </c>
    </row>
    <row r="336" spans="1:21" s="119" customFormat="1" ht="15.75" customHeight="1">
      <c r="A336" s="120" t="s">
        <v>95</v>
      </c>
      <c r="B336" s="121" t="s">
        <v>712</v>
      </c>
      <c r="C336" s="120">
        <v>2008</v>
      </c>
      <c r="T336" s="121" t="s">
        <v>574</v>
      </c>
      <c r="U336" s="119" t="s">
        <v>581</v>
      </c>
    </row>
    <row r="337" spans="1:21" s="119" customFormat="1" ht="15.75" customHeight="1">
      <c r="A337" s="121" t="s">
        <v>134</v>
      </c>
      <c r="B337" s="121" t="s">
        <v>713</v>
      </c>
      <c r="C337" s="120">
        <v>2010</v>
      </c>
      <c r="T337" s="119" t="s">
        <v>574</v>
      </c>
      <c r="U337" s="119" t="s">
        <v>714</v>
      </c>
    </row>
    <row r="338" spans="1:21" s="119" customFormat="1" ht="15.75" customHeight="1">
      <c r="A338" s="120" t="s">
        <v>93</v>
      </c>
      <c r="B338" s="121" t="s">
        <v>715</v>
      </c>
      <c r="C338" s="120">
        <v>2007</v>
      </c>
      <c r="E338" s="120"/>
      <c r="T338" s="119" t="s">
        <v>574</v>
      </c>
      <c r="U338" s="119" t="s">
        <v>716</v>
      </c>
    </row>
    <row r="339" spans="1:21" s="119" customFormat="1" ht="15.75" customHeight="1">
      <c r="A339" s="121" t="s">
        <v>313</v>
      </c>
      <c r="B339" s="121" t="s">
        <v>717</v>
      </c>
      <c r="C339" s="120">
        <v>2008</v>
      </c>
      <c r="T339" s="119" t="s">
        <v>574</v>
      </c>
      <c r="U339" s="119" t="s">
        <v>718</v>
      </c>
    </row>
    <row r="340" spans="1:21" ht="15.75" customHeight="1">
      <c r="A340" s="123" t="s">
        <v>258</v>
      </c>
      <c r="B340" s="114" t="s">
        <v>719</v>
      </c>
      <c r="C340" s="123">
        <v>2010</v>
      </c>
      <c r="D340" t="s">
        <v>645</v>
      </c>
      <c r="E340" s="123" t="s">
        <v>720</v>
      </c>
      <c r="F340" t="s">
        <v>721</v>
      </c>
      <c r="G340">
        <f>PI()*(0.1)^2</f>
        <v>3.1415926535897934E-2</v>
      </c>
      <c r="H340">
        <v>1141</v>
      </c>
      <c r="I340">
        <f>14*H340*G340/10000</f>
        <v>5.0183801048443361E-2</v>
      </c>
      <c r="J340" s="3">
        <f>1/60/60/24</f>
        <v>1.1574074074074073E-5</v>
      </c>
      <c r="K340">
        <v>0.5</v>
      </c>
      <c r="L340">
        <f>J340*H340*14</f>
        <v>0.18488425925925925</v>
      </c>
      <c r="M340">
        <v>7</v>
      </c>
      <c r="N340">
        <v>1</v>
      </c>
      <c r="O340">
        <v>0</v>
      </c>
      <c r="P340">
        <v>1</v>
      </c>
      <c r="Q340">
        <v>0</v>
      </c>
      <c r="S340" t="s">
        <v>601</v>
      </c>
      <c r="T340" s="112" t="s">
        <v>722</v>
      </c>
    </row>
    <row r="341" spans="1:21" ht="15.75" customHeight="1">
      <c r="A341" s="123" t="s">
        <v>258</v>
      </c>
      <c r="B341" s="114" t="s">
        <v>719</v>
      </c>
      <c r="C341" s="123">
        <v>2010</v>
      </c>
      <c r="D341" t="s">
        <v>290</v>
      </c>
      <c r="E341" s="123" t="s">
        <v>720</v>
      </c>
      <c r="F341" t="s">
        <v>721</v>
      </c>
      <c r="G341">
        <f>500*500</f>
        <v>250000</v>
      </c>
      <c r="H341">
        <v>30</v>
      </c>
      <c r="I341">
        <f>14*H341*G341/10000</f>
        <v>10500</v>
      </c>
      <c r="J341" s="3">
        <f>1/60/60/24</f>
        <v>1.1574074074074073E-5</v>
      </c>
      <c r="K341">
        <v>1</v>
      </c>
      <c r="L341">
        <f>J341*H341*365</f>
        <v>0.1267361111111111</v>
      </c>
      <c r="M341">
        <v>365</v>
      </c>
      <c r="N341">
        <v>0</v>
      </c>
      <c r="O341">
        <v>0</v>
      </c>
      <c r="P341">
        <v>2</v>
      </c>
      <c r="Q341">
        <v>0</v>
      </c>
      <c r="S341" t="s">
        <v>586</v>
      </c>
      <c r="T341" s="112" t="s">
        <v>723</v>
      </c>
    </row>
    <row r="342" spans="1:21" ht="15.75" customHeight="1">
      <c r="A342" s="123" t="s">
        <v>258</v>
      </c>
      <c r="B342" s="114" t="s">
        <v>719</v>
      </c>
      <c r="C342" s="123">
        <v>2010</v>
      </c>
      <c r="D342" t="s">
        <v>645</v>
      </c>
      <c r="E342" s="123" t="s">
        <v>720</v>
      </c>
      <c r="F342" t="s">
        <v>721</v>
      </c>
      <c r="G342">
        <f>500*500</f>
        <v>250000</v>
      </c>
      <c r="H342">
        <v>30</v>
      </c>
      <c r="I342">
        <f>14*H342*G342/10000</f>
        <v>10500</v>
      </c>
      <c r="J342" s="3">
        <f>1/60/60/24</f>
        <v>1.1574074074074073E-5</v>
      </c>
      <c r="K342">
        <v>0</v>
      </c>
      <c r="L342">
        <f>J342*H342</f>
        <v>3.4722222222222218E-4</v>
      </c>
      <c r="M342">
        <v>1</v>
      </c>
      <c r="N342">
        <v>1</v>
      </c>
      <c r="O342">
        <v>0</v>
      </c>
      <c r="P342">
        <v>0</v>
      </c>
      <c r="Q342">
        <v>0</v>
      </c>
      <c r="S342" t="s">
        <v>586</v>
      </c>
      <c r="T342" s="112" t="s">
        <v>724</v>
      </c>
    </row>
    <row r="343" spans="1:21" s="119" customFormat="1" ht="15.75" customHeight="1">
      <c r="A343" s="120" t="s">
        <v>18</v>
      </c>
      <c r="B343" s="121" t="s">
        <v>725</v>
      </c>
      <c r="C343" s="120">
        <v>2012</v>
      </c>
      <c r="T343" s="119" t="s">
        <v>574</v>
      </c>
      <c r="U343" s="119" t="s">
        <v>575</v>
      </c>
    </row>
    <row r="344" spans="1:21" s="119" customFormat="1" ht="15.75" customHeight="1">
      <c r="A344" s="120" t="s">
        <v>313</v>
      </c>
      <c r="B344" s="121" t="s">
        <v>726</v>
      </c>
      <c r="C344" s="120">
        <v>2014</v>
      </c>
      <c r="T344" s="119" t="s">
        <v>574</v>
      </c>
      <c r="U344" s="119" t="s">
        <v>579</v>
      </c>
    </row>
    <row r="345" spans="1:21" ht="15.75" customHeight="1">
      <c r="A345" s="123" t="s">
        <v>24</v>
      </c>
      <c r="B345" s="114" t="s">
        <v>727</v>
      </c>
      <c r="C345" s="123">
        <v>2011</v>
      </c>
      <c r="D345" t="s">
        <v>26</v>
      </c>
      <c r="E345" s="123" t="s">
        <v>728</v>
      </c>
      <c r="F345" s="123" t="s">
        <v>729</v>
      </c>
      <c r="G345">
        <f>(1800*3)</f>
        <v>5400</v>
      </c>
      <c r="H345">
        <v>7</v>
      </c>
      <c r="I345">
        <f t="shared" ref="I345:I351" si="28">H345*G345/10000</f>
        <v>3.78</v>
      </c>
      <c r="J345">
        <f>5/24</f>
        <v>0.20833333333333334</v>
      </c>
      <c r="K345">
        <v>1</v>
      </c>
      <c r="L345">
        <f>J345*H345*2190</f>
        <v>3193.7500000000005</v>
      </c>
      <c r="M345">
        <f>365*6</f>
        <v>2190</v>
      </c>
      <c r="N345">
        <v>3</v>
      </c>
      <c r="O345">
        <v>0</v>
      </c>
      <c r="P345">
        <v>0</v>
      </c>
      <c r="Q345">
        <v>1</v>
      </c>
      <c r="S345" t="s">
        <v>730</v>
      </c>
      <c r="T345" s="112" t="s">
        <v>731</v>
      </c>
    </row>
    <row r="346" spans="1:21" ht="15.75" customHeight="1">
      <c r="A346" s="123" t="s">
        <v>24</v>
      </c>
      <c r="B346" s="114" t="s">
        <v>727</v>
      </c>
      <c r="C346" s="123">
        <v>2011</v>
      </c>
      <c r="D346" t="s">
        <v>26</v>
      </c>
      <c r="E346" s="123" t="s">
        <v>728</v>
      </c>
      <c r="F346" s="123" t="s">
        <v>729</v>
      </c>
      <c r="G346">
        <f>PI()*(0.0025^2)</f>
        <v>1.9634954084936207E-5</v>
      </c>
      <c r="H346">
        <v>296</v>
      </c>
      <c r="I346">
        <f t="shared" si="28"/>
        <v>5.8119464091411169E-7</v>
      </c>
      <c r="J346">
        <f>30/60/60/24</f>
        <v>3.4722222222222224E-4</v>
      </c>
      <c r="K346">
        <v>0</v>
      </c>
      <c r="L346">
        <f>J346*H346</f>
        <v>0.10277777777777779</v>
      </c>
      <c r="M346">
        <f>365*6</f>
        <v>2190</v>
      </c>
      <c r="N346">
        <v>0</v>
      </c>
      <c r="O346">
        <v>1</v>
      </c>
      <c r="P346">
        <v>0</v>
      </c>
      <c r="Q346">
        <v>0</v>
      </c>
      <c r="S346" t="s">
        <v>601</v>
      </c>
      <c r="T346" t="s">
        <v>732</v>
      </c>
    </row>
    <row r="347" spans="1:21" ht="15.75" customHeight="1">
      <c r="A347" s="123" t="s">
        <v>24</v>
      </c>
      <c r="B347" s="114" t="s">
        <v>727</v>
      </c>
      <c r="C347" s="123">
        <v>2011</v>
      </c>
      <c r="D347" t="s">
        <v>26</v>
      </c>
      <c r="E347" s="123" t="s">
        <v>728</v>
      </c>
      <c r="F347" s="123" t="s">
        <v>729</v>
      </c>
      <c r="G347">
        <f>0.14*0.05</f>
        <v>7.000000000000001E-3</v>
      </c>
      <c r="H347">
        <v>352</v>
      </c>
      <c r="I347">
        <f t="shared" si="28"/>
        <v>2.4640000000000003E-4</v>
      </c>
      <c r="J347">
        <f>10/60/24</f>
        <v>6.9444444444444441E-3</v>
      </c>
      <c r="K347">
        <v>0</v>
      </c>
      <c r="L347">
        <f>J347*H347</f>
        <v>2.4444444444444442</v>
      </c>
      <c r="M347">
        <f>365*6</f>
        <v>2190</v>
      </c>
      <c r="N347">
        <v>0</v>
      </c>
      <c r="O347">
        <v>3</v>
      </c>
      <c r="P347">
        <v>0</v>
      </c>
      <c r="Q347">
        <v>0</v>
      </c>
      <c r="S347" t="s">
        <v>601</v>
      </c>
      <c r="T347" t="s">
        <v>733</v>
      </c>
    </row>
    <row r="348" spans="1:21" ht="15.75" customHeight="1">
      <c r="A348" s="123" t="s">
        <v>18</v>
      </c>
      <c r="B348" s="114" t="s">
        <v>734</v>
      </c>
      <c r="C348" s="123">
        <v>2006</v>
      </c>
      <c r="D348" t="s">
        <v>26</v>
      </c>
      <c r="E348" s="123" t="s">
        <v>425</v>
      </c>
      <c r="F348" s="123" t="s">
        <v>735</v>
      </c>
      <c r="G348">
        <f>(0.00175/8*0.0005)</f>
        <v>1.09375E-7</v>
      </c>
      <c r="H348">
        <v>110</v>
      </c>
      <c r="I348">
        <f t="shared" si="28"/>
        <v>1.203125E-9</v>
      </c>
      <c r="J348">
        <f>30/60/60/24</f>
        <v>3.4722222222222224E-4</v>
      </c>
      <c r="K348">
        <v>0</v>
      </c>
      <c r="L348">
        <f>J348*H348</f>
        <v>3.8194444444444448E-2</v>
      </c>
      <c r="M348">
        <v>31</v>
      </c>
      <c r="N348">
        <v>0</v>
      </c>
      <c r="O348">
        <v>0</v>
      </c>
      <c r="P348">
        <v>2</v>
      </c>
      <c r="Q348">
        <v>0</v>
      </c>
      <c r="R348" t="s">
        <v>736</v>
      </c>
      <c r="S348" t="s">
        <v>601</v>
      </c>
      <c r="T348" t="s">
        <v>737</v>
      </c>
    </row>
    <row r="349" spans="1:21" ht="15.75" customHeight="1">
      <c r="A349" s="123" t="s">
        <v>318</v>
      </c>
      <c r="B349" s="114" t="s">
        <v>738</v>
      </c>
      <c r="C349" s="123">
        <v>2007</v>
      </c>
      <c r="D349" t="s">
        <v>26</v>
      </c>
      <c r="E349" s="123" t="s">
        <v>739</v>
      </c>
      <c r="F349" s="123" t="s">
        <v>740</v>
      </c>
      <c r="G349">
        <f>PI()*((1.3/2)^2)</f>
        <v>1.3273228961416876</v>
      </c>
      <c r="H349">
        <v>171</v>
      </c>
      <c r="I349">
        <f t="shared" si="28"/>
        <v>2.269722152402286E-2</v>
      </c>
      <c r="J349">
        <f>0.5/171</f>
        <v>2.9239766081871343E-3</v>
      </c>
      <c r="K349">
        <v>30</v>
      </c>
      <c r="L349">
        <f>J349*I349*(12*10)</f>
        <v>7.9639373768501266E-3</v>
      </c>
      <c r="M349">
        <f>(365*10)+90</f>
        <v>3740</v>
      </c>
      <c r="N349">
        <v>3</v>
      </c>
      <c r="O349">
        <v>0</v>
      </c>
      <c r="P349">
        <v>2</v>
      </c>
      <c r="Q349">
        <v>2</v>
      </c>
      <c r="S349" t="s">
        <v>601</v>
      </c>
      <c r="T349" t="s">
        <v>741</v>
      </c>
    </row>
    <row r="350" spans="1:21" ht="15.75" customHeight="1">
      <c r="A350" s="123" t="s">
        <v>318</v>
      </c>
      <c r="B350" s="114" t="s">
        <v>738</v>
      </c>
      <c r="C350" s="123">
        <v>2007</v>
      </c>
      <c r="D350" t="s">
        <v>645</v>
      </c>
      <c r="E350" s="123" t="s">
        <v>739</v>
      </c>
      <c r="F350" s="123" t="s">
        <v>740</v>
      </c>
      <c r="G350">
        <f>PI()*((0.2032/2)^2)</f>
        <v>3.2429278662239852E-2</v>
      </c>
      <c r="H350">
        <v>1</v>
      </c>
      <c r="I350">
        <f t="shared" si="28"/>
        <v>3.2429278662239851E-6</v>
      </c>
      <c r="J350">
        <v>1</v>
      </c>
      <c r="K350">
        <v>1</v>
      </c>
      <c r="L350">
        <f>(365*10)+90</f>
        <v>3740</v>
      </c>
      <c r="M350">
        <f>(365*10)+90</f>
        <v>3740</v>
      </c>
      <c r="N350">
        <v>0</v>
      </c>
      <c r="O350">
        <v>0</v>
      </c>
      <c r="P350">
        <v>1</v>
      </c>
      <c r="Q350">
        <v>0</v>
      </c>
      <c r="S350" t="s">
        <v>662</v>
      </c>
      <c r="T350" t="s">
        <v>742</v>
      </c>
    </row>
    <row r="351" spans="1:21" ht="15.75" customHeight="1">
      <c r="A351" s="123" t="s">
        <v>318</v>
      </c>
      <c r="B351" s="114" t="s">
        <v>738</v>
      </c>
      <c r="C351" s="123">
        <v>2007</v>
      </c>
      <c r="D351" t="s">
        <v>645</v>
      </c>
      <c r="E351" s="123" t="s">
        <v>739</v>
      </c>
      <c r="F351" s="123" t="s">
        <v>740</v>
      </c>
      <c r="G351">
        <f>PI()*((0.008/2)^2)</f>
        <v>5.0265482457436686E-5</v>
      </c>
      <c r="H351">
        <v>1</v>
      </c>
      <c r="I351">
        <f t="shared" si="28"/>
        <v>5.0265482457436686E-9</v>
      </c>
      <c r="J351">
        <v>1</v>
      </c>
      <c r="K351">
        <v>1</v>
      </c>
      <c r="L351">
        <f>DATE(2000,6,1)-DATE(1993,10,1)</f>
        <v>2435</v>
      </c>
      <c r="M351">
        <f>DATE(2000,6,1)-DATE(1993,10,1)</f>
        <v>2435</v>
      </c>
      <c r="N351">
        <v>0</v>
      </c>
      <c r="O351">
        <v>0</v>
      </c>
      <c r="P351">
        <v>2</v>
      </c>
      <c r="Q351">
        <v>0</v>
      </c>
      <c r="S351" t="s">
        <v>662</v>
      </c>
      <c r="T351" t="s">
        <v>743</v>
      </c>
    </row>
    <row r="352" spans="1:21" s="119" customFormat="1" ht="15.75" customHeight="1">
      <c r="A352" s="120" t="s">
        <v>95</v>
      </c>
      <c r="B352" s="121" t="s">
        <v>744</v>
      </c>
      <c r="C352" s="120">
        <v>2007</v>
      </c>
      <c r="T352" s="119" t="s">
        <v>574</v>
      </c>
      <c r="U352" s="119" t="s">
        <v>579</v>
      </c>
    </row>
    <row r="353" spans="1:21" s="119" customFormat="1" ht="15.75" customHeight="1">
      <c r="A353" s="120" t="s">
        <v>111</v>
      </c>
      <c r="B353" s="121" t="s">
        <v>745</v>
      </c>
      <c r="C353" s="120">
        <v>2014</v>
      </c>
      <c r="T353" s="119" t="s">
        <v>574</v>
      </c>
      <c r="U353" s="119" t="s">
        <v>608</v>
      </c>
    </row>
    <row r="354" spans="1:21" s="119" customFormat="1" ht="15.75" customHeight="1">
      <c r="A354" s="120" t="s">
        <v>18</v>
      </c>
      <c r="B354" s="121" t="s">
        <v>746</v>
      </c>
      <c r="C354" s="120">
        <v>2010</v>
      </c>
      <c r="T354" s="119" t="s">
        <v>574</v>
      </c>
      <c r="U354" s="119" t="s">
        <v>579</v>
      </c>
    </row>
    <row r="355" spans="1:21" ht="15.75" customHeight="1">
      <c r="A355" s="123" t="s">
        <v>258</v>
      </c>
      <c r="B355" s="114" t="s">
        <v>747</v>
      </c>
      <c r="C355" s="123">
        <v>2004</v>
      </c>
      <c r="D355" t="s">
        <v>645</v>
      </c>
      <c r="E355" s="123" t="s">
        <v>748</v>
      </c>
      <c r="F355" t="s">
        <v>749</v>
      </c>
      <c r="G355">
        <f>PI()*((0.1524/2)^2)</f>
        <v>1.8241469247509919E-2</v>
      </c>
      <c r="H355">
        <v>1</v>
      </c>
      <c r="I355">
        <f t="shared" ref="I355" si="29">H355*G355/10000</f>
        <v>1.8241469247509919E-6</v>
      </c>
      <c r="J355" s="3">
        <f>1/60/60/24</f>
        <v>1.1574074074074073E-5</v>
      </c>
      <c r="K355">
        <f>5/60/60/24</f>
        <v>5.7870370370370366E-5</v>
      </c>
      <c r="L355">
        <f>12*60*12*J355</f>
        <v>9.9999999999999992E-2</v>
      </c>
      <c r="M355">
        <f>365+10</f>
        <v>375</v>
      </c>
      <c r="N355">
        <v>0</v>
      </c>
      <c r="O355">
        <v>0</v>
      </c>
      <c r="P355">
        <v>2</v>
      </c>
      <c r="Q355">
        <v>0</v>
      </c>
      <c r="S355" t="s">
        <v>601</v>
      </c>
      <c r="T355" s="112" t="s">
        <v>750</v>
      </c>
    </row>
    <row r="356" spans="1:21" ht="15.75" customHeight="1">
      <c r="A356" s="123" t="s">
        <v>258</v>
      </c>
      <c r="B356" s="114" t="s">
        <v>747</v>
      </c>
      <c r="C356" s="123">
        <v>2004</v>
      </c>
      <c r="D356" t="s">
        <v>26</v>
      </c>
      <c r="E356" s="123" t="s">
        <v>748</v>
      </c>
      <c r="F356" t="s">
        <v>749</v>
      </c>
      <c r="G356">
        <f>0.0006*3</f>
        <v>1.8E-3</v>
      </c>
      <c r="H356">
        <v>24</v>
      </c>
      <c r="I356">
        <f>H356*G356/10000</f>
        <v>4.3200000000000001E-6</v>
      </c>
      <c r="J356" s="3">
        <f>2/60/24</f>
        <v>1.3888888888888889E-3</v>
      </c>
      <c r="K356">
        <f>2.2/60/24</f>
        <v>1.5277777777777779E-3</v>
      </c>
      <c r="L356">
        <f>J356*12*10*H356</f>
        <v>4</v>
      </c>
      <c r="M356">
        <f>365+10</f>
        <v>375</v>
      </c>
      <c r="N356">
        <v>0</v>
      </c>
      <c r="O356">
        <v>0</v>
      </c>
      <c r="P356">
        <v>2</v>
      </c>
      <c r="Q356">
        <v>0</v>
      </c>
      <c r="S356" t="s">
        <v>751</v>
      </c>
      <c r="T356" s="112" t="s">
        <v>752</v>
      </c>
    </row>
    <row r="357" spans="1:21" ht="15.75" customHeight="1">
      <c r="A357" s="123" t="s">
        <v>258</v>
      </c>
      <c r="B357" s="114" t="s">
        <v>747</v>
      </c>
      <c r="C357" s="123">
        <v>2004</v>
      </c>
      <c r="D357" t="s">
        <v>26</v>
      </c>
      <c r="E357" s="123" t="s">
        <v>748</v>
      </c>
      <c r="F357" t="s">
        <v>749</v>
      </c>
      <c r="G357">
        <f>0.0006*6</f>
        <v>3.5999999999999999E-3</v>
      </c>
      <c r="H357">
        <v>24</v>
      </c>
      <c r="I357">
        <f>H357*G357/10000</f>
        <v>8.6400000000000003E-6</v>
      </c>
      <c r="J357" s="3">
        <f>5/60/24</f>
        <v>3.472222222222222E-3</v>
      </c>
      <c r="K357">
        <f>4.4/60/24</f>
        <v>3.0555555555555557E-3</v>
      </c>
      <c r="L357">
        <f>J357*6*10*H357</f>
        <v>5</v>
      </c>
      <c r="M357">
        <f>365+10</f>
        <v>375</v>
      </c>
      <c r="N357">
        <v>0</v>
      </c>
      <c r="O357">
        <v>0</v>
      </c>
      <c r="P357">
        <v>2</v>
      </c>
      <c r="Q357">
        <v>0</v>
      </c>
      <c r="S357" t="s">
        <v>751</v>
      </c>
      <c r="T357" s="112" t="s">
        <v>753</v>
      </c>
    </row>
    <row r="358" spans="1:21" s="121" customFormat="1" ht="15.75" customHeight="1">
      <c r="A358" s="120" t="s">
        <v>95</v>
      </c>
      <c r="B358" s="121" t="s">
        <v>754</v>
      </c>
      <c r="C358" s="120">
        <v>2007</v>
      </c>
      <c r="T358" s="121" t="s">
        <v>574</v>
      </c>
      <c r="U358" s="121" t="s">
        <v>579</v>
      </c>
    </row>
    <row r="359" spans="1:21" s="121" customFormat="1" ht="15.75" customHeight="1">
      <c r="A359" s="120" t="s">
        <v>269</v>
      </c>
      <c r="B359" s="121" t="s">
        <v>755</v>
      </c>
      <c r="C359" s="120">
        <v>2012</v>
      </c>
      <c r="E359" s="120"/>
      <c r="F359" s="120"/>
      <c r="T359" s="121" t="s">
        <v>574</v>
      </c>
      <c r="U359" s="121" t="s">
        <v>756</v>
      </c>
    </row>
    <row r="360" spans="1:21" s="124" customFormat="1" ht="15.75" customHeight="1">
      <c r="A360" s="126" t="s">
        <v>119</v>
      </c>
      <c r="B360" s="114" t="s">
        <v>757</v>
      </c>
      <c r="C360" s="123">
        <v>2006</v>
      </c>
      <c r="D360" s="124" t="s">
        <v>26</v>
      </c>
      <c r="E360" s="123" t="s">
        <v>309</v>
      </c>
      <c r="F360" s="123" t="s">
        <v>758</v>
      </c>
      <c r="G360" s="124">
        <f>PI()*(0.05^2)</f>
        <v>7.8539816339744835E-3</v>
      </c>
      <c r="H360" s="124">
        <v>150</v>
      </c>
      <c r="I360" s="124">
        <f>H360*G360/10000</f>
        <v>1.1780972450961724E-4</v>
      </c>
      <c r="J360" s="124">
        <v>3</v>
      </c>
      <c r="K360" s="124">
        <v>30</v>
      </c>
      <c r="L360" s="124">
        <f>J360*6</f>
        <v>18</v>
      </c>
      <c r="M360" s="124">
        <f>6*30</f>
        <v>180</v>
      </c>
      <c r="N360" s="124">
        <v>3</v>
      </c>
      <c r="O360" s="124">
        <v>2</v>
      </c>
      <c r="P360" s="124">
        <v>0</v>
      </c>
      <c r="Q360" s="124">
        <v>1</v>
      </c>
      <c r="S360" s="124" t="s">
        <v>662</v>
      </c>
      <c r="T360" s="114" t="s">
        <v>759</v>
      </c>
    </row>
    <row r="361" spans="1:21" s="124" customFormat="1" ht="15.75" customHeight="1">
      <c r="A361" s="126" t="s">
        <v>119</v>
      </c>
      <c r="B361" s="114" t="s">
        <v>757</v>
      </c>
      <c r="C361" s="123">
        <v>2006</v>
      </c>
      <c r="D361" s="124" t="s">
        <v>26</v>
      </c>
      <c r="E361" s="123" t="s">
        <v>309</v>
      </c>
      <c r="F361" s="123" t="s">
        <v>758</v>
      </c>
      <c r="G361" s="124">
        <f>PI()*(0.05^2)</f>
        <v>7.8539816339744835E-3</v>
      </c>
      <c r="H361" s="124">
        <v>250</v>
      </c>
      <c r="I361" s="124">
        <f>H361*G361/10000</f>
        <v>1.9634954084936208E-4</v>
      </c>
      <c r="J361" s="124">
        <v>5</v>
      </c>
      <c r="K361" s="124">
        <v>30</v>
      </c>
      <c r="L361" s="124">
        <f>J361*6</f>
        <v>30</v>
      </c>
      <c r="M361" s="124">
        <f>6*30</f>
        <v>180</v>
      </c>
      <c r="N361" s="124">
        <v>3</v>
      </c>
      <c r="O361" s="124">
        <v>2</v>
      </c>
      <c r="P361" s="124">
        <v>0</v>
      </c>
      <c r="Q361" s="124">
        <v>1</v>
      </c>
      <c r="S361" s="124" t="s">
        <v>662</v>
      </c>
      <c r="T361" s="124" t="s">
        <v>760</v>
      </c>
    </row>
    <row r="362" spans="1:21" s="124" customFormat="1" ht="15.75" customHeight="1">
      <c r="A362" s="126" t="s">
        <v>119</v>
      </c>
      <c r="B362" s="114" t="s">
        <v>757</v>
      </c>
      <c r="C362" s="123">
        <v>2006</v>
      </c>
      <c r="D362" s="124" t="s">
        <v>26</v>
      </c>
      <c r="E362" s="123" t="s">
        <v>309</v>
      </c>
      <c r="F362" s="123" t="s">
        <v>758</v>
      </c>
      <c r="G362" s="124">
        <f>PI()*(0.05^2)</f>
        <v>7.8539816339744835E-3</v>
      </c>
      <c r="H362" s="124">
        <v>72</v>
      </c>
      <c r="I362" s="124">
        <f>H362*G362/10000</f>
        <v>5.6548667764616282E-5</v>
      </c>
      <c r="J362" s="124">
        <v>5</v>
      </c>
      <c r="K362" s="124">
        <v>30</v>
      </c>
      <c r="L362" s="124">
        <f>J362*6</f>
        <v>30</v>
      </c>
      <c r="M362" s="124">
        <f>6*30</f>
        <v>180</v>
      </c>
      <c r="N362" s="124">
        <v>3</v>
      </c>
      <c r="O362" s="124">
        <v>2</v>
      </c>
      <c r="P362" s="124">
        <v>0</v>
      </c>
      <c r="Q362" s="124">
        <v>1</v>
      </c>
      <c r="S362" s="124" t="s">
        <v>601</v>
      </c>
      <c r="T362" s="124" t="s">
        <v>760</v>
      </c>
    </row>
    <row r="363" spans="1:21" s="124" customFormat="1" ht="15.75" customHeight="1">
      <c r="A363" s="126" t="s">
        <v>119</v>
      </c>
      <c r="B363" s="114" t="s">
        <v>757</v>
      </c>
      <c r="C363" s="123">
        <v>2006</v>
      </c>
      <c r="D363" s="124" t="s">
        <v>26</v>
      </c>
      <c r="E363" s="123" t="s">
        <v>309</v>
      </c>
      <c r="F363" s="123" t="s">
        <v>758</v>
      </c>
      <c r="G363" s="124">
        <f>5*5</f>
        <v>25</v>
      </c>
      <c r="H363" s="124">
        <v>10</v>
      </c>
      <c r="I363" s="124">
        <f>H363*G363/10000</f>
        <v>2.5000000000000001E-2</v>
      </c>
      <c r="J363" s="124">
        <v>3</v>
      </c>
      <c r="K363" s="124">
        <v>0</v>
      </c>
      <c r="L363" s="124">
        <f>J363*H363</f>
        <v>30</v>
      </c>
      <c r="M363" s="124">
        <v>30</v>
      </c>
      <c r="N363" s="124">
        <v>3</v>
      </c>
      <c r="O363" s="124">
        <v>1</v>
      </c>
      <c r="P363" s="124">
        <v>2</v>
      </c>
      <c r="Q363" s="124">
        <v>1</v>
      </c>
      <c r="S363" s="124" t="s">
        <v>601</v>
      </c>
      <c r="T363" s="124" t="s">
        <v>761</v>
      </c>
    </row>
    <row r="364" spans="1:21" s="121" customFormat="1" ht="15.75" customHeight="1">
      <c r="A364" s="120" t="s">
        <v>93</v>
      </c>
      <c r="B364" s="121" t="s">
        <v>762</v>
      </c>
      <c r="C364" s="120">
        <v>2006</v>
      </c>
      <c r="T364" s="121" t="s">
        <v>574</v>
      </c>
      <c r="U364" s="121" t="s">
        <v>575</v>
      </c>
    </row>
    <row r="365" spans="1:21" s="121" customFormat="1" ht="15.75" customHeight="1">
      <c r="A365" s="120" t="s">
        <v>50</v>
      </c>
      <c r="B365" s="121" t="s">
        <v>763</v>
      </c>
      <c r="C365" s="120">
        <v>2012</v>
      </c>
      <c r="T365" s="121" t="s">
        <v>574</v>
      </c>
      <c r="U365" s="121" t="s">
        <v>591</v>
      </c>
    </row>
    <row r="366" spans="1:21" s="121" customFormat="1" ht="15.75" customHeight="1">
      <c r="A366" s="120" t="s">
        <v>149</v>
      </c>
      <c r="B366" s="121" t="s">
        <v>764</v>
      </c>
      <c r="C366" s="120">
        <v>2012</v>
      </c>
      <c r="T366" s="121" t="s">
        <v>574</v>
      </c>
      <c r="U366" s="121" t="s">
        <v>575</v>
      </c>
    </row>
    <row r="367" spans="1:21" s="121" customFormat="1" ht="15.75" customHeight="1">
      <c r="A367" s="120" t="s">
        <v>119</v>
      </c>
      <c r="B367" s="121" t="s">
        <v>765</v>
      </c>
      <c r="C367" s="120">
        <v>2008</v>
      </c>
      <c r="T367" s="121" t="s">
        <v>574</v>
      </c>
      <c r="U367" s="121" t="s">
        <v>575</v>
      </c>
    </row>
    <row r="368" spans="1:21" s="121" customFormat="1" ht="15.75" customHeight="1">
      <c r="A368" s="120" t="s">
        <v>269</v>
      </c>
      <c r="B368" s="121" t="s">
        <v>766</v>
      </c>
      <c r="C368" s="120">
        <v>2007</v>
      </c>
      <c r="T368" s="121" t="s">
        <v>574</v>
      </c>
      <c r="U368" s="121" t="s">
        <v>613</v>
      </c>
    </row>
    <row r="369" spans="1:30" s="124" customFormat="1" ht="15.75" customHeight="1">
      <c r="A369" s="123" t="s">
        <v>313</v>
      </c>
      <c r="B369" s="114" t="s">
        <v>767</v>
      </c>
      <c r="C369" s="123">
        <v>2010</v>
      </c>
      <c r="D369" s="124" t="s">
        <v>26</v>
      </c>
      <c r="E369" s="124" t="s">
        <v>768</v>
      </c>
      <c r="F369" s="124" t="s">
        <v>769</v>
      </c>
      <c r="G369" s="124">
        <f>0.07*(0.07/3)</f>
        <v>1.6333333333333336E-3</v>
      </c>
      <c r="H369" s="124">
        <v>799</v>
      </c>
      <c r="I369" s="124">
        <f>H369*G369/10000</f>
        <v>1.3050333333333334E-4</v>
      </c>
      <c r="J369" s="124">
        <f>5/60/24</f>
        <v>3.472222222222222E-3</v>
      </c>
      <c r="K369" s="124">
        <v>0</v>
      </c>
      <c r="L369" s="124">
        <f>J369*799</f>
        <v>2.7743055555555554</v>
      </c>
      <c r="M369" s="124">
        <f>L369</f>
        <v>2.7743055555555554</v>
      </c>
      <c r="N369" s="124">
        <v>0</v>
      </c>
      <c r="O369" s="124">
        <v>3</v>
      </c>
      <c r="P369" s="124">
        <v>0</v>
      </c>
      <c r="Q369" s="124">
        <v>1</v>
      </c>
      <c r="S369" s="124" t="s">
        <v>699</v>
      </c>
      <c r="T369" s="114" t="s">
        <v>770</v>
      </c>
    </row>
    <row r="370" spans="1:30" s="121" customFormat="1" ht="15.75" customHeight="1">
      <c r="A370" s="120" t="s">
        <v>50</v>
      </c>
      <c r="B370" s="121" t="s">
        <v>771</v>
      </c>
      <c r="C370" s="120">
        <v>2012</v>
      </c>
      <c r="T370" s="121" t="s">
        <v>574</v>
      </c>
      <c r="U370" s="121" t="s">
        <v>613</v>
      </c>
    </row>
    <row r="371" spans="1:30" s="119" customFormat="1" ht="15.75" customHeight="1">
      <c r="A371" s="120" t="s">
        <v>50</v>
      </c>
      <c r="B371" s="121" t="s">
        <v>772</v>
      </c>
      <c r="C371" s="120">
        <v>2009</v>
      </c>
      <c r="T371" s="121" t="s">
        <v>574</v>
      </c>
      <c r="U371" s="121" t="s">
        <v>613</v>
      </c>
    </row>
    <row r="372" spans="1:30" s="121" customFormat="1" ht="15.75" customHeight="1">
      <c r="A372" s="120" t="s">
        <v>773</v>
      </c>
      <c r="B372" s="121" t="s">
        <v>774</v>
      </c>
      <c r="C372" s="120">
        <v>2010</v>
      </c>
      <c r="T372" s="121" t="s">
        <v>574</v>
      </c>
      <c r="U372" s="121" t="s">
        <v>591</v>
      </c>
    </row>
    <row r="373" spans="1:30" s="114" customFormat="1" ht="15.75" customHeight="1">
      <c r="A373" s="126" t="s">
        <v>775</v>
      </c>
      <c r="B373" s="114" t="s">
        <v>776</v>
      </c>
      <c r="C373" s="126">
        <v>2014</v>
      </c>
      <c r="D373" s="114" t="s">
        <v>26</v>
      </c>
      <c r="E373" s="126" t="s">
        <v>777</v>
      </c>
      <c r="F373" s="114" t="s">
        <v>778</v>
      </c>
      <c r="G373" s="114">
        <f>PI()*(0.4^2)*10</f>
        <v>5.026548245743669</v>
      </c>
      <c r="H373" s="114">
        <v>12</v>
      </c>
      <c r="I373" s="114">
        <f>H373*G373/10000</f>
        <v>6.0318578948924031E-3</v>
      </c>
      <c r="J373" s="114">
        <v>1</v>
      </c>
      <c r="K373" s="114">
        <f>(18*30)/8</f>
        <v>67.5</v>
      </c>
      <c r="L373" s="114">
        <f>J373*H373*2</f>
        <v>24</v>
      </c>
      <c r="M373" s="114">
        <f>365+30*4</f>
        <v>485</v>
      </c>
      <c r="N373" s="114">
        <v>3</v>
      </c>
      <c r="O373" s="114">
        <v>2</v>
      </c>
      <c r="P373" s="114">
        <v>0</v>
      </c>
      <c r="Q373" s="114">
        <v>1</v>
      </c>
      <c r="S373" s="114" t="s">
        <v>586</v>
      </c>
      <c r="T373" s="114" t="s">
        <v>779</v>
      </c>
    </row>
    <row r="374" spans="1:30" s="114" customFormat="1" ht="15.75" customHeight="1">
      <c r="A374" s="126" t="s">
        <v>775</v>
      </c>
      <c r="B374" s="114" t="s">
        <v>776</v>
      </c>
      <c r="C374" s="126">
        <v>2014</v>
      </c>
      <c r="D374" s="114" t="s">
        <v>26</v>
      </c>
      <c r="E374" s="126" t="s">
        <v>777</v>
      </c>
      <c r="F374" s="114" t="s">
        <v>778</v>
      </c>
      <c r="G374" s="114">
        <f>0.076*0.127*12</f>
        <v>0.11582399999999998</v>
      </c>
      <c r="H374" s="114">
        <v>12</v>
      </c>
      <c r="I374" s="114">
        <f>H374*G374/10000</f>
        <v>1.3898879999999997E-4</v>
      </c>
      <c r="J374" s="114">
        <v>7</v>
      </c>
      <c r="K374" s="114">
        <f>(18*30)/8</f>
        <v>67.5</v>
      </c>
      <c r="L374" s="114">
        <f>J374*H374*2</f>
        <v>168</v>
      </c>
      <c r="M374" s="114">
        <f>365+30*4</f>
        <v>485</v>
      </c>
      <c r="N374" s="114">
        <v>3</v>
      </c>
      <c r="O374" s="114">
        <v>2</v>
      </c>
      <c r="P374" s="114">
        <v>0</v>
      </c>
      <c r="Q374" s="114">
        <v>1</v>
      </c>
      <c r="S374" s="114" t="s">
        <v>751</v>
      </c>
      <c r="T374" s="114" t="s">
        <v>780</v>
      </c>
    </row>
    <row r="375" spans="1:30" s="114" customFormat="1" ht="15.75" customHeight="1">
      <c r="A375" s="126" t="s">
        <v>775</v>
      </c>
      <c r="B375" s="114" t="s">
        <v>776</v>
      </c>
      <c r="C375" s="126">
        <v>2014</v>
      </c>
      <c r="D375" s="114" t="s">
        <v>26</v>
      </c>
      <c r="E375" s="126" t="s">
        <v>777</v>
      </c>
      <c r="F375" s="114" t="s">
        <v>778</v>
      </c>
      <c r="G375" s="114">
        <f>(0.04*0.01*30*3)</f>
        <v>3.6000000000000004E-2</v>
      </c>
      <c r="H375" s="114">
        <v>12</v>
      </c>
      <c r="I375" s="114">
        <f>H375*G375/10000</f>
        <v>4.3200000000000007E-5</v>
      </c>
      <c r="J375" s="114">
        <v>1</v>
      </c>
      <c r="K375" s="114">
        <v>0</v>
      </c>
      <c r="L375" s="114">
        <f>J375*H375*2</f>
        <v>24</v>
      </c>
      <c r="M375" s="114">
        <f>365+30*4</f>
        <v>485</v>
      </c>
      <c r="N375" s="114">
        <v>3</v>
      </c>
      <c r="O375" s="114">
        <v>1</v>
      </c>
      <c r="P375" s="114">
        <v>0</v>
      </c>
      <c r="Q375" s="114">
        <v>1</v>
      </c>
      <c r="S375" s="114" t="s">
        <v>588</v>
      </c>
      <c r="T375" s="114" t="s">
        <v>781</v>
      </c>
    </row>
    <row r="376" spans="1:30" s="114" customFormat="1" ht="15.75" customHeight="1">
      <c r="A376" s="126" t="s">
        <v>775</v>
      </c>
      <c r="B376" s="114" t="s">
        <v>776</v>
      </c>
      <c r="C376" s="126">
        <v>2014</v>
      </c>
      <c r="D376" s="114" t="s">
        <v>26</v>
      </c>
      <c r="E376" s="126" t="s">
        <v>777</v>
      </c>
      <c r="F376" s="114" t="s">
        <v>778</v>
      </c>
      <c r="G376" s="114">
        <f>0.08*0.04*2</f>
        <v>6.4000000000000003E-3</v>
      </c>
      <c r="H376" s="114">
        <v>12</v>
      </c>
      <c r="I376" s="114">
        <f>H376*G376/10000</f>
        <v>7.680000000000001E-6</v>
      </c>
      <c r="J376" s="114">
        <v>1</v>
      </c>
      <c r="K376" s="114">
        <v>0</v>
      </c>
      <c r="L376" s="114">
        <f>J376*H376*2</f>
        <v>24</v>
      </c>
      <c r="M376" s="114">
        <f>365+30*4</f>
        <v>485</v>
      </c>
      <c r="N376" s="114">
        <v>3</v>
      </c>
      <c r="O376" s="114">
        <v>1</v>
      </c>
      <c r="P376" s="114">
        <v>0</v>
      </c>
      <c r="Q376" s="114">
        <v>1</v>
      </c>
      <c r="S376" s="114" t="s">
        <v>588</v>
      </c>
      <c r="T376" s="114" t="s">
        <v>782</v>
      </c>
    </row>
    <row r="377" spans="1:30" s="114" customFormat="1" ht="15.75" customHeight="1">
      <c r="A377" s="126" t="s">
        <v>775</v>
      </c>
      <c r="B377" s="114" t="s">
        <v>776</v>
      </c>
      <c r="C377" s="126">
        <v>2014</v>
      </c>
      <c r="D377" s="114" t="s">
        <v>290</v>
      </c>
      <c r="E377" s="126" t="s">
        <v>777</v>
      </c>
      <c r="F377" s="114" t="s">
        <v>778</v>
      </c>
      <c r="G377" s="114">
        <v>1</v>
      </c>
      <c r="H377" s="114">
        <f>7068584*12</f>
        <v>84823008</v>
      </c>
      <c r="I377" s="114">
        <f>H377*G377/10000</f>
        <v>8482.3008000000009</v>
      </c>
      <c r="J377" s="3">
        <f>1/60/60/24</f>
        <v>1.1574074074074073E-5</v>
      </c>
      <c r="K377" s="114">
        <v>0</v>
      </c>
      <c r="L377" s="3">
        <f>1/60/60/24</f>
        <v>1.1574074074074073E-5</v>
      </c>
      <c r="M377" s="114">
        <v>1</v>
      </c>
      <c r="N377" s="114">
        <v>1</v>
      </c>
      <c r="O377" s="114">
        <v>0</v>
      </c>
      <c r="P377" s="114">
        <v>0</v>
      </c>
      <c r="Q377" s="114">
        <v>0</v>
      </c>
      <c r="S377" s="114" t="s">
        <v>783</v>
      </c>
      <c r="T377" s="114" t="s">
        <v>784</v>
      </c>
    </row>
    <row r="378" spans="1:30" s="121" customFormat="1" ht="15.75" customHeight="1">
      <c r="A378" s="120" t="s">
        <v>785</v>
      </c>
      <c r="B378" s="121" t="s">
        <v>786</v>
      </c>
      <c r="C378" s="120">
        <v>2013</v>
      </c>
      <c r="T378" s="121" t="s">
        <v>574</v>
      </c>
      <c r="U378" s="121" t="s">
        <v>787</v>
      </c>
    </row>
    <row r="379" spans="1:30" s="121" customFormat="1" ht="15.75" customHeight="1">
      <c r="A379" s="120" t="s">
        <v>788</v>
      </c>
      <c r="B379" s="121" t="s">
        <v>789</v>
      </c>
      <c r="C379" s="120">
        <v>2012</v>
      </c>
      <c r="T379" s="121" t="s">
        <v>574</v>
      </c>
      <c r="U379" s="121" t="s">
        <v>581</v>
      </c>
    </row>
    <row r="380" spans="1:30" ht="15.75" customHeight="1">
      <c r="A380" s="126" t="s">
        <v>119</v>
      </c>
      <c r="B380" s="114" t="s">
        <v>790</v>
      </c>
      <c r="C380" s="126">
        <v>2006</v>
      </c>
      <c r="D380" s="114" t="s">
        <v>26</v>
      </c>
      <c r="E380" s="126" t="s">
        <v>791</v>
      </c>
      <c r="F380" s="114" t="s">
        <v>792</v>
      </c>
      <c r="G380">
        <f>0.5*0.5</f>
        <v>0.25</v>
      </c>
      <c r="H380">
        <v>12</v>
      </c>
      <c r="I380">
        <f>H380*G380/10000</f>
        <v>2.9999999999999997E-4</v>
      </c>
      <c r="J380">
        <v>1</v>
      </c>
      <c r="K380" s="114">
        <v>14</v>
      </c>
      <c r="L380">
        <f>J380*H380*2</f>
        <v>24</v>
      </c>
      <c r="M380">
        <f>365*2</f>
        <v>730</v>
      </c>
      <c r="N380">
        <v>3</v>
      </c>
      <c r="O380" s="114">
        <v>2</v>
      </c>
      <c r="P380" s="114">
        <v>1</v>
      </c>
      <c r="Q380" s="114">
        <v>1</v>
      </c>
      <c r="S380" t="s">
        <v>793</v>
      </c>
      <c r="T380" t="s">
        <v>794</v>
      </c>
    </row>
    <row r="381" spans="1:30" ht="15.75" customHeight="1">
      <c r="A381" t="s">
        <v>95</v>
      </c>
      <c r="B381" t="s">
        <v>795</v>
      </c>
      <c r="C381">
        <v>2003</v>
      </c>
      <c r="D381" t="s">
        <v>26</v>
      </c>
      <c r="E381" t="s">
        <v>796</v>
      </c>
      <c r="F381" t="s">
        <v>797</v>
      </c>
      <c r="G381">
        <v>8000</v>
      </c>
      <c r="H381">
        <v>1</v>
      </c>
      <c r="I381">
        <f>G381/10000</f>
        <v>0.8</v>
      </c>
      <c r="J381">
        <f>8/24</f>
        <v>0.33333333333333331</v>
      </c>
      <c r="K381">
        <v>4</v>
      </c>
      <c r="L381">
        <f>J381*8</f>
        <v>2.6666666666666665</v>
      </c>
      <c r="M381">
        <f>28</f>
        <v>28</v>
      </c>
      <c r="N381">
        <v>3</v>
      </c>
      <c r="O381">
        <v>2</v>
      </c>
      <c r="P381">
        <v>0</v>
      </c>
      <c r="Q381">
        <v>0</v>
      </c>
      <c r="S381" t="s">
        <v>798</v>
      </c>
      <c r="T381" t="s">
        <v>799</v>
      </c>
    </row>
    <row r="382" spans="1:30" ht="15.75" customHeight="1">
      <c r="A382" t="s">
        <v>95</v>
      </c>
      <c r="B382" t="s">
        <v>795</v>
      </c>
      <c r="C382">
        <v>2003</v>
      </c>
      <c r="D382" t="s">
        <v>26</v>
      </c>
      <c r="E382" t="s">
        <v>796</v>
      </c>
      <c r="F382" t="s">
        <v>797</v>
      </c>
      <c r="G382">
        <f>PI()*((0.008/2)^2)</f>
        <v>5.0265482457436686E-5</v>
      </c>
      <c r="H382">
        <v>1</v>
      </c>
      <c r="I382">
        <f>G382/10000</f>
        <v>5.0265482457436686E-9</v>
      </c>
      <c r="J382" s="3">
        <f>1/60/60/24</f>
        <v>1.1574074074074073E-5</v>
      </c>
      <c r="K382">
        <f>28/26</f>
        <v>1.0769230769230769</v>
      </c>
      <c r="L382">
        <f>J382*26</f>
        <v>3.0092592592592589E-4</v>
      </c>
      <c r="M382">
        <f>28</f>
        <v>28</v>
      </c>
      <c r="N382">
        <v>0</v>
      </c>
      <c r="O382">
        <v>0</v>
      </c>
      <c r="P382">
        <v>1</v>
      </c>
      <c r="Q382">
        <v>0</v>
      </c>
      <c r="S382" t="s">
        <v>588</v>
      </c>
      <c r="T382" t="s">
        <v>800</v>
      </c>
    </row>
    <row r="383" spans="1:30" ht="12" customHeight="1">
      <c r="A383" s="17" t="s">
        <v>278</v>
      </c>
      <c r="B383" s="3" t="s">
        <v>801</v>
      </c>
      <c r="C383" s="3">
        <v>2013</v>
      </c>
      <c r="D383" s="17" t="s">
        <v>802</v>
      </c>
      <c r="E383" s="17" t="s">
        <v>803</v>
      </c>
      <c r="F383" s="17" t="s">
        <v>804</v>
      </c>
      <c r="G383" s="3">
        <f>0.6^2</f>
        <v>0.36</v>
      </c>
      <c r="H383" s="3">
        <f>4*6+4</f>
        <v>28</v>
      </c>
      <c r="I383" s="131">
        <f>(G383*H383)/10000</f>
        <v>1.008E-3</v>
      </c>
      <c r="J383" s="3">
        <f>20/(60*24)</f>
        <v>1.3888888888888888E-2</v>
      </c>
      <c r="K383" s="3">
        <f>(14+21)/2</f>
        <v>17.5</v>
      </c>
      <c r="L383">
        <f>(152/K383)*J383*3</f>
        <v>0.36190476190476184</v>
      </c>
      <c r="M383" s="3">
        <f>365*3</f>
        <v>1095</v>
      </c>
      <c r="N383" s="17">
        <v>0</v>
      </c>
      <c r="O383" s="3">
        <v>0</v>
      </c>
      <c r="P383" s="3">
        <v>2</v>
      </c>
      <c r="Q383" s="3">
        <v>0</v>
      </c>
      <c r="R383" s="3"/>
      <c r="S383" s="3"/>
      <c r="T383" s="17" t="s">
        <v>805</v>
      </c>
      <c r="U383" s="3"/>
      <c r="V383" s="3"/>
      <c r="W383" s="3"/>
      <c r="X383" s="3"/>
      <c r="Y383" s="3"/>
      <c r="Z383" s="3"/>
      <c r="AA383" s="3"/>
      <c r="AB383" s="3"/>
      <c r="AC383" s="3"/>
      <c r="AD383" s="3"/>
    </row>
    <row r="384" spans="1:30" ht="12" customHeight="1">
      <c r="A384" s="17" t="s">
        <v>278</v>
      </c>
      <c r="B384" s="3" t="s">
        <v>801</v>
      </c>
      <c r="C384" s="3">
        <v>2013</v>
      </c>
      <c r="D384" s="17" t="s">
        <v>802</v>
      </c>
      <c r="E384" s="17" t="s">
        <v>803</v>
      </c>
      <c r="F384" s="17" t="s">
        <v>804</v>
      </c>
      <c r="G384" s="3">
        <f>PI()*0.05^2</f>
        <v>7.8539816339744835E-3</v>
      </c>
      <c r="H384" s="3">
        <f>4*6+4</f>
        <v>28</v>
      </c>
      <c r="I384" s="131">
        <f>(G384*H384)/10000</f>
        <v>2.1991148575128556E-5</v>
      </c>
      <c r="J384" s="3">
        <f>20/(60*24)</f>
        <v>1.3888888888888888E-2</v>
      </c>
      <c r="K384" s="3">
        <f>(14+21)/2</f>
        <v>17.5</v>
      </c>
      <c r="L384">
        <f>(152/K384)*J384*3</f>
        <v>0.36190476190476184</v>
      </c>
      <c r="M384" s="3">
        <f>365*3</f>
        <v>1095</v>
      </c>
      <c r="N384" s="17">
        <v>0</v>
      </c>
      <c r="O384" s="3">
        <v>0</v>
      </c>
      <c r="P384" s="3">
        <v>1</v>
      </c>
      <c r="Q384" s="3">
        <v>0</v>
      </c>
      <c r="R384" s="3"/>
      <c r="S384" s="17" t="s">
        <v>412</v>
      </c>
      <c r="T384" s="17" t="s">
        <v>806</v>
      </c>
      <c r="U384" s="3"/>
      <c r="V384" s="3"/>
      <c r="W384" s="3"/>
      <c r="X384" s="3"/>
      <c r="Y384" s="3"/>
      <c r="Z384" s="3"/>
      <c r="AA384" s="3"/>
      <c r="AB384" s="3"/>
      <c r="AC384" s="3"/>
      <c r="AD384" s="3"/>
    </row>
    <row r="385" spans="1:30" ht="12" customHeight="1">
      <c r="A385" s="17" t="s">
        <v>278</v>
      </c>
      <c r="B385" s="3" t="s">
        <v>801</v>
      </c>
      <c r="C385" s="3">
        <v>2013</v>
      </c>
      <c r="D385" s="17" t="s">
        <v>802</v>
      </c>
      <c r="E385" s="17" t="s">
        <v>803</v>
      </c>
      <c r="F385" s="17" t="s">
        <v>804</v>
      </c>
      <c r="G385" s="3">
        <f>PI()*0.005^2</f>
        <v>7.8539816339744827E-5</v>
      </c>
      <c r="H385" s="3">
        <f>4*6+4</f>
        <v>28</v>
      </c>
      <c r="I385" s="131">
        <f>(G385*H385)/10000</f>
        <v>2.1991148575128554E-7</v>
      </c>
      <c r="J385" s="3">
        <f>20/(60*24)</f>
        <v>1.3888888888888888E-2</v>
      </c>
      <c r="K385" s="3">
        <f>(14+21)/2</f>
        <v>17.5</v>
      </c>
      <c r="L385">
        <f>(152/K385)*J385*3</f>
        <v>0.36190476190476184</v>
      </c>
      <c r="M385" s="3">
        <f>365*3</f>
        <v>1095</v>
      </c>
      <c r="N385" s="17">
        <v>0</v>
      </c>
      <c r="O385" s="3">
        <v>0</v>
      </c>
      <c r="P385" s="3">
        <v>1</v>
      </c>
      <c r="Q385" s="3">
        <v>0</v>
      </c>
      <c r="R385" s="3"/>
      <c r="S385" s="17" t="s">
        <v>412</v>
      </c>
      <c r="T385" s="17" t="s">
        <v>807</v>
      </c>
      <c r="U385" s="3"/>
      <c r="V385" s="3"/>
      <c r="W385" s="3"/>
      <c r="X385" s="3"/>
      <c r="Y385" s="3"/>
      <c r="Z385" s="3"/>
      <c r="AA385" s="3"/>
      <c r="AB385" s="3"/>
      <c r="AC385" s="3"/>
      <c r="AD385" s="3"/>
    </row>
    <row r="386" spans="1:30" ht="12" customHeight="1">
      <c r="A386" s="17" t="s">
        <v>278</v>
      </c>
      <c r="B386" s="3" t="s">
        <v>801</v>
      </c>
      <c r="C386" s="3">
        <v>2013</v>
      </c>
      <c r="D386" s="17" t="s">
        <v>802</v>
      </c>
      <c r="E386" s="17" t="s">
        <v>803</v>
      </c>
      <c r="F386" s="17" t="s">
        <v>804</v>
      </c>
      <c r="G386" s="3">
        <f>G385</f>
        <v>7.8539816339744827E-5</v>
      </c>
      <c r="H386" s="3">
        <f>2*3</f>
        <v>6</v>
      </c>
      <c r="I386" s="131">
        <f>(G386*H386)/10000</f>
        <v>4.71238898038469E-8</v>
      </c>
      <c r="J386" s="3">
        <f>(1/60)/(60*24)</f>
        <v>1.1574074074074073E-5</v>
      </c>
      <c r="K386" s="3">
        <f>30/(60*24)</f>
        <v>2.0833333333333332E-2</v>
      </c>
      <c r="L386">
        <f>(152/K386)*J386*3</f>
        <v>0.25333333333333335</v>
      </c>
      <c r="M386" s="3">
        <f>365*3</f>
        <v>1095</v>
      </c>
      <c r="N386" s="3">
        <v>0</v>
      </c>
      <c r="O386" s="3">
        <v>0</v>
      </c>
      <c r="P386" s="3">
        <v>0</v>
      </c>
      <c r="Q386" s="3">
        <v>0</v>
      </c>
      <c r="R386" s="3"/>
      <c r="S386" s="17" t="s">
        <v>420</v>
      </c>
      <c r="T386" s="17" t="s">
        <v>808</v>
      </c>
      <c r="U386" s="3"/>
      <c r="V386" s="3"/>
      <c r="W386" s="3"/>
      <c r="X386" s="3"/>
      <c r="Y386" s="3"/>
      <c r="Z386" s="3"/>
      <c r="AA386" s="3"/>
      <c r="AB386" s="3"/>
      <c r="AC386" s="3"/>
      <c r="AD386" s="3"/>
    </row>
    <row r="387" spans="1:30" ht="12" customHeight="1">
      <c r="A387" s="17" t="s">
        <v>278</v>
      </c>
      <c r="B387" s="3" t="s">
        <v>801</v>
      </c>
      <c r="C387" s="3">
        <v>2013</v>
      </c>
      <c r="D387" s="17" t="s">
        <v>802</v>
      </c>
      <c r="E387" s="17" t="s">
        <v>803</v>
      </c>
      <c r="F387" s="17" t="s">
        <v>804</v>
      </c>
      <c r="G387" s="3">
        <f>PI()*0.05^2</f>
        <v>7.8539816339744835E-3</v>
      </c>
      <c r="H387" s="3">
        <f>(5*8*5)+4*5</f>
        <v>220</v>
      </c>
      <c r="I387" s="131">
        <f>(G387*H387)/10000</f>
        <v>1.7278759594743865E-4</v>
      </c>
      <c r="J387" s="3">
        <f>4*7</f>
        <v>28</v>
      </c>
      <c r="K387" s="131">
        <f>AVERAGE(DATE(2010, 10, 1)-DATE(2010, 6, 1), DATE(2011, 6, 1)-DATE(2010, 10, 1))</f>
        <v>182.5</v>
      </c>
      <c r="L387">
        <f>J387*3</f>
        <v>84</v>
      </c>
      <c r="M387" s="3">
        <f>365*3</f>
        <v>1095</v>
      </c>
      <c r="N387" s="3">
        <v>3</v>
      </c>
      <c r="O387" s="3">
        <v>0</v>
      </c>
      <c r="P387" s="3">
        <v>1</v>
      </c>
      <c r="Q387" s="3">
        <v>2</v>
      </c>
      <c r="R387" s="3"/>
      <c r="S387" s="17" t="s">
        <v>809</v>
      </c>
      <c r="T387" s="17" t="s">
        <v>810</v>
      </c>
      <c r="U387" s="3"/>
      <c r="V387" s="3"/>
      <c r="W387" s="3"/>
      <c r="X387" s="3"/>
      <c r="Y387" s="3"/>
      <c r="Z387" s="3"/>
      <c r="AA387" s="3"/>
      <c r="AB387" s="3"/>
      <c r="AC387" s="3"/>
      <c r="AD387" s="3"/>
    </row>
    <row r="388" spans="1:30" s="135" customFormat="1" ht="12" customHeight="1">
      <c r="A388" s="132" t="s">
        <v>269</v>
      </c>
      <c r="B388" s="133" t="s">
        <v>811</v>
      </c>
      <c r="C388" s="133">
        <v>2013</v>
      </c>
      <c r="D388" s="132"/>
      <c r="E388" s="132"/>
      <c r="F388" s="132"/>
      <c r="G388" s="133"/>
      <c r="H388" s="133"/>
      <c r="I388" s="134"/>
      <c r="J388" s="133"/>
      <c r="K388" s="133"/>
      <c r="L388" s="133"/>
      <c r="M388" s="133"/>
      <c r="N388" s="133"/>
      <c r="O388" s="133"/>
      <c r="P388" s="133"/>
      <c r="Q388" s="133"/>
      <c r="R388" s="133"/>
      <c r="S388" s="133"/>
      <c r="T388" s="132" t="s">
        <v>812</v>
      </c>
      <c r="U388" s="132" t="s">
        <v>813</v>
      </c>
      <c r="V388" s="133"/>
      <c r="W388" s="133"/>
      <c r="X388" s="133"/>
      <c r="Y388" s="133"/>
      <c r="Z388" s="133"/>
      <c r="AA388" s="133"/>
      <c r="AB388" s="133"/>
      <c r="AC388" s="133"/>
      <c r="AD388" s="133"/>
    </row>
    <row r="389" spans="1:30" ht="12" customHeight="1">
      <c r="A389" s="17" t="s">
        <v>814</v>
      </c>
      <c r="B389" s="3" t="s">
        <v>815</v>
      </c>
      <c r="C389" s="3">
        <v>2014</v>
      </c>
      <c r="D389" s="17" t="s">
        <v>351</v>
      </c>
      <c r="E389" s="17" t="s">
        <v>816</v>
      </c>
      <c r="F389" s="17" t="s">
        <v>817</v>
      </c>
      <c r="G389" s="3">
        <f>PI()*0.03^2</f>
        <v>2.8274333882308137E-3</v>
      </c>
      <c r="H389" s="136">
        <v>36</v>
      </c>
      <c r="I389" s="137">
        <v>0</v>
      </c>
      <c r="J389" s="138">
        <v>5.7870400000000001E-5</v>
      </c>
      <c r="K389" s="5">
        <v>6.9444400000000001E-4</v>
      </c>
      <c r="L389" s="136">
        <f>130*J389</f>
        <v>7.523152E-3</v>
      </c>
      <c r="M389" s="3">
        <f>DATE(2008, 7, 14)-DATE(2007, 6, 2)</f>
        <v>408</v>
      </c>
      <c r="N389" s="3">
        <v>2</v>
      </c>
      <c r="O389" s="3">
        <v>0</v>
      </c>
      <c r="P389" s="3">
        <v>2</v>
      </c>
      <c r="Q389" s="3">
        <v>1</v>
      </c>
      <c r="R389" s="3"/>
      <c r="S389" s="17" t="s">
        <v>818</v>
      </c>
      <c r="T389" s="17" t="s">
        <v>819</v>
      </c>
      <c r="U389" s="3"/>
      <c r="V389" s="3"/>
      <c r="W389" s="3"/>
      <c r="X389" s="3"/>
      <c r="Y389" s="3"/>
      <c r="Z389" s="3"/>
      <c r="AA389" s="3"/>
      <c r="AB389" s="3"/>
      <c r="AC389" s="3"/>
      <c r="AD389" s="3"/>
    </row>
    <row r="390" spans="1:30" ht="12" customHeight="1">
      <c r="A390" s="17" t="s">
        <v>814</v>
      </c>
      <c r="B390" s="3" t="s">
        <v>815</v>
      </c>
      <c r="C390" s="3">
        <v>2014</v>
      </c>
      <c r="D390" s="17" t="s">
        <v>351</v>
      </c>
      <c r="E390" s="17" t="s">
        <v>816</v>
      </c>
      <c r="F390" s="17" t="s">
        <v>817</v>
      </c>
      <c r="G390" s="3">
        <f>PI()*0.03^2</f>
        <v>2.8274333882308137E-3</v>
      </c>
      <c r="H390" s="3">
        <v>108</v>
      </c>
      <c r="I390" s="131">
        <f>(G390*H390)/10000</f>
        <v>3.0536280592892786E-5</v>
      </c>
      <c r="J390" s="3">
        <f>60/(60*60*24)</f>
        <v>6.9444444444444447E-4</v>
      </c>
      <c r="K390" s="3">
        <v>0</v>
      </c>
      <c r="L390" s="139">
        <f>J390</f>
        <v>6.9444444444444447E-4</v>
      </c>
      <c r="M390" s="3">
        <v>1</v>
      </c>
      <c r="N390" s="3">
        <v>0</v>
      </c>
      <c r="O390" s="3">
        <v>0</v>
      </c>
      <c r="P390" s="3">
        <v>1</v>
      </c>
      <c r="Q390" s="3">
        <v>1</v>
      </c>
      <c r="R390" s="3"/>
      <c r="S390" s="17" t="s">
        <v>383</v>
      </c>
      <c r="T390" s="17" t="s">
        <v>820</v>
      </c>
      <c r="U390" s="3"/>
      <c r="V390" s="3"/>
      <c r="W390" s="3"/>
      <c r="X390" s="3"/>
      <c r="Y390" s="3"/>
      <c r="Z390" s="3"/>
      <c r="AA390" s="3"/>
      <c r="AB390" s="3"/>
      <c r="AC390" s="3"/>
      <c r="AD390" s="3"/>
    </row>
    <row r="391" spans="1:30" ht="12" customHeight="1">
      <c r="A391" s="17" t="s">
        <v>95</v>
      </c>
      <c r="B391" s="17" t="s">
        <v>821</v>
      </c>
      <c r="C391" s="3">
        <v>2005</v>
      </c>
      <c r="D391" s="17" t="s">
        <v>802</v>
      </c>
      <c r="E391" s="17" t="s">
        <v>822</v>
      </c>
      <c r="F391" s="17" t="s">
        <v>823</v>
      </c>
      <c r="G391" s="3">
        <f>2*0.2</f>
        <v>0.4</v>
      </c>
      <c r="H391" s="3">
        <v>329</v>
      </c>
      <c r="I391" s="131">
        <f>(G391*H391)/10000</f>
        <v>1.316E-2</v>
      </c>
      <c r="J391" s="3">
        <f>12/24</f>
        <v>0.5</v>
      </c>
      <c r="K391" s="3">
        <v>0</v>
      </c>
      <c r="L391" s="3">
        <f>12/24</f>
        <v>0.5</v>
      </c>
      <c r="M391" s="3">
        <f>365*2</f>
        <v>730</v>
      </c>
      <c r="N391" s="3">
        <v>0</v>
      </c>
      <c r="O391" s="3">
        <v>0</v>
      </c>
      <c r="P391" s="3">
        <v>2</v>
      </c>
      <c r="Q391" s="3">
        <v>0</v>
      </c>
      <c r="R391" s="3"/>
      <c r="S391" s="17" t="s">
        <v>824</v>
      </c>
      <c r="T391" s="17" t="s">
        <v>825</v>
      </c>
      <c r="U391" s="3"/>
      <c r="V391" s="3"/>
      <c r="W391" s="3"/>
      <c r="X391" s="3"/>
      <c r="Y391" s="3"/>
      <c r="Z391" s="3"/>
      <c r="AA391" s="3"/>
      <c r="AB391" s="3"/>
      <c r="AC391" s="3"/>
      <c r="AD391" s="3"/>
    </row>
    <row r="392" spans="1:30" ht="12" customHeight="1">
      <c r="A392" s="17" t="s">
        <v>95</v>
      </c>
      <c r="B392" s="17" t="s">
        <v>821</v>
      </c>
      <c r="C392" s="3">
        <v>2005</v>
      </c>
      <c r="D392" s="17" t="s">
        <v>802</v>
      </c>
      <c r="E392" s="17" t="s">
        <v>822</v>
      </c>
      <c r="F392" s="17" t="s">
        <v>823</v>
      </c>
      <c r="G392" s="3">
        <f>2*0.2</f>
        <v>0.4</v>
      </c>
      <c r="H392" s="3">
        <v>36</v>
      </c>
      <c r="I392" s="131">
        <f>(G392*H392)/10000</f>
        <v>1.4400000000000001E-3</v>
      </c>
      <c r="J392" s="3">
        <f>12/24</f>
        <v>0.5</v>
      </c>
      <c r="K392" s="3">
        <v>365</v>
      </c>
      <c r="L392" s="3">
        <f>12/24*2</f>
        <v>1</v>
      </c>
      <c r="M392" s="3">
        <f>365*2</f>
        <v>730</v>
      </c>
      <c r="N392" s="3">
        <v>0</v>
      </c>
      <c r="O392" s="3">
        <v>0</v>
      </c>
      <c r="P392" s="3">
        <v>2</v>
      </c>
      <c r="Q392" s="3">
        <v>0</v>
      </c>
      <c r="R392" s="3"/>
      <c r="S392" s="17" t="s">
        <v>824</v>
      </c>
      <c r="T392" s="17" t="s">
        <v>826</v>
      </c>
      <c r="U392" s="3"/>
      <c r="V392" s="3"/>
      <c r="W392" s="3"/>
      <c r="X392" s="3"/>
      <c r="Y392" s="3"/>
      <c r="Z392" s="3"/>
      <c r="AA392" s="3"/>
      <c r="AB392" s="3"/>
      <c r="AC392" s="3"/>
      <c r="AD392" s="3"/>
    </row>
    <row r="393" spans="1:30" ht="12" customHeight="1">
      <c r="A393" s="17" t="s">
        <v>95</v>
      </c>
      <c r="B393" s="17" t="s">
        <v>821</v>
      </c>
      <c r="C393" s="3">
        <v>2005</v>
      </c>
      <c r="D393" s="17" t="s">
        <v>802</v>
      </c>
      <c r="E393" s="17" t="s">
        <v>822</v>
      </c>
      <c r="F393" s="17" t="s">
        <v>823</v>
      </c>
      <c r="G393" s="3">
        <f>2*0.2</f>
        <v>0.4</v>
      </c>
      <c r="H393" s="3">
        <v>15</v>
      </c>
      <c r="I393" s="131">
        <f>(G393*H393)/10000</f>
        <v>5.9999999999999995E-4</v>
      </c>
      <c r="J393" s="3">
        <f>12/24</f>
        <v>0.5</v>
      </c>
      <c r="K393" s="3">
        <v>15</v>
      </c>
      <c r="L393" s="3">
        <f>12/24*2</f>
        <v>1</v>
      </c>
      <c r="M393" s="3">
        <f>365*2</f>
        <v>730</v>
      </c>
      <c r="N393" s="3">
        <v>0</v>
      </c>
      <c r="O393" s="3">
        <v>0</v>
      </c>
      <c r="P393" s="3">
        <v>2</v>
      </c>
      <c r="Q393" s="3">
        <v>0</v>
      </c>
      <c r="R393" s="3"/>
      <c r="S393" s="17" t="s">
        <v>824</v>
      </c>
      <c r="T393" s="17" t="s">
        <v>827</v>
      </c>
      <c r="U393" s="3"/>
      <c r="V393" s="3"/>
      <c r="W393" s="3"/>
      <c r="X393" s="3"/>
      <c r="Y393" s="3"/>
      <c r="Z393" s="3"/>
      <c r="AA393" s="3"/>
      <c r="AB393" s="3"/>
      <c r="AC393" s="3"/>
      <c r="AD393" s="3"/>
    </row>
    <row r="394" spans="1:30" s="135" customFormat="1" ht="12" customHeight="1">
      <c r="A394" s="132" t="s">
        <v>149</v>
      </c>
      <c r="B394" s="140" t="s">
        <v>828</v>
      </c>
      <c r="C394" s="133">
        <v>2013</v>
      </c>
      <c r="D394" s="132" t="s">
        <v>351</v>
      </c>
      <c r="E394" s="132" t="s">
        <v>829</v>
      </c>
      <c r="F394" s="132" t="s">
        <v>830</v>
      </c>
      <c r="G394" s="133"/>
      <c r="H394" s="133"/>
      <c r="I394" s="134"/>
      <c r="J394" s="133"/>
      <c r="K394" s="133"/>
      <c r="L394" s="133"/>
      <c r="M394" s="133"/>
      <c r="N394" s="133"/>
      <c r="O394" s="133"/>
      <c r="P394" s="133"/>
      <c r="Q394" s="133"/>
      <c r="R394" s="133"/>
      <c r="S394" s="133"/>
      <c r="T394" s="133"/>
      <c r="U394" s="132" t="s">
        <v>831</v>
      </c>
      <c r="V394" s="133"/>
      <c r="W394" s="133"/>
      <c r="X394" s="133"/>
      <c r="Y394" s="133"/>
      <c r="Z394" s="133"/>
      <c r="AA394" s="133"/>
      <c r="AB394" s="133"/>
      <c r="AC394" s="133"/>
      <c r="AD394" s="133"/>
    </row>
    <row r="395" spans="1:30" ht="12" customHeight="1">
      <c r="A395" s="17" t="s">
        <v>832</v>
      </c>
      <c r="B395" s="3" t="s">
        <v>833</v>
      </c>
      <c r="C395" s="3">
        <v>2008</v>
      </c>
      <c r="D395" s="17" t="s">
        <v>802</v>
      </c>
      <c r="E395" s="17" t="s">
        <v>362</v>
      </c>
      <c r="F395" s="17" t="s">
        <v>834</v>
      </c>
      <c r="G395" s="3">
        <f>0.5*0.2</f>
        <v>0.1</v>
      </c>
      <c r="H395" s="3">
        <v>1269</v>
      </c>
      <c r="I395" s="131">
        <f>(G395*H395)/10000</f>
        <v>1.269E-2</v>
      </c>
      <c r="J395" s="3">
        <v>1</v>
      </c>
      <c r="K395" s="3">
        <v>0</v>
      </c>
      <c r="L395" s="3">
        <f>J395</f>
        <v>1</v>
      </c>
      <c r="M395" s="3">
        <f>232</f>
        <v>232</v>
      </c>
      <c r="N395" s="3">
        <v>2</v>
      </c>
      <c r="O395" s="3">
        <v>0</v>
      </c>
      <c r="P395" s="3">
        <v>1</v>
      </c>
      <c r="Q395" s="3">
        <v>2</v>
      </c>
      <c r="R395" s="3"/>
      <c r="S395" s="17" t="s">
        <v>835</v>
      </c>
      <c r="T395" s="17" t="s">
        <v>836</v>
      </c>
      <c r="U395" s="3"/>
      <c r="V395" s="3"/>
      <c r="W395" s="3"/>
      <c r="X395" s="3"/>
      <c r="Y395" s="3"/>
      <c r="Z395" s="3"/>
      <c r="AA395" s="3"/>
      <c r="AB395" s="3"/>
      <c r="AC395" s="3"/>
      <c r="AD395" s="3"/>
    </row>
    <row r="396" spans="1:30" ht="12" customHeight="1">
      <c r="A396" s="17" t="s">
        <v>837</v>
      </c>
      <c r="B396" s="3" t="s">
        <v>838</v>
      </c>
      <c r="C396" s="3">
        <v>2008</v>
      </c>
      <c r="D396" s="17" t="s">
        <v>802</v>
      </c>
      <c r="E396" s="17" t="s">
        <v>839</v>
      </c>
      <c r="F396" s="17" t="s">
        <v>840</v>
      </c>
      <c r="G396" s="3">
        <f>PI()*0.25^2</f>
        <v>0.19634954084936207</v>
      </c>
      <c r="H396" s="3">
        <v>1</v>
      </c>
      <c r="I396" s="131">
        <f t="shared" ref="I396:I398" si="30">(G396*H396)/10000</f>
        <v>1.9634954084936207E-5</v>
      </c>
      <c r="J396" s="3">
        <f>11*365</f>
        <v>4015</v>
      </c>
      <c r="K396" s="3">
        <v>0</v>
      </c>
      <c r="L396" s="5">
        <v>4015</v>
      </c>
      <c r="M396" s="3">
        <f>11*365</f>
        <v>4015</v>
      </c>
      <c r="N396" s="3">
        <v>0</v>
      </c>
      <c r="O396" s="3">
        <v>0</v>
      </c>
      <c r="P396" s="3">
        <v>2</v>
      </c>
      <c r="Q396" s="3">
        <v>0</v>
      </c>
      <c r="R396" t="s">
        <v>841</v>
      </c>
      <c r="S396" s="17" t="s">
        <v>446</v>
      </c>
      <c r="T396" s="17" t="s">
        <v>842</v>
      </c>
      <c r="U396" s="3"/>
      <c r="V396" s="3"/>
      <c r="W396" s="3"/>
      <c r="X396" s="3"/>
      <c r="Y396" s="3"/>
      <c r="Z396" s="3"/>
      <c r="AA396" s="3"/>
      <c r="AB396" s="3"/>
      <c r="AC396" s="3"/>
      <c r="AD396" s="3"/>
    </row>
    <row r="397" spans="1:30" ht="12" customHeight="1">
      <c r="A397" s="17" t="s">
        <v>837</v>
      </c>
      <c r="B397" s="3" t="s">
        <v>838</v>
      </c>
      <c r="C397" s="3">
        <v>2008</v>
      </c>
      <c r="D397" s="17" t="s">
        <v>802</v>
      </c>
      <c r="E397" s="17" t="s">
        <v>839</v>
      </c>
      <c r="F397" s="17" t="s">
        <v>840</v>
      </c>
      <c r="G397" s="141">
        <v>512000000</v>
      </c>
      <c r="H397" s="3">
        <v>1</v>
      </c>
      <c r="I397" s="131">
        <f t="shared" si="30"/>
        <v>51200</v>
      </c>
      <c r="J397" s="3">
        <f>1/(3600*24)</f>
        <v>1.1574074074074073E-5</v>
      </c>
      <c r="K397" s="3">
        <f>(15/60)/24</f>
        <v>1.0416666666666666E-2</v>
      </c>
      <c r="L397" s="3">
        <f>((24*4)*365*11) / (24*3600)</f>
        <v>4.4611111111111112</v>
      </c>
      <c r="M397" s="3">
        <f>11*365</f>
        <v>4015</v>
      </c>
      <c r="N397" s="3">
        <v>0</v>
      </c>
      <c r="O397" s="3">
        <v>0</v>
      </c>
      <c r="P397" s="3">
        <v>1</v>
      </c>
      <c r="Q397" s="3">
        <v>0</v>
      </c>
      <c r="R397" s="3"/>
      <c r="S397" s="17" t="s">
        <v>238</v>
      </c>
      <c r="T397" s="17" t="s">
        <v>843</v>
      </c>
      <c r="U397" s="3"/>
      <c r="V397" s="3"/>
      <c r="W397" s="3"/>
      <c r="X397" s="3"/>
      <c r="Y397" s="3"/>
      <c r="Z397" s="3"/>
      <c r="AA397" s="3"/>
      <c r="AB397" s="3"/>
      <c r="AC397" s="3"/>
      <c r="AD397" s="3"/>
    </row>
    <row r="398" spans="1:30" ht="12" customHeight="1">
      <c r="A398" s="17" t="s">
        <v>837</v>
      </c>
      <c r="B398" s="3" t="s">
        <v>838</v>
      </c>
      <c r="C398" s="3">
        <v>2008</v>
      </c>
      <c r="D398" s="17" t="s">
        <v>802</v>
      </c>
      <c r="E398" s="17" t="s">
        <v>839</v>
      </c>
      <c r="F398" s="17" t="s">
        <v>840</v>
      </c>
      <c r="G398" s="3">
        <f>PI()*0.025^2</f>
        <v>1.9634954084936209E-3</v>
      </c>
      <c r="H398" s="3">
        <v>1</v>
      </c>
      <c r="I398" s="131">
        <f t="shared" si="30"/>
        <v>1.9634954084936208E-7</v>
      </c>
      <c r="J398" s="3">
        <f>1/(3600*24)</f>
        <v>1.1574074074074073E-5</v>
      </c>
      <c r="K398" s="3">
        <v>1</v>
      </c>
      <c r="L398" s="3">
        <f>(365*11) / (24*3600)</f>
        <v>4.6469907407407404E-2</v>
      </c>
      <c r="M398" s="3">
        <f>11*365</f>
        <v>4015</v>
      </c>
      <c r="N398" s="3">
        <v>0</v>
      </c>
      <c r="O398" s="3">
        <v>0</v>
      </c>
      <c r="P398" s="3">
        <v>2</v>
      </c>
      <c r="Q398" s="3">
        <v>0</v>
      </c>
      <c r="R398" s="3"/>
      <c r="S398" s="17" t="s">
        <v>844</v>
      </c>
      <c r="T398" s="17" t="s">
        <v>845</v>
      </c>
      <c r="U398" s="3"/>
      <c r="V398" s="3"/>
      <c r="W398" s="3"/>
      <c r="X398" s="3"/>
      <c r="Y398" s="3"/>
      <c r="Z398" s="3"/>
      <c r="AA398" s="3"/>
      <c r="AB398" s="3"/>
      <c r="AC398" s="3"/>
      <c r="AD398" s="3"/>
    </row>
    <row r="399" spans="1:30" s="135" customFormat="1" ht="12" customHeight="1">
      <c r="A399" s="132" t="s">
        <v>814</v>
      </c>
      <c r="B399" s="133" t="s">
        <v>846</v>
      </c>
      <c r="C399" s="133">
        <v>2007</v>
      </c>
      <c r="D399" s="132" t="s">
        <v>802</v>
      </c>
      <c r="E399" s="132" t="s">
        <v>479</v>
      </c>
      <c r="F399" s="132" t="s">
        <v>847</v>
      </c>
      <c r="G399" s="133"/>
      <c r="H399" s="133"/>
      <c r="I399" s="134"/>
      <c r="J399" s="133"/>
      <c r="K399" s="133"/>
      <c r="L399" s="133"/>
      <c r="M399" s="133"/>
      <c r="N399" s="133"/>
      <c r="O399" s="133"/>
      <c r="P399" s="133"/>
      <c r="Q399" s="133"/>
      <c r="R399" s="133"/>
      <c r="S399" s="133"/>
      <c r="T399" s="133"/>
      <c r="U399" s="132" t="s">
        <v>848</v>
      </c>
      <c r="V399" s="133"/>
      <c r="W399" s="133"/>
      <c r="X399" s="133"/>
      <c r="Y399" s="133"/>
      <c r="Z399" s="133"/>
      <c r="AA399" s="133"/>
      <c r="AB399" s="133"/>
      <c r="AC399" s="133"/>
      <c r="AD399" s="133"/>
    </row>
    <row r="400" spans="1:30" s="145" customFormat="1" ht="12" customHeight="1">
      <c r="A400" s="142" t="s">
        <v>814</v>
      </c>
      <c r="B400" s="143" t="s">
        <v>849</v>
      </c>
      <c r="C400" s="143">
        <v>2010</v>
      </c>
      <c r="D400" s="142" t="s">
        <v>850</v>
      </c>
      <c r="E400" s="142" t="s">
        <v>851</v>
      </c>
      <c r="F400" s="142" t="s">
        <v>852</v>
      </c>
      <c r="G400" s="143"/>
      <c r="H400" s="143"/>
      <c r="I400" s="144"/>
      <c r="J400" s="143"/>
      <c r="K400" s="143"/>
      <c r="L400" s="143"/>
      <c r="M400" s="143"/>
      <c r="N400" s="143"/>
      <c r="O400" s="143"/>
      <c r="P400" s="143"/>
      <c r="Q400" s="143"/>
      <c r="R400" s="143"/>
      <c r="S400" s="142" t="s">
        <v>853</v>
      </c>
      <c r="T400" s="142" t="s">
        <v>854</v>
      </c>
      <c r="U400" s="142" t="s">
        <v>855</v>
      </c>
      <c r="V400" s="143"/>
      <c r="W400" s="143"/>
      <c r="X400" s="143"/>
      <c r="Y400" s="143"/>
      <c r="Z400" s="143"/>
      <c r="AA400" s="143"/>
      <c r="AB400" s="143"/>
      <c r="AC400" s="143"/>
      <c r="AD400" s="143"/>
    </row>
    <row r="401" spans="1:30" s="135" customFormat="1" ht="12" customHeight="1">
      <c r="A401" s="146" t="s">
        <v>856</v>
      </c>
      <c r="B401" s="147" t="s">
        <v>1129</v>
      </c>
      <c r="C401" s="147">
        <v>2005</v>
      </c>
      <c r="D401" s="146" t="s">
        <v>125</v>
      </c>
      <c r="E401" s="146" t="s">
        <v>751</v>
      </c>
      <c r="F401" s="146" t="s">
        <v>857</v>
      </c>
      <c r="G401" s="147"/>
      <c r="H401" s="147"/>
      <c r="I401" s="148"/>
      <c r="J401" s="147"/>
      <c r="K401" s="147"/>
      <c r="L401" s="147"/>
      <c r="M401" s="147"/>
      <c r="N401" s="147"/>
      <c r="O401" s="147"/>
      <c r="P401" s="147"/>
      <c r="Q401" s="147"/>
      <c r="R401" s="147"/>
      <c r="S401" s="147"/>
      <c r="T401" s="147"/>
      <c r="U401" s="132" t="s">
        <v>858</v>
      </c>
      <c r="V401" s="133"/>
      <c r="W401" s="133"/>
      <c r="X401" s="133"/>
      <c r="Y401" s="133"/>
      <c r="Z401" s="133"/>
      <c r="AA401" s="133"/>
      <c r="AB401" s="133"/>
      <c r="AC401" s="133"/>
      <c r="AD401" s="133"/>
    </row>
    <row r="402" spans="1:30" ht="15.75" customHeight="1">
      <c r="A402" t="s">
        <v>859</v>
      </c>
      <c r="B402" t="s">
        <v>860</v>
      </c>
      <c r="C402">
        <v>2009</v>
      </c>
      <c r="D402" t="s">
        <v>802</v>
      </c>
      <c r="E402" t="s">
        <v>861</v>
      </c>
      <c r="F402" t="s">
        <v>862</v>
      </c>
      <c r="G402">
        <f>0.2^2</f>
        <v>4.0000000000000008E-2</v>
      </c>
      <c r="H402">
        <f>28</f>
        <v>28</v>
      </c>
      <c r="I402" s="131">
        <f t="shared" ref="I402:I421" si="31">(G402*H402)/10000</f>
        <v>1.1200000000000001E-4</v>
      </c>
      <c r="J402">
        <f>1/(60*24)</f>
        <v>6.9444444444444447E-4</v>
      </c>
      <c r="K402">
        <v>0</v>
      </c>
      <c r="L402">
        <f>1/(60*24)</f>
        <v>6.9444444444444447E-4</v>
      </c>
      <c r="M402">
        <v>31</v>
      </c>
      <c r="N402">
        <v>1</v>
      </c>
      <c r="O402">
        <v>1</v>
      </c>
      <c r="P402">
        <v>1</v>
      </c>
      <c r="Q402">
        <v>1</v>
      </c>
      <c r="S402" t="s">
        <v>863</v>
      </c>
      <c r="T402" t="s">
        <v>864</v>
      </c>
    </row>
    <row r="403" spans="1:30" ht="15.75" customHeight="1">
      <c r="A403" t="s">
        <v>859</v>
      </c>
      <c r="B403" t="s">
        <v>860</v>
      </c>
      <c r="C403">
        <v>2009</v>
      </c>
      <c r="D403" t="s">
        <v>802</v>
      </c>
      <c r="E403" t="s">
        <v>861</v>
      </c>
      <c r="F403" t="s">
        <v>862</v>
      </c>
      <c r="G403">
        <f>10*1</f>
        <v>10</v>
      </c>
      <c r="H403">
        <v>36</v>
      </c>
      <c r="I403" s="131">
        <f t="shared" si="31"/>
        <v>3.5999999999999997E-2</v>
      </c>
      <c r="J403">
        <f>120/(60*24)</f>
        <v>8.3333333333333329E-2</v>
      </c>
      <c r="K403">
        <v>0</v>
      </c>
      <c r="L403">
        <f>120/(60*24)</f>
        <v>8.3333333333333329E-2</v>
      </c>
      <c r="M403">
        <v>31</v>
      </c>
      <c r="N403">
        <v>1</v>
      </c>
      <c r="O403">
        <v>1</v>
      </c>
      <c r="P403">
        <v>0</v>
      </c>
      <c r="Q403">
        <v>1</v>
      </c>
      <c r="S403" t="s">
        <v>238</v>
      </c>
      <c r="T403" t="s">
        <v>865</v>
      </c>
    </row>
    <row r="404" spans="1:30" ht="15.75" customHeight="1">
      <c r="A404" t="s">
        <v>859</v>
      </c>
      <c r="B404" t="s">
        <v>860</v>
      </c>
      <c r="C404">
        <v>2009</v>
      </c>
      <c r="D404" t="s">
        <v>802</v>
      </c>
      <c r="E404" t="s">
        <v>861</v>
      </c>
      <c r="F404" t="s">
        <v>862</v>
      </c>
      <c r="G404">
        <f>0.5*1</f>
        <v>0.5</v>
      </c>
      <c r="H404">
        <v>36</v>
      </c>
      <c r="I404" s="131">
        <f t="shared" si="31"/>
        <v>1.8E-3</v>
      </c>
      <c r="J404">
        <f>5/(60*24)</f>
        <v>3.472222222222222E-3</v>
      </c>
      <c r="K404">
        <v>0</v>
      </c>
      <c r="L404">
        <f>J404</f>
        <v>3.472222222222222E-3</v>
      </c>
      <c r="M404">
        <v>31</v>
      </c>
      <c r="N404">
        <v>1</v>
      </c>
      <c r="O404">
        <v>1</v>
      </c>
      <c r="P404">
        <v>0</v>
      </c>
      <c r="Q404">
        <v>1</v>
      </c>
      <c r="S404" t="s">
        <v>238</v>
      </c>
      <c r="T404" t="s">
        <v>866</v>
      </c>
    </row>
    <row r="405" spans="1:30" ht="15.75" customHeight="1">
      <c r="A405" t="s">
        <v>859</v>
      </c>
      <c r="B405" t="s">
        <v>860</v>
      </c>
      <c r="C405">
        <v>2009</v>
      </c>
      <c r="D405" t="s">
        <v>802</v>
      </c>
      <c r="E405" t="s">
        <v>861</v>
      </c>
      <c r="F405" t="s">
        <v>862</v>
      </c>
      <c r="G405" s="3">
        <f>PI()*0.05^2</f>
        <v>7.8539816339744835E-3</v>
      </c>
      <c r="H405">
        <f>3*18</f>
        <v>54</v>
      </c>
      <c r="I405" s="131">
        <f t="shared" si="31"/>
        <v>4.2411500823462215E-5</v>
      </c>
      <c r="J405">
        <f>10/(60*24)</f>
        <v>6.9444444444444441E-3</v>
      </c>
      <c r="K405">
        <v>0</v>
      </c>
      <c r="L405">
        <f>10/(60*24)</f>
        <v>6.9444444444444441E-3</v>
      </c>
      <c r="M405">
        <v>31</v>
      </c>
      <c r="N405">
        <v>0</v>
      </c>
      <c r="O405">
        <v>0</v>
      </c>
      <c r="P405">
        <v>2</v>
      </c>
      <c r="Q405">
        <v>0</v>
      </c>
      <c r="S405" t="s">
        <v>238</v>
      </c>
      <c r="T405" t="s">
        <v>867</v>
      </c>
    </row>
    <row r="406" spans="1:30" s="135" customFormat="1" ht="15.75" customHeight="1">
      <c r="A406" s="135" t="s">
        <v>868</v>
      </c>
      <c r="B406" s="135" t="s">
        <v>869</v>
      </c>
      <c r="C406" s="135">
        <v>2005</v>
      </c>
      <c r="D406" s="135" t="s">
        <v>125</v>
      </c>
      <c r="I406" s="149"/>
      <c r="U406" s="135" t="s">
        <v>579</v>
      </c>
    </row>
    <row r="407" spans="1:30" ht="15.75" customHeight="1">
      <c r="A407" t="s">
        <v>870</v>
      </c>
      <c r="B407" t="s">
        <v>871</v>
      </c>
      <c r="C407">
        <v>2010</v>
      </c>
      <c r="D407" t="s">
        <v>802</v>
      </c>
      <c r="E407" t="s">
        <v>872</v>
      </c>
      <c r="F407" t="s">
        <v>873</v>
      </c>
      <c r="G407" s="3">
        <f>PI()*0.05^2*10</f>
        <v>7.8539816339744828E-2</v>
      </c>
      <c r="H407">
        <f>3*5</f>
        <v>15</v>
      </c>
      <c r="I407" s="131">
        <f t="shared" si="31"/>
        <v>1.1780972450961724E-4</v>
      </c>
      <c r="J407">
        <f>10/(60*24) *10</f>
        <v>6.9444444444444448E-2</v>
      </c>
      <c r="K407">
        <v>0</v>
      </c>
      <c r="L407">
        <f>J407</f>
        <v>6.9444444444444448E-2</v>
      </c>
      <c r="M407">
        <f>6*30</f>
        <v>180</v>
      </c>
      <c r="N407">
        <v>0</v>
      </c>
      <c r="O407">
        <v>0</v>
      </c>
      <c r="P407">
        <v>2</v>
      </c>
      <c r="Q407">
        <v>0</v>
      </c>
      <c r="S407" t="s">
        <v>874</v>
      </c>
      <c r="T407" t="s">
        <v>875</v>
      </c>
    </row>
    <row r="408" spans="1:30" ht="15.75" customHeight="1">
      <c r="A408" t="s">
        <v>870</v>
      </c>
      <c r="B408" t="s">
        <v>871</v>
      </c>
      <c r="C408">
        <v>2010</v>
      </c>
      <c r="D408" t="s">
        <v>802</v>
      </c>
      <c r="E408" t="s">
        <v>872</v>
      </c>
      <c r="F408" t="s">
        <v>873</v>
      </c>
      <c r="G408" s="3">
        <f>PI()*0.25^2</f>
        <v>0.19634954084936207</v>
      </c>
      <c r="H408">
        <v>14</v>
      </c>
      <c r="I408" s="131">
        <f t="shared" si="31"/>
        <v>2.7488935718910691E-4</v>
      </c>
      <c r="J408">
        <f>180</f>
        <v>180</v>
      </c>
      <c r="K408">
        <v>0</v>
      </c>
      <c r="L408">
        <f>180</f>
        <v>180</v>
      </c>
      <c r="M408">
        <f>180</f>
        <v>180</v>
      </c>
      <c r="N408">
        <v>0</v>
      </c>
      <c r="O408">
        <v>0</v>
      </c>
      <c r="P408">
        <v>2</v>
      </c>
      <c r="Q408">
        <v>0</v>
      </c>
      <c r="S408" t="s">
        <v>876</v>
      </c>
      <c r="T408" t="s">
        <v>877</v>
      </c>
    </row>
    <row r="409" spans="1:30" ht="15.75" customHeight="1">
      <c r="A409" t="s">
        <v>278</v>
      </c>
      <c r="B409" t="s">
        <v>878</v>
      </c>
      <c r="C409">
        <v>2007</v>
      </c>
      <c r="D409" t="s">
        <v>802</v>
      </c>
      <c r="E409" t="s">
        <v>879</v>
      </c>
      <c r="F409" t="s">
        <v>880</v>
      </c>
      <c r="G409" s="125">
        <f>SUM(0.2^2 *2/3, 1^2 *1/3)</f>
        <v>0.36</v>
      </c>
      <c r="H409" s="150">
        <v>426</v>
      </c>
      <c r="I409" s="151">
        <f>(H409*G409)/10000</f>
        <v>1.5335999999999999E-2</v>
      </c>
      <c r="J409">
        <f>5/(60*24)</f>
        <v>3.472222222222222E-3</v>
      </c>
      <c r="K409">
        <v>0</v>
      </c>
      <c r="L409">
        <f>J409</f>
        <v>3.472222222222222E-3</v>
      </c>
      <c r="M409">
        <f>9*30</f>
        <v>270</v>
      </c>
      <c r="N409">
        <v>0</v>
      </c>
      <c r="O409">
        <v>1</v>
      </c>
      <c r="P409">
        <v>0</v>
      </c>
      <c r="Q409">
        <v>0</v>
      </c>
      <c r="R409" t="s">
        <v>881</v>
      </c>
      <c r="S409" s="125" t="s">
        <v>66</v>
      </c>
      <c r="T409" t="s">
        <v>882</v>
      </c>
      <c r="W409" t="s">
        <v>883</v>
      </c>
      <c r="X409" t="s">
        <v>884</v>
      </c>
    </row>
    <row r="410" spans="1:30" ht="15.75" customHeight="1">
      <c r="A410" t="s">
        <v>278</v>
      </c>
      <c r="B410" t="s">
        <v>878</v>
      </c>
      <c r="C410">
        <v>2007</v>
      </c>
      <c r="D410" t="s">
        <v>802</v>
      </c>
      <c r="E410" t="s">
        <v>879</v>
      </c>
      <c r="F410" t="s">
        <v>880</v>
      </c>
      <c r="G410" s="152">
        <f>ROUND(1/120 * 4, 3)</f>
        <v>3.3000000000000002E-2</v>
      </c>
      <c r="H410">
        <f>(1677+1722+1632+819+695+1051) / 2.5</f>
        <v>3038.4</v>
      </c>
      <c r="I410" s="151">
        <f t="shared" si="31"/>
        <v>1.0026720000000001E-2</v>
      </c>
      <c r="J410">
        <f>5/(3600*24)</f>
        <v>5.7870370370370373E-5</v>
      </c>
      <c r="K410">
        <v>0</v>
      </c>
      <c r="L410">
        <f>J410</f>
        <v>5.7870370370370373E-5</v>
      </c>
      <c r="M410">
        <f>9*30</f>
        <v>270</v>
      </c>
      <c r="N410">
        <v>0</v>
      </c>
      <c r="O410">
        <v>2</v>
      </c>
      <c r="P410">
        <v>0</v>
      </c>
      <c r="Q410">
        <v>0</v>
      </c>
      <c r="R410" t="s">
        <v>881</v>
      </c>
      <c r="S410" t="s">
        <v>885</v>
      </c>
      <c r="T410" t="s">
        <v>886</v>
      </c>
    </row>
    <row r="411" spans="1:30" s="145" customFormat="1" ht="15.75" customHeight="1">
      <c r="A411" s="145" t="s">
        <v>278</v>
      </c>
      <c r="B411" s="145" t="s">
        <v>878</v>
      </c>
      <c r="C411" s="145">
        <v>2007</v>
      </c>
      <c r="D411" s="145" t="s">
        <v>290</v>
      </c>
      <c r="E411" s="145" t="s">
        <v>879</v>
      </c>
      <c r="F411" s="145" t="s">
        <v>880</v>
      </c>
      <c r="I411" s="153"/>
      <c r="R411" s="145" t="s">
        <v>887</v>
      </c>
      <c r="T411" s="145" t="s">
        <v>888</v>
      </c>
      <c r="U411" s="145" t="s">
        <v>889</v>
      </c>
    </row>
    <row r="412" spans="1:30" ht="15.75" customHeight="1">
      <c r="A412" t="s">
        <v>890</v>
      </c>
      <c r="B412" t="s">
        <v>891</v>
      </c>
      <c r="C412">
        <v>2013</v>
      </c>
      <c r="D412" t="s">
        <v>802</v>
      </c>
      <c r="E412" t="s">
        <v>892</v>
      </c>
      <c r="F412" t="s">
        <v>893</v>
      </c>
      <c r="G412">
        <f>1^2</f>
        <v>1</v>
      </c>
      <c r="H412">
        <f>100*3</f>
        <v>300</v>
      </c>
      <c r="I412" s="151">
        <f t="shared" si="31"/>
        <v>0.03</v>
      </c>
      <c r="J412" s="3">
        <f>5/(60*24)</f>
        <v>3.472222222222222E-3</v>
      </c>
      <c r="K412">
        <f>365*2</f>
        <v>730</v>
      </c>
      <c r="L412">
        <f>J412*2</f>
        <v>6.9444444444444441E-3</v>
      </c>
      <c r="M412">
        <f>365*3</f>
        <v>1095</v>
      </c>
      <c r="N412">
        <v>3</v>
      </c>
      <c r="O412">
        <v>0</v>
      </c>
      <c r="P412">
        <v>0</v>
      </c>
      <c r="Q412">
        <v>3</v>
      </c>
      <c r="S412" t="s">
        <v>238</v>
      </c>
      <c r="T412" t="s">
        <v>894</v>
      </c>
    </row>
    <row r="413" spans="1:30" ht="15.75" customHeight="1">
      <c r="A413" t="s">
        <v>890</v>
      </c>
      <c r="B413" t="s">
        <v>891</v>
      </c>
      <c r="C413">
        <v>2013</v>
      </c>
      <c r="D413" t="s">
        <v>802</v>
      </c>
      <c r="E413" t="s">
        <v>892</v>
      </c>
      <c r="F413" t="s">
        <v>893</v>
      </c>
      <c r="G413">
        <f>PI()*0.1^2</f>
        <v>3.1415926535897934E-2</v>
      </c>
      <c r="H413">
        <v>12</v>
      </c>
      <c r="I413" s="154">
        <f t="shared" si="31"/>
        <v>3.7699111843077523E-5</v>
      </c>
      <c r="J413" s="155">
        <f>((DATEDIF("18/4/2005", "7/5/2005", "d")/6) + (DATEDIF("25/3/2006", "23/5/2006", "d")/7)) / 2</f>
        <v>5.7976190476190474</v>
      </c>
      <c r="K413">
        <f>1/(60*24)</f>
        <v>6.9444444444444447E-4</v>
      </c>
      <c r="L413" s="156">
        <f>J413*6+J413*7</f>
        <v>75.36904761904762</v>
      </c>
      <c r="M413">
        <f>DATEDIF("18/4/2005", "23/5/2006", "d")</f>
        <v>400</v>
      </c>
      <c r="N413">
        <v>0</v>
      </c>
      <c r="O413">
        <v>0</v>
      </c>
      <c r="P413">
        <v>2</v>
      </c>
      <c r="Q413">
        <v>0</v>
      </c>
      <c r="R413" t="s">
        <v>895</v>
      </c>
      <c r="S413" t="s">
        <v>446</v>
      </c>
      <c r="T413" t="s">
        <v>896</v>
      </c>
    </row>
    <row r="414" spans="1:30" ht="15.75" customHeight="1">
      <c r="A414" t="s">
        <v>890</v>
      </c>
      <c r="B414" t="s">
        <v>891</v>
      </c>
      <c r="C414">
        <v>2013</v>
      </c>
      <c r="D414" t="s">
        <v>802</v>
      </c>
      <c r="E414" t="s">
        <v>892</v>
      </c>
      <c r="F414" t="s">
        <v>893</v>
      </c>
      <c r="G414">
        <v>0.5</v>
      </c>
      <c r="H414">
        <f>28*3</f>
        <v>84</v>
      </c>
      <c r="I414" s="131">
        <f t="shared" si="31"/>
        <v>4.1999999999999997E-3</v>
      </c>
      <c r="J414" s="3">
        <f>5/(60*24)</f>
        <v>3.472222222222222E-3</v>
      </c>
      <c r="K414">
        <v>0</v>
      </c>
      <c r="L414">
        <f>J414</f>
        <v>3.472222222222222E-3</v>
      </c>
      <c r="M414">
        <f>30</f>
        <v>30</v>
      </c>
      <c r="N414">
        <v>1</v>
      </c>
      <c r="O414">
        <v>0</v>
      </c>
      <c r="P414">
        <v>1</v>
      </c>
      <c r="Q414">
        <v>1</v>
      </c>
      <c r="R414" t="s">
        <v>897</v>
      </c>
      <c r="S414" t="s">
        <v>898</v>
      </c>
      <c r="T414" t="s">
        <v>899</v>
      </c>
    </row>
    <row r="415" spans="1:30" ht="15.75" customHeight="1">
      <c r="A415" t="s">
        <v>890</v>
      </c>
      <c r="B415" t="s">
        <v>891</v>
      </c>
      <c r="C415">
        <v>2013</v>
      </c>
      <c r="D415" t="s">
        <v>802</v>
      </c>
      <c r="E415" t="s">
        <v>892</v>
      </c>
      <c r="F415" t="s">
        <v>893</v>
      </c>
      <c r="G415">
        <f>AVERAGE(0.7^2, 0.5^2)</f>
        <v>0.37</v>
      </c>
      <c r="H415">
        <v>6</v>
      </c>
      <c r="I415" s="131">
        <f t="shared" si="31"/>
        <v>2.2199999999999998E-4</v>
      </c>
      <c r="J415" s="3">
        <f>5*(3/60/24)</f>
        <v>1.0416666666666666E-2</v>
      </c>
      <c r="K415" s="157">
        <f>3/24</f>
        <v>0.125</v>
      </c>
      <c r="L415" s="158">
        <f>DATEDIF("5/6/2004", "2/10/2004", "d")*8*J415 + DATEDIF("15/5/2005", "15/9/2005", "d")*8*J415</f>
        <v>20.166666666666664</v>
      </c>
      <c r="M415">
        <f>DATEDIF("5/6/2004", "15/9/2005", "D")</f>
        <v>467</v>
      </c>
      <c r="N415">
        <v>0</v>
      </c>
      <c r="O415">
        <v>0</v>
      </c>
      <c r="P415">
        <v>1</v>
      </c>
      <c r="Q415">
        <v>0</v>
      </c>
      <c r="R415" t="s">
        <v>900</v>
      </c>
      <c r="S415" t="s">
        <v>238</v>
      </c>
      <c r="T415" t="s">
        <v>901</v>
      </c>
    </row>
    <row r="416" spans="1:30" ht="15.75" customHeight="1">
      <c r="A416" t="s">
        <v>890</v>
      </c>
      <c r="B416" t="s">
        <v>891</v>
      </c>
      <c r="C416">
        <v>2013</v>
      </c>
      <c r="D416" t="s">
        <v>802</v>
      </c>
      <c r="E416" t="s">
        <v>892</v>
      </c>
      <c r="F416" t="s">
        <v>893</v>
      </c>
      <c r="G416">
        <f>0.5^2</f>
        <v>0.25</v>
      </c>
      <c r="H416">
        <v>6</v>
      </c>
      <c r="I416" s="131">
        <f t="shared" si="31"/>
        <v>1.4999999999999999E-4</v>
      </c>
      <c r="J416" s="3">
        <f>6/60/24</f>
        <v>4.1666666666666666E-3</v>
      </c>
      <c r="K416" s="157">
        <f>72/(24*60)</f>
        <v>0.05</v>
      </c>
      <c r="L416" s="158">
        <f>DATEDIF("24/8/2004", "3/10/2004", "d")*(1/K416)*J416</f>
        <v>3.3333333333333335</v>
      </c>
      <c r="M416">
        <f>DATEDIF("24/8/2004", "3/10/2004", "D")</f>
        <v>40</v>
      </c>
      <c r="N416">
        <v>0</v>
      </c>
      <c r="O416">
        <v>0</v>
      </c>
      <c r="P416">
        <v>1</v>
      </c>
      <c r="Q416">
        <v>0</v>
      </c>
      <c r="R416" t="s">
        <v>900</v>
      </c>
      <c r="S416" t="s">
        <v>446</v>
      </c>
      <c r="T416" t="s">
        <v>901</v>
      </c>
    </row>
    <row r="417" spans="1:21" ht="15.75" customHeight="1">
      <c r="A417" t="s">
        <v>890</v>
      </c>
      <c r="B417" t="s">
        <v>891</v>
      </c>
      <c r="C417">
        <v>2013</v>
      </c>
      <c r="D417" t="s">
        <v>802</v>
      </c>
      <c r="E417" t="s">
        <v>892</v>
      </c>
      <c r="F417" t="s">
        <v>893</v>
      </c>
      <c r="G417" s="159">
        <f>1^2</f>
        <v>1</v>
      </c>
      <c r="H417" s="159">
        <f>5+6+7</f>
        <v>18</v>
      </c>
      <c r="I417" s="131">
        <f t="shared" si="31"/>
        <v>1.8E-3</v>
      </c>
      <c r="J417" s="3">
        <f>10/(60*24)</f>
        <v>6.9444444444444441E-3</v>
      </c>
      <c r="K417" s="155">
        <f>(DATEDIF("15/9/2004","15/5/2005", "d") +DATEDIF("15/9/2005","15/5/2006", "d"))/2</f>
        <v>242</v>
      </c>
      <c r="L417">
        <f>J417*(5+6+7)</f>
        <v>0.125</v>
      </c>
      <c r="M417">
        <f>DATEDIF("15/5/2004","15/9/2006", "d")</f>
        <v>853</v>
      </c>
      <c r="N417">
        <v>0</v>
      </c>
      <c r="O417">
        <v>1</v>
      </c>
      <c r="P417">
        <v>1</v>
      </c>
      <c r="Q417">
        <v>0</v>
      </c>
      <c r="R417" t="s">
        <v>902</v>
      </c>
      <c r="S417" t="s">
        <v>903</v>
      </c>
      <c r="T417" t="s">
        <v>904</v>
      </c>
    </row>
    <row r="418" spans="1:21" ht="15.75" customHeight="1">
      <c r="A418" t="s">
        <v>890</v>
      </c>
      <c r="B418" t="s">
        <v>891</v>
      </c>
      <c r="C418">
        <v>2013</v>
      </c>
      <c r="D418" t="s">
        <v>802</v>
      </c>
      <c r="E418" t="s">
        <v>892</v>
      </c>
      <c r="F418" t="s">
        <v>893</v>
      </c>
      <c r="G418" s="3">
        <f>PI()*0.0425^2</f>
        <v>5.6745017305465653E-3</v>
      </c>
      <c r="H418">
        <f>3+7+5</f>
        <v>15</v>
      </c>
      <c r="I418" s="160">
        <f t="shared" si="31"/>
        <v>8.5117525958198471E-6</v>
      </c>
      <c r="J418" s="3">
        <f>10/(60*24)</f>
        <v>6.9444444444444441E-3</v>
      </c>
      <c r="K418" s="155">
        <f>(DATEDIF("16/9/2004","11/5/2005", "d") +DATEDIF("22/9/2005","15/5/2006", "d"))/2</f>
        <v>236</v>
      </c>
      <c r="L418">
        <f>J418*(3+7+6)</f>
        <v>0.1111111111111111</v>
      </c>
      <c r="M418">
        <f>DATEDIF("15/5/2004","15/9/2006", "d")</f>
        <v>853</v>
      </c>
      <c r="N418">
        <v>0</v>
      </c>
      <c r="O418">
        <v>2</v>
      </c>
      <c r="P418">
        <v>1</v>
      </c>
      <c r="Q418">
        <v>0</v>
      </c>
      <c r="R418" t="s">
        <v>902</v>
      </c>
      <c r="S418" t="s">
        <v>905</v>
      </c>
      <c r="T418" t="s">
        <v>906</v>
      </c>
    </row>
    <row r="419" spans="1:21" ht="15.75" customHeight="1">
      <c r="A419" t="s">
        <v>890</v>
      </c>
      <c r="B419" t="s">
        <v>891</v>
      </c>
      <c r="C419">
        <v>2013</v>
      </c>
      <c r="D419" t="s">
        <v>802</v>
      </c>
      <c r="E419" t="s">
        <v>892</v>
      </c>
      <c r="F419" t="s">
        <v>893</v>
      </c>
      <c r="G419">
        <f>PI()*0.02^2</f>
        <v>1.2566370614359172E-3</v>
      </c>
      <c r="H419">
        <f>7+5</f>
        <v>12</v>
      </c>
      <c r="I419" s="160">
        <f t="shared" si="31"/>
        <v>1.5079644737231008E-6</v>
      </c>
      <c r="J419">
        <f>1/24</f>
        <v>4.1666666666666664E-2</v>
      </c>
      <c r="K419" s="155">
        <f>AVERAGE(DATEDIF("16/9/2005", "11/5/2006", "d"), 23, 21, 22, 23, 21, DATEDIF("22/9/2005", "15/5/2006", "d"), 25, 27, 31, 31, 31)</f>
        <v>60.583333333333336</v>
      </c>
      <c r="L419">
        <f>(7+5)*J419</f>
        <v>0.5</v>
      </c>
      <c r="M419">
        <f>DATEDIF("22/9/2004","12/9/2006", "d")</f>
        <v>720</v>
      </c>
      <c r="N419">
        <v>0</v>
      </c>
      <c r="O419">
        <v>2</v>
      </c>
      <c r="P419">
        <v>2</v>
      </c>
      <c r="Q419">
        <v>0</v>
      </c>
      <c r="R419" t="s">
        <v>902</v>
      </c>
      <c r="S419" t="s">
        <v>907</v>
      </c>
      <c r="T419" t="s">
        <v>908</v>
      </c>
    </row>
    <row r="420" spans="1:21" ht="15.75" customHeight="1">
      <c r="A420" t="s">
        <v>890</v>
      </c>
      <c r="B420" t="s">
        <v>891</v>
      </c>
      <c r="C420">
        <v>2013</v>
      </c>
      <c r="D420" t="s">
        <v>802</v>
      </c>
      <c r="E420" t="s">
        <v>892</v>
      </c>
      <c r="F420" t="s">
        <v>893</v>
      </c>
      <c r="G420" s="3">
        <f>PI()*0.0425^2</f>
        <v>5.6745017305465653E-3</v>
      </c>
      <c r="H420">
        <v>100</v>
      </c>
      <c r="I420" s="160">
        <f t="shared" si="31"/>
        <v>5.6745017305465647E-5</v>
      </c>
      <c r="J420" s="3">
        <f>10/(60*24)</f>
        <v>6.9444444444444441E-3</v>
      </c>
      <c r="K420">
        <v>0</v>
      </c>
      <c r="L420">
        <f>J420</f>
        <v>6.9444444444444441E-3</v>
      </c>
      <c r="M420">
        <f>120</f>
        <v>120</v>
      </c>
      <c r="N420">
        <v>0</v>
      </c>
      <c r="O420">
        <v>2</v>
      </c>
      <c r="P420">
        <v>2</v>
      </c>
      <c r="Q420">
        <v>0</v>
      </c>
      <c r="S420" t="s">
        <v>909</v>
      </c>
      <c r="T420" t="s">
        <v>910</v>
      </c>
    </row>
    <row r="421" spans="1:21" ht="15.75" customHeight="1">
      <c r="A421" t="s">
        <v>890</v>
      </c>
      <c r="B421" t="s">
        <v>891</v>
      </c>
      <c r="C421">
        <v>2013</v>
      </c>
      <c r="D421" t="s">
        <v>802</v>
      </c>
      <c r="E421" t="s">
        <v>892</v>
      </c>
      <c r="F421" t="s">
        <v>893</v>
      </c>
      <c r="G421">
        <f>1^2</f>
        <v>1</v>
      </c>
      <c r="H421">
        <v>9</v>
      </c>
      <c r="I421" s="160">
        <f t="shared" si="31"/>
        <v>8.9999999999999998E-4</v>
      </c>
      <c r="J421">
        <f>2/24</f>
        <v>8.3333333333333329E-2</v>
      </c>
      <c r="K421">
        <v>0</v>
      </c>
      <c r="L421">
        <f>J421</f>
        <v>8.3333333333333329E-2</v>
      </c>
      <c r="M421">
        <f>120</f>
        <v>120</v>
      </c>
      <c r="N421">
        <v>0</v>
      </c>
      <c r="O421">
        <v>1</v>
      </c>
      <c r="P421">
        <v>2</v>
      </c>
      <c r="Q421">
        <v>0</v>
      </c>
      <c r="S421" t="s">
        <v>909</v>
      </c>
      <c r="T421" t="s">
        <v>911</v>
      </c>
    </row>
    <row r="422" spans="1:21" s="135" customFormat="1" ht="15.75" customHeight="1">
      <c r="A422" s="135" t="s">
        <v>95</v>
      </c>
      <c r="B422" s="135" t="s">
        <v>912</v>
      </c>
      <c r="C422" s="135">
        <v>2013</v>
      </c>
      <c r="D422" s="135" t="s">
        <v>802</v>
      </c>
      <c r="E422" s="135" t="s">
        <v>913</v>
      </c>
      <c r="F422" s="135" t="s">
        <v>914</v>
      </c>
      <c r="I422" s="149"/>
      <c r="U422" s="135" t="s">
        <v>579</v>
      </c>
    </row>
    <row r="423" spans="1:21" s="135" customFormat="1" ht="15.75" customHeight="1">
      <c r="A423" s="135" t="s">
        <v>832</v>
      </c>
      <c r="B423" s="135" t="s">
        <v>915</v>
      </c>
      <c r="C423" s="135">
        <v>2012</v>
      </c>
      <c r="D423" s="135" t="s">
        <v>125</v>
      </c>
      <c r="E423" s="135" t="s">
        <v>916</v>
      </c>
      <c r="F423" s="135" t="s">
        <v>917</v>
      </c>
      <c r="I423" s="149"/>
      <c r="U423" s="135" t="s">
        <v>608</v>
      </c>
    </row>
    <row r="424" spans="1:21" s="135" customFormat="1" ht="15.75" customHeight="1">
      <c r="A424" s="135" t="s">
        <v>149</v>
      </c>
      <c r="B424" s="135" t="s">
        <v>918</v>
      </c>
      <c r="C424" s="135">
        <v>2013</v>
      </c>
      <c r="D424" s="135" t="s">
        <v>125</v>
      </c>
      <c r="E424" s="135" t="s">
        <v>919</v>
      </c>
      <c r="F424" s="135" t="s">
        <v>920</v>
      </c>
      <c r="I424" s="149"/>
      <c r="U424" s="135" t="s">
        <v>921</v>
      </c>
    </row>
    <row r="425" spans="1:21" s="135" customFormat="1" ht="15.75" customHeight="1">
      <c r="A425" s="135" t="s">
        <v>93</v>
      </c>
      <c r="B425" s="135" t="s">
        <v>922</v>
      </c>
      <c r="C425" s="135">
        <v>2010</v>
      </c>
      <c r="D425" s="135" t="s">
        <v>125</v>
      </c>
      <c r="E425" s="135" t="s">
        <v>751</v>
      </c>
      <c r="F425" s="135" t="s">
        <v>923</v>
      </c>
      <c r="I425" s="149"/>
      <c r="U425" s="135" t="s">
        <v>858</v>
      </c>
    </row>
    <row r="426" spans="1:21" s="112" customFormat="1" ht="15.75" customHeight="1">
      <c r="A426" s="112" t="s">
        <v>924</v>
      </c>
      <c r="B426" s="112" t="s">
        <v>925</v>
      </c>
      <c r="C426" s="112">
        <v>2005</v>
      </c>
      <c r="D426" s="112" t="s">
        <v>802</v>
      </c>
      <c r="E426" s="112" t="s">
        <v>926</v>
      </c>
      <c r="F426" s="112" t="s">
        <v>927</v>
      </c>
      <c r="G426" s="112">
        <f>10^2</f>
        <v>100</v>
      </c>
      <c r="H426" s="112">
        <f>10*20</f>
        <v>200</v>
      </c>
      <c r="I426" s="160">
        <f t="shared" ref="I426:I449" si="32">(G426*H426)/10000</f>
        <v>2</v>
      </c>
      <c r="J426" s="112">
        <f>30/(60*24)</f>
        <v>2.0833333333333332E-2</v>
      </c>
      <c r="K426" s="112">
        <v>0</v>
      </c>
      <c r="L426" s="112">
        <f>J426</f>
        <v>2.0833333333333332E-2</v>
      </c>
      <c r="M426" s="112">
        <f>90</f>
        <v>90</v>
      </c>
      <c r="N426" s="112">
        <v>3</v>
      </c>
      <c r="O426" s="112">
        <v>1</v>
      </c>
      <c r="P426" s="112">
        <v>0</v>
      </c>
      <c r="Q426" s="112">
        <v>2</v>
      </c>
      <c r="S426" s="112" t="s">
        <v>898</v>
      </c>
      <c r="T426" s="112" t="s">
        <v>928</v>
      </c>
    </row>
    <row r="427" spans="1:21" ht="15.75" customHeight="1">
      <c r="A427" s="112" t="s">
        <v>924</v>
      </c>
      <c r="B427" s="112" t="s">
        <v>925</v>
      </c>
      <c r="C427" s="112">
        <v>2005</v>
      </c>
      <c r="D427" s="112" t="s">
        <v>802</v>
      </c>
      <c r="E427" s="112" t="s">
        <v>926</v>
      </c>
      <c r="F427" s="112" t="s">
        <v>927</v>
      </c>
      <c r="G427" s="3">
        <f>PI()*0.0425^2</f>
        <v>5.6745017305465653E-3</v>
      </c>
      <c r="H427">
        <f>3*10*20</f>
        <v>600</v>
      </c>
      <c r="I427" s="160">
        <f t="shared" si="32"/>
        <v>3.4047010383279392E-4</v>
      </c>
      <c r="J427" s="112">
        <f>30/(60*24)</f>
        <v>2.0833333333333332E-2</v>
      </c>
      <c r="K427">
        <v>0</v>
      </c>
      <c r="L427" s="112">
        <f>J427</f>
        <v>2.0833333333333332E-2</v>
      </c>
      <c r="M427" s="112">
        <f>90</f>
        <v>90</v>
      </c>
      <c r="N427">
        <v>0</v>
      </c>
      <c r="O427">
        <v>2</v>
      </c>
      <c r="P427">
        <v>0</v>
      </c>
      <c r="Q427">
        <v>0</v>
      </c>
      <c r="S427" t="s">
        <v>898</v>
      </c>
      <c r="T427" t="s">
        <v>929</v>
      </c>
    </row>
    <row r="428" spans="1:21" ht="15.75" customHeight="1">
      <c r="A428" s="112" t="s">
        <v>924</v>
      </c>
      <c r="B428" s="112" t="s">
        <v>925</v>
      </c>
      <c r="C428" s="112">
        <v>2005</v>
      </c>
      <c r="D428" s="112" t="s">
        <v>802</v>
      </c>
      <c r="E428" t="s">
        <v>930</v>
      </c>
      <c r="F428" s="112" t="s">
        <v>927</v>
      </c>
      <c r="G428">
        <f>2^2</f>
        <v>4</v>
      </c>
      <c r="H428">
        <f>40*2</f>
        <v>80</v>
      </c>
      <c r="I428" s="160">
        <f t="shared" si="32"/>
        <v>3.2000000000000001E-2</v>
      </c>
      <c r="J428">
        <f>25/(60*24)</f>
        <v>1.7361111111111112E-2</v>
      </c>
      <c r="K428">
        <v>0</v>
      </c>
      <c r="L428">
        <f>J428</f>
        <v>1.7361111111111112E-2</v>
      </c>
      <c r="M428">
        <f>28</f>
        <v>28</v>
      </c>
      <c r="N428">
        <v>3</v>
      </c>
      <c r="O428">
        <v>0</v>
      </c>
      <c r="P428">
        <v>0</v>
      </c>
      <c r="Q428">
        <v>2</v>
      </c>
      <c r="R428" t="s">
        <v>931</v>
      </c>
      <c r="S428" t="s">
        <v>383</v>
      </c>
      <c r="T428" t="s">
        <v>932</v>
      </c>
    </row>
    <row r="429" spans="1:21" ht="15.75" customHeight="1">
      <c r="A429" s="112" t="s">
        <v>924</v>
      </c>
      <c r="B429" s="112" t="s">
        <v>925</v>
      </c>
      <c r="C429" s="112">
        <v>2005</v>
      </c>
      <c r="D429" s="112" t="s">
        <v>802</v>
      </c>
      <c r="E429" t="s">
        <v>930</v>
      </c>
      <c r="F429" s="112" t="s">
        <v>927</v>
      </c>
      <c r="G429" s="3">
        <f>PI()*0.01^2</f>
        <v>3.1415926535897931E-4</v>
      </c>
      <c r="H429">
        <f>40*2</f>
        <v>80</v>
      </c>
      <c r="I429" s="160">
        <f t="shared" si="32"/>
        <v>2.5132741228718342E-6</v>
      </c>
      <c r="J429">
        <f>25/(60*24)</f>
        <v>1.7361111111111112E-2</v>
      </c>
      <c r="K429">
        <v>0</v>
      </c>
      <c r="L429">
        <f>J429</f>
        <v>1.7361111111111112E-2</v>
      </c>
      <c r="M429">
        <f>M428</f>
        <v>28</v>
      </c>
      <c r="N429">
        <v>0</v>
      </c>
      <c r="O429">
        <v>2</v>
      </c>
      <c r="P429">
        <v>0</v>
      </c>
      <c r="Q429">
        <v>0</v>
      </c>
      <c r="R429" t="s">
        <v>931</v>
      </c>
      <c r="S429" t="s">
        <v>383</v>
      </c>
      <c r="T429" t="s">
        <v>933</v>
      </c>
    </row>
    <row r="430" spans="1:21" ht="15.75" customHeight="1">
      <c r="A430" s="112" t="s">
        <v>93</v>
      </c>
      <c r="B430" t="s">
        <v>934</v>
      </c>
      <c r="C430" s="112">
        <v>2012</v>
      </c>
      <c r="D430" s="112" t="s">
        <v>802</v>
      </c>
      <c r="E430" s="112" t="s">
        <v>935</v>
      </c>
      <c r="F430" s="112" t="s">
        <v>936</v>
      </c>
      <c r="G430">
        <f>1^2</f>
        <v>1</v>
      </c>
      <c r="H430">
        <f>20*25</f>
        <v>500</v>
      </c>
      <c r="I430" s="160">
        <f t="shared" si="32"/>
        <v>0.05</v>
      </c>
      <c r="J430">
        <f>10</f>
        <v>10</v>
      </c>
      <c r="K430">
        <v>10</v>
      </c>
      <c r="L430">
        <f>DATEDIF("15/3/2004", "31/5/2004", "d") * 4</f>
        <v>308</v>
      </c>
      <c r="M430">
        <f>DATEDIF("15/3/2004", "31/5/2007", "D")</f>
        <v>1172</v>
      </c>
      <c r="N430">
        <v>0</v>
      </c>
      <c r="O430">
        <v>1</v>
      </c>
      <c r="P430">
        <v>0</v>
      </c>
      <c r="Q430">
        <v>0</v>
      </c>
      <c r="R430" t="s">
        <v>937</v>
      </c>
      <c r="S430" t="s">
        <v>885</v>
      </c>
      <c r="T430" t="s">
        <v>938</v>
      </c>
    </row>
    <row r="431" spans="1:21" ht="15.75" customHeight="1">
      <c r="A431" s="112" t="s">
        <v>6</v>
      </c>
      <c r="B431" t="s">
        <v>939</v>
      </c>
      <c r="C431" s="112">
        <v>2013</v>
      </c>
      <c r="D431" s="112" t="s">
        <v>802</v>
      </c>
      <c r="E431" t="s">
        <v>617</v>
      </c>
      <c r="F431" s="112" t="s">
        <v>940</v>
      </c>
      <c r="G431">
        <f>(PI()*(0.3/2)^2)*7</f>
        <v>0.49480084294039245</v>
      </c>
      <c r="H431">
        <v>1</v>
      </c>
      <c r="I431" s="160">
        <f t="shared" si="32"/>
        <v>4.9480084294039245E-5</v>
      </c>
      <c r="J431">
        <f>60/(60*24)</f>
        <v>4.1666666666666664E-2</v>
      </c>
      <c r="K431" s="155">
        <f>(365*3+5*30) / 36</f>
        <v>34.583333333333336</v>
      </c>
      <c r="L431">
        <f>J431*36</f>
        <v>1.5</v>
      </c>
      <c r="M431">
        <f>DATEDIF("1/1/2009", "31/5/2012", "d")</f>
        <v>1246</v>
      </c>
      <c r="N431">
        <v>0</v>
      </c>
      <c r="O431">
        <v>0</v>
      </c>
      <c r="P431">
        <v>2</v>
      </c>
      <c r="Q431">
        <v>0</v>
      </c>
      <c r="S431" t="s">
        <v>170</v>
      </c>
      <c r="T431" t="s">
        <v>941</v>
      </c>
    </row>
    <row r="432" spans="1:21" ht="15.75" customHeight="1">
      <c r="A432" s="112" t="s">
        <v>6</v>
      </c>
      <c r="B432" t="s">
        <v>942</v>
      </c>
      <c r="C432" s="112">
        <v>2014</v>
      </c>
      <c r="D432" s="112" t="s">
        <v>802</v>
      </c>
      <c r="E432" s="112" t="s">
        <v>943</v>
      </c>
      <c r="F432" s="112" t="s">
        <v>944</v>
      </c>
      <c r="G432">
        <f>PI()*0.5^2</f>
        <v>0.78539816339744828</v>
      </c>
      <c r="H432">
        <v>160</v>
      </c>
      <c r="I432" s="160">
        <f t="shared" si="32"/>
        <v>1.2566370614359173E-2</v>
      </c>
      <c r="J432">
        <f>120/(60*24)</f>
        <v>8.3333333333333329E-2</v>
      </c>
      <c r="K432">
        <v>0</v>
      </c>
      <c r="L432">
        <f>J432</f>
        <v>8.3333333333333329E-2</v>
      </c>
      <c r="M432">
        <f>DATEDIF("28/12/2011", "25/1/2012", "d")</f>
        <v>28</v>
      </c>
      <c r="N432">
        <v>2</v>
      </c>
      <c r="O432">
        <v>2</v>
      </c>
      <c r="P432">
        <v>2</v>
      </c>
      <c r="Q432">
        <v>1</v>
      </c>
      <c r="S432" t="s">
        <v>945</v>
      </c>
      <c r="T432" t="s">
        <v>946</v>
      </c>
    </row>
    <row r="433" spans="1:21" ht="15.75" customHeight="1">
      <c r="A433" s="114" t="s">
        <v>6</v>
      </c>
      <c r="B433" t="s">
        <v>942</v>
      </c>
      <c r="C433" s="112">
        <v>2014</v>
      </c>
      <c r="D433" s="112" t="s">
        <v>802</v>
      </c>
      <c r="E433" s="112" t="s">
        <v>943</v>
      </c>
      <c r="F433" s="112" t="s">
        <v>944</v>
      </c>
      <c r="G433">
        <f>PI()*0.05^2</f>
        <v>7.8539816339744835E-3</v>
      </c>
      <c r="H433">
        <f>((M433*24*60) / 10)</f>
        <v>4032</v>
      </c>
      <c r="I433" s="160">
        <f t="shared" si="32"/>
        <v>3.1667253948185117E-3</v>
      </c>
      <c r="J433">
        <f>1/(60*60*24)</f>
        <v>1.1574074074074073E-5</v>
      </c>
      <c r="K433">
        <f>10/(60*24)</f>
        <v>6.9444444444444441E-3</v>
      </c>
      <c r="L433">
        <f>J433*H433</f>
        <v>4.6666666666666662E-2</v>
      </c>
      <c r="M433">
        <f>DATEDIF("28/12/2011", "25/1/2012", "d")</f>
        <v>28</v>
      </c>
      <c r="N433">
        <v>0</v>
      </c>
      <c r="O433">
        <v>0</v>
      </c>
      <c r="P433">
        <v>1</v>
      </c>
      <c r="Q433">
        <v>0</v>
      </c>
      <c r="S433" t="s">
        <v>11</v>
      </c>
      <c r="T433" t="s">
        <v>947</v>
      </c>
    </row>
    <row r="434" spans="1:21" ht="15.75" customHeight="1">
      <c r="A434" s="114" t="s">
        <v>6</v>
      </c>
      <c r="B434" t="s">
        <v>942</v>
      </c>
      <c r="C434" s="112">
        <v>2014</v>
      </c>
      <c r="D434" s="112" t="s">
        <v>290</v>
      </c>
      <c r="E434" s="112" t="s">
        <v>943</v>
      </c>
      <c r="F434" s="112" t="s">
        <v>944</v>
      </c>
      <c r="G434">
        <v>640050</v>
      </c>
      <c r="H434">
        <f>759817+36418242</f>
        <v>37178059</v>
      </c>
      <c r="I434" s="160">
        <f t="shared" si="32"/>
        <v>2379581666.2950001</v>
      </c>
      <c r="J434">
        <f>1/(60*60*24)</f>
        <v>1.1574074074074073E-5</v>
      </c>
      <c r="K434">
        <v>1</v>
      </c>
      <c r="L434">
        <f>DATEDIF("1/9/2011","29/2/2012","d")*J434</f>
        <v>2.0949074074074073E-3</v>
      </c>
      <c r="M434">
        <f>DATEDIF("1/9/2011","29/2/2012","d")</f>
        <v>181</v>
      </c>
      <c r="N434">
        <v>0</v>
      </c>
      <c r="O434">
        <v>0</v>
      </c>
      <c r="P434">
        <v>2</v>
      </c>
      <c r="Q434">
        <v>0</v>
      </c>
      <c r="S434" t="s">
        <v>948</v>
      </c>
      <c r="T434" t="s">
        <v>949</v>
      </c>
    </row>
    <row r="435" spans="1:21" ht="15.75" customHeight="1">
      <c r="A435" s="114" t="s">
        <v>6</v>
      </c>
      <c r="B435" t="s">
        <v>942</v>
      </c>
      <c r="C435" s="112">
        <v>2014</v>
      </c>
      <c r="D435" s="112" t="s">
        <v>802</v>
      </c>
      <c r="E435" s="112" t="s">
        <v>943</v>
      </c>
      <c r="F435" s="112" t="s">
        <v>944</v>
      </c>
      <c r="G435">
        <f>PI()*0.05^2</f>
        <v>7.8539816339744835E-3</v>
      </c>
      <c r="H435">
        <v>13</v>
      </c>
      <c r="I435" s="160">
        <f t="shared" si="32"/>
        <v>1.0210176124166828E-5</v>
      </c>
      <c r="J435">
        <f>1/(60*60*24)</f>
        <v>1.1574074074074073E-5</v>
      </c>
      <c r="K435" s="155">
        <f>(365*3+5*30) / 13</f>
        <v>95.769230769230774</v>
      </c>
      <c r="L435">
        <f>J435*30</f>
        <v>3.4722222222222218E-4</v>
      </c>
      <c r="M435">
        <f>DATEDIF("28/12/2011", "25/1/2012", "d")</f>
        <v>28</v>
      </c>
      <c r="N435">
        <v>0</v>
      </c>
      <c r="O435">
        <v>0</v>
      </c>
      <c r="P435">
        <v>1</v>
      </c>
      <c r="Q435">
        <v>0</v>
      </c>
      <c r="S435" t="s">
        <v>35</v>
      </c>
      <c r="T435" t="s">
        <v>950</v>
      </c>
    </row>
    <row r="436" spans="1:21" s="135" customFormat="1" ht="15.75" customHeight="1">
      <c r="A436" s="161" t="s">
        <v>814</v>
      </c>
      <c r="B436" s="135" t="s">
        <v>951</v>
      </c>
      <c r="C436" s="135">
        <v>2005</v>
      </c>
      <c r="D436" s="135" t="s">
        <v>125</v>
      </c>
      <c r="E436" s="135" t="s">
        <v>751</v>
      </c>
      <c r="I436" s="149"/>
      <c r="U436" s="135" t="s">
        <v>858</v>
      </c>
    </row>
    <row r="437" spans="1:21" ht="15.75" customHeight="1">
      <c r="A437" s="114" t="s">
        <v>952</v>
      </c>
      <c r="B437" t="s">
        <v>953</v>
      </c>
      <c r="C437" s="112">
        <v>2006</v>
      </c>
      <c r="D437" s="112" t="s">
        <v>802</v>
      </c>
      <c r="E437" s="112" t="s">
        <v>796</v>
      </c>
      <c r="F437" s="112" t="s">
        <v>954</v>
      </c>
      <c r="G437">
        <f>PI()*0.075^2</f>
        <v>1.7671458676442587E-2</v>
      </c>
      <c r="H437">
        <v>37</v>
      </c>
      <c r="I437" s="162">
        <f t="shared" si="32"/>
        <v>6.5384397102837574E-5</v>
      </c>
      <c r="J437">
        <f>5/(60*24)</f>
        <v>3.472222222222222E-3</v>
      </c>
      <c r="K437">
        <v>1</v>
      </c>
      <c r="L437">
        <f>J437*60</f>
        <v>0.20833333333333331</v>
      </c>
      <c r="M437">
        <f>DATEDIF("1/4/2001", "15/5/2002", "d")</f>
        <v>409</v>
      </c>
      <c r="N437">
        <v>0</v>
      </c>
      <c r="O437">
        <v>1</v>
      </c>
      <c r="P437">
        <v>0</v>
      </c>
      <c r="Q437">
        <v>1</v>
      </c>
      <c r="S437" t="s">
        <v>955</v>
      </c>
      <c r="T437" t="s">
        <v>956</v>
      </c>
    </row>
    <row r="438" spans="1:21" ht="15.75" customHeight="1">
      <c r="A438" s="114" t="s">
        <v>952</v>
      </c>
      <c r="B438" t="s">
        <v>953</v>
      </c>
      <c r="C438" s="112">
        <v>2006</v>
      </c>
      <c r="D438" s="112" t="s">
        <v>802</v>
      </c>
      <c r="E438" s="112" t="s">
        <v>796</v>
      </c>
      <c r="F438" s="112" t="s">
        <v>954</v>
      </c>
      <c r="G438">
        <f>PI()*0.025^2</f>
        <v>1.9634954084936209E-3</v>
      </c>
      <c r="H438">
        <v>158</v>
      </c>
      <c r="I438" s="162">
        <f t="shared" si="32"/>
        <v>3.1023227454199211E-5</v>
      </c>
      <c r="J438">
        <f>10/(60*24)</f>
        <v>6.9444444444444441E-3</v>
      </c>
      <c r="K438">
        <f>AVERAGE(3, 5)</f>
        <v>4</v>
      </c>
      <c r="L438">
        <f>3*J438</f>
        <v>2.0833333333333332E-2</v>
      </c>
      <c r="M438">
        <f>DATEDIF("1/4/2001", "15/5/2002", "d")</f>
        <v>409</v>
      </c>
      <c r="N438">
        <v>0</v>
      </c>
      <c r="O438">
        <v>2</v>
      </c>
      <c r="P438">
        <v>0</v>
      </c>
      <c r="Q438">
        <v>1</v>
      </c>
      <c r="S438" t="s">
        <v>955</v>
      </c>
    </row>
    <row r="439" spans="1:21" ht="15.75" customHeight="1">
      <c r="A439" s="114" t="s">
        <v>870</v>
      </c>
      <c r="B439" t="s">
        <v>957</v>
      </c>
      <c r="C439" s="112">
        <v>2009</v>
      </c>
      <c r="D439" s="112" t="s">
        <v>802</v>
      </c>
      <c r="E439" s="112" t="s">
        <v>958</v>
      </c>
      <c r="F439" s="112" t="s">
        <v>959</v>
      </c>
      <c r="G439">
        <f>PI()*0.005^2</f>
        <v>7.8539816339744827E-5</v>
      </c>
      <c r="H439">
        <f>5*3+1*3+4*3</f>
        <v>30</v>
      </c>
      <c r="I439" s="162">
        <f>G439*H439</f>
        <v>2.3561944901923449E-3</v>
      </c>
      <c r="J439">
        <f>1/(60*24)</f>
        <v>6.9444444444444447E-4</v>
      </c>
      <c r="K439">
        <v>0</v>
      </c>
      <c r="L439">
        <f>J439</f>
        <v>6.9444444444444447E-4</v>
      </c>
      <c r="M439">
        <f>DATEDIF("14/3/2006", "7/4/2006", "d")</f>
        <v>24</v>
      </c>
      <c r="N439">
        <v>0</v>
      </c>
      <c r="O439">
        <v>1</v>
      </c>
      <c r="P439">
        <v>1</v>
      </c>
      <c r="Q439">
        <v>0</v>
      </c>
      <c r="S439" t="s">
        <v>960</v>
      </c>
      <c r="T439" t="s">
        <v>961</v>
      </c>
    </row>
    <row r="440" spans="1:21" s="112" customFormat="1" ht="15.75" customHeight="1">
      <c r="A440" s="114" t="s">
        <v>962</v>
      </c>
      <c r="B440" s="112" t="s">
        <v>963</v>
      </c>
      <c r="C440" s="112">
        <v>2010</v>
      </c>
      <c r="D440" s="112" t="s">
        <v>802</v>
      </c>
      <c r="E440" s="112" t="s">
        <v>964</v>
      </c>
      <c r="F440" s="112" t="s">
        <v>965</v>
      </c>
      <c r="G440" s="112">
        <f>201</f>
        <v>201</v>
      </c>
      <c r="H440" s="112">
        <v>5</v>
      </c>
      <c r="I440" s="162">
        <f t="shared" si="32"/>
        <v>0.10050000000000001</v>
      </c>
      <c r="J440" s="112">
        <f>60/(24*60)</f>
        <v>4.1666666666666664E-2</v>
      </c>
      <c r="K440" s="112">
        <f>365</f>
        <v>365</v>
      </c>
      <c r="L440" s="112">
        <f>J440*3</f>
        <v>0.125</v>
      </c>
      <c r="M440" s="112">
        <f>DATEDIF("1/7/2005", "1/7/2007", "d")</f>
        <v>730</v>
      </c>
      <c r="N440" s="112">
        <v>1</v>
      </c>
      <c r="O440" s="112">
        <v>2</v>
      </c>
      <c r="P440" s="112">
        <v>0</v>
      </c>
      <c r="Q440" s="112">
        <v>1</v>
      </c>
      <c r="R440" s="112" t="s">
        <v>966</v>
      </c>
      <c r="S440" s="112" t="s">
        <v>967</v>
      </c>
      <c r="T440" s="112" t="s">
        <v>968</v>
      </c>
    </row>
    <row r="441" spans="1:21" ht="15.75" customHeight="1">
      <c r="A441" s="114" t="s">
        <v>962</v>
      </c>
      <c r="B441" t="s">
        <v>963</v>
      </c>
      <c r="C441" s="112">
        <v>2010</v>
      </c>
      <c r="D441" s="112" t="s">
        <v>802</v>
      </c>
      <c r="E441" s="112" t="s">
        <v>964</v>
      </c>
      <c r="F441" s="112" t="s">
        <v>965</v>
      </c>
      <c r="G441" s="3">
        <f>PI()*0.005^2</f>
        <v>7.8539816339744827E-5</v>
      </c>
      <c r="H441">
        <v>1</v>
      </c>
      <c r="I441" s="162">
        <f t="shared" si="32"/>
        <v>7.8539816339744827E-9</v>
      </c>
      <c r="J441">
        <f>1/(60*60*24)</f>
        <v>1.1574074074074073E-5</v>
      </c>
      <c r="K441">
        <f>10/(60*60*24)</f>
        <v>1.1574074074074075E-4</v>
      </c>
      <c r="L441" s="112">
        <f>265*3</f>
        <v>795</v>
      </c>
      <c r="M441" s="112">
        <f>365*3</f>
        <v>1095</v>
      </c>
      <c r="N441">
        <v>0</v>
      </c>
      <c r="O441">
        <v>0</v>
      </c>
      <c r="P441">
        <v>2</v>
      </c>
      <c r="Q441">
        <v>0</v>
      </c>
      <c r="R441" s="112" t="s">
        <v>966</v>
      </c>
      <c r="S441" t="s">
        <v>969</v>
      </c>
      <c r="T441" t="s">
        <v>970</v>
      </c>
    </row>
    <row r="442" spans="1:21" ht="15.75" customHeight="1">
      <c r="A442" s="114" t="s">
        <v>962</v>
      </c>
      <c r="B442" t="s">
        <v>963</v>
      </c>
      <c r="C442" s="112">
        <v>2010</v>
      </c>
      <c r="D442" s="112" t="s">
        <v>802</v>
      </c>
      <c r="E442" s="112" t="s">
        <v>964</v>
      </c>
      <c r="F442" s="112" t="s">
        <v>965</v>
      </c>
      <c r="G442">
        <f>0.3*10000</f>
        <v>3000</v>
      </c>
      <c r="H442">
        <v>1</v>
      </c>
      <c r="I442" s="162">
        <f t="shared" si="32"/>
        <v>0.3</v>
      </c>
      <c r="J442" s="112">
        <f>60/(24*60)</f>
        <v>4.1666666666666664E-2</v>
      </c>
      <c r="K442" s="112">
        <v>0</v>
      </c>
      <c r="L442" s="112">
        <f>J442</f>
        <v>4.1666666666666664E-2</v>
      </c>
      <c r="M442">
        <v>1</v>
      </c>
      <c r="N442">
        <v>1</v>
      </c>
      <c r="O442">
        <v>2</v>
      </c>
      <c r="P442">
        <v>0</v>
      </c>
      <c r="Q442">
        <v>1</v>
      </c>
      <c r="S442" t="s">
        <v>967</v>
      </c>
      <c r="T442" t="s">
        <v>971</v>
      </c>
    </row>
    <row r="443" spans="1:21" ht="15.75" customHeight="1">
      <c r="A443" s="114" t="s">
        <v>962</v>
      </c>
      <c r="B443" t="s">
        <v>963</v>
      </c>
      <c r="C443" s="112">
        <v>2010</v>
      </c>
      <c r="D443" s="112" t="s">
        <v>802</v>
      </c>
      <c r="E443" s="112" t="s">
        <v>964</v>
      </c>
      <c r="F443" s="112" t="s">
        <v>965</v>
      </c>
      <c r="G443">
        <f>0.01*0.05</f>
        <v>5.0000000000000001E-4</v>
      </c>
      <c r="H443">
        <v>36</v>
      </c>
      <c r="I443" s="162">
        <f t="shared" si="32"/>
        <v>1.8000000000000001E-6</v>
      </c>
      <c r="J443" s="112">
        <f>15/(60*24)</f>
        <v>1.0416666666666666E-2</v>
      </c>
      <c r="K443" s="112">
        <v>0</v>
      </c>
      <c r="L443" s="112">
        <f>J443</f>
        <v>1.0416666666666666E-2</v>
      </c>
      <c r="M443">
        <v>1</v>
      </c>
      <c r="N443">
        <v>1</v>
      </c>
      <c r="O443">
        <v>0</v>
      </c>
      <c r="P443">
        <v>1</v>
      </c>
      <c r="Q443">
        <v>1</v>
      </c>
      <c r="S443" t="s">
        <v>967</v>
      </c>
      <c r="T443" t="s">
        <v>972</v>
      </c>
    </row>
    <row r="444" spans="1:21" ht="15.75" customHeight="1">
      <c r="A444" s="114" t="s">
        <v>962</v>
      </c>
      <c r="B444" t="s">
        <v>963</v>
      </c>
      <c r="C444" s="112">
        <v>2010</v>
      </c>
      <c r="D444" s="112" t="s">
        <v>802</v>
      </c>
      <c r="E444" s="112" t="s">
        <v>964</v>
      </c>
      <c r="F444" s="112" t="s">
        <v>965</v>
      </c>
      <c r="G444">
        <v>0.42</v>
      </c>
      <c r="H444">
        <v>10</v>
      </c>
      <c r="I444" s="162">
        <f t="shared" si="32"/>
        <v>4.2000000000000002E-4</v>
      </c>
      <c r="J444">
        <v>30</v>
      </c>
      <c r="K444">
        <v>30</v>
      </c>
      <c r="L444" s="112">
        <f>15*J444</f>
        <v>450</v>
      </c>
      <c r="M444" s="112">
        <f>DATEDIF("1/5/2005", "1/10/2007", "d")</f>
        <v>883</v>
      </c>
      <c r="N444">
        <v>0</v>
      </c>
      <c r="O444">
        <v>0</v>
      </c>
      <c r="P444">
        <v>1</v>
      </c>
      <c r="Q444">
        <v>0</v>
      </c>
      <c r="R444" s="112" t="s">
        <v>966</v>
      </c>
      <c r="S444" t="s">
        <v>165</v>
      </c>
      <c r="T444" t="s">
        <v>973</v>
      </c>
    </row>
    <row r="445" spans="1:21" ht="15.75" customHeight="1">
      <c r="A445" s="114" t="s">
        <v>962</v>
      </c>
      <c r="B445" t="s">
        <v>963</v>
      </c>
      <c r="C445" s="112">
        <v>2010</v>
      </c>
      <c r="D445" s="112" t="s">
        <v>802</v>
      </c>
      <c r="E445" s="112" t="s">
        <v>964</v>
      </c>
      <c r="F445" s="112" t="s">
        <v>965</v>
      </c>
      <c r="G445">
        <f>PI()*0.1^2</f>
        <v>3.1415926535897934E-2</v>
      </c>
      <c r="H445">
        <f>5+6+71</f>
        <v>82</v>
      </c>
      <c r="I445" s="162">
        <f t="shared" si="32"/>
        <v>2.5761059759436307E-4</v>
      </c>
      <c r="J445">
        <f>30/(60*24)</f>
        <v>2.0833333333333332E-2</v>
      </c>
      <c r="K445">
        <f>J445</f>
        <v>2.0833333333333332E-2</v>
      </c>
      <c r="L445">
        <f>DATEDIF("7/5/2006","30/9/2006","d")*J445</f>
        <v>3.0416666666666665</v>
      </c>
      <c r="M445">
        <f>DATEDIF("7/5/2006","30/9/2006","d")</f>
        <v>146</v>
      </c>
      <c r="N445">
        <v>0</v>
      </c>
      <c r="O445">
        <v>0</v>
      </c>
      <c r="P445">
        <v>1</v>
      </c>
      <c r="Q445">
        <v>0</v>
      </c>
      <c r="S445" t="s">
        <v>974</v>
      </c>
      <c r="T445" t="s">
        <v>975</v>
      </c>
    </row>
    <row r="446" spans="1:21" ht="15.75" customHeight="1">
      <c r="A446" s="114" t="s">
        <v>962</v>
      </c>
      <c r="B446" t="s">
        <v>963</v>
      </c>
      <c r="C446" s="112">
        <v>2010</v>
      </c>
      <c r="D446" s="112" t="s">
        <v>802</v>
      </c>
      <c r="E446" s="112" t="s">
        <v>964</v>
      </c>
      <c r="F446" s="112" t="s">
        <v>965</v>
      </c>
      <c r="G446">
        <f>((0.1*0.1)*45+(0.01*0.02)*6+(0.1*0.1)*3+(0.005*0.4)*3)/57</f>
        <v>8.5473684210526334E-3</v>
      </c>
      <c r="H446">
        <f>45+6+3+3</f>
        <v>57</v>
      </c>
      <c r="I446" s="162">
        <f t="shared" si="32"/>
        <v>4.8720000000000008E-5</v>
      </c>
      <c r="J446" s="112">
        <f>5/(60*24)</f>
        <v>3.472222222222222E-3</v>
      </c>
      <c r="K446">
        <f>30</f>
        <v>30</v>
      </c>
      <c r="L446">
        <f>5*J446</f>
        <v>1.7361111111111112E-2</v>
      </c>
      <c r="M446">
        <f>DATEDIF("7/5/2006","30/9/2006","d")</f>
        <v>146</v>
      </c>
      <c r="N446">
        <v>1</v>
      </c>
      <c r="O446">
        <v>0</v>
      </c>
      <c r="P446">
        <v>2</v>
      </c>
      <c r="Q446">
        <v>0</v>
      </c>
      <c r="S446" t="s">
        <v>976</v>
      </c>
      <c r="T446" t="s">
        <v>977</v>
      </c>
    </row>
    <row r="447" spans="1:21" ht="15.75" customHeight="1">
      <c r="A447" s="114" t="s">
        <v>962</v>
      </c>
      <c r="B447" t="s">
        <v>963</v>
      </c>
      <c r="C447" s="112">
        <v>2010</v>
      </c>
      <c r="D447" s="112" t="s">
        <v>802</v>
      </c>
      <c r="E447" s="112" t="s">
        <v>964</v>
      </c>
      <c r="F447" s="112" t="s">
        <v>965</v>
      </c>
      <c r="G447">
        <f>0.25*0.37</f>
        <v>9.2499999999999999E-2</v>
      </c>
      <c r="H447">
        <v>1</v>
      </c>
      <c r="I447" s="162">
        <f t="shared" si="32"/>
        <v>9.2499999999999995E-6</v>
      </c>
      <c r="J447">
        <f>30/(60*24)</f>
        <v>2.0833333333333332E-2</v>
      </c>
      <c r="K447">
        <f>J447</f>
        <v>2.0833333333333332E-2</v>
      </c>
      <c r="L447">
        <f>DATEDIF("1/11/2004","31/12/2007","d")*K447</f>
        <v>24.0625</v>
      </c>
      <c r="M447">
        <f>DATEDIF("1/11/2004","31/12/2007","d")</f>
        <v>1155</v>
      </c>
      <c r="N447">
        <v>0</v>
      </c>
      <c r="O447">
        <v>0</v>
      </c>
      <c r="P447">
        <v>1</v>
      </c>
      <c r="Q447">
        <v>0</v>
      </c>
      <c r="R447" s="112" t="s">
        <v>966</v>
      </c>
      <c r="S447" t="s">
        <v>978</v>
      </c>
      <c r="T447" t="s">
        <v>979</v>
      </c>
    </row>
    <row r="448" spans="1:21" ht="15.75" customHeight="1">
      <c r="A448" s="114" t="s">
        <v>962</v>
      </c>
      <c r="B448" t="s">
        <v>963</v>
      </c>
      <c r="C448" s="112">
        <v>2010</v>
      </c>
      <c r="D448" s="112" t="s">
        <v>802</v>
      </c>
      <c r="E448" s="112" t="s">
        <v>964</v>
      </c>
      <c r="F448" s="112" t="s">
        <v>965</v>
      </c>
      <c r="G448">
        <v>1</v>
      </c>
      <c r="H448">
        <v>15</v>
      </c>
      <c r="I448" s="162">
        <f t="shared" si="32"/>
        <v>1.5E-3</v>
      </c>
      <c r="J448">
        <f>10/(60*24)</f>
        <v>6.9444444444444441E-3</v>
      </c>
      <c r="K448">
        <v>0</v>
      </c>
      <c r="L448">
        <f>J448</f>
        <v>6.9444444444444441E-3</v>
      </c>
      <c r="M448">
        <f>DATEDIF("7/5/2006","30/9/2006","d")</f>
        <v>146</v>
      </c>
      <c r="N448">
        <v>1</v>
      </c>
      <c r="O448">
        <v>1</v>
      </c>
      <c r="P448">
        <v>0</v>
      </c>
      <c r="Q448">
        <v>1</v>
      </c>
      <c r="S448" t="s">
        <v>980</v>
      </c>
      <c r="T448" t="s">
        <v>981</v>
      </c>
    </row>
    <row r="449" spans="1:21" ht="15.75" customHeight="1">
      <c r="A449" s="114" t="s">
        <v>962</v>
      </c>
      <c r="B449" t="s">
        <v>963</v>
      </c>
      <c r="C449" s="112">
        <v>2010</v>
      </c>
      <c r="D449" s="112" t="s">
        <v>802</v>
      </c>
      <c r="E449" s="112" t="s">
        <v>964</v>
      </c>
      <c r="F449" s="112" t="s">
        <v>965</v>
      </c>
      <c r="G449" s="112">
        <f>201</f>
        <v>201</v>
      </c>
      <c r="H449" s="112">
        <v>5</v>
      </c>
      <c r="I449" s="162">
        <f t="shared" si="32"/>
        <v>0.10050000000000001</v>
      </c>
      <c r="J449">
        <f>60/(60*24)</f>
        <v>4.1666666666666664E-2</v>
      </c>
      <c r="K449">
        <v>30</v>
      </c>
      <c r="L449">
        <f>J449*3</f>
        <v>0.125</v>
      </c>
      <c r="M449">
        <f>DATEDIF("7/5/2006","30/9/2006","d")</f>
        <v>146</v>
      </c>
      <c r="N449">
        <v>0</v>
      </c>
      <c r="O449">
        <v>1</v>
      </c>
      <c r="P449">
        <v>0</v>
      </c>
      <c r="Q449">
        <v>0</v>
      </c>
      <c r="S449" t="s">
        <v>982</v>
      </c>
      <c r="T449" t="s">
        <v>983</v>
      </c>
    </row>
    <row r="450" spans="1:21" ht="15.75" customHeight="1">
      <c r="A450" s="114" t="s">
        <v>984</v>
      </c>
      <c r="B450" t="s">
        <v>985</v>
      </c>
      <c r="C450" s="112">
        <v>2013</v>
      </c>
      <c r="D450" s="114" t="s">
        <v>986</v>
      </c>
      <c r="E450" s="112" t="s">
        <v>987</v>
      </c>
      <c r="F450" s="112" t="s">
        <v>988</v>
      </c>
      <c r="G450">
        <f>3*0.5</f>
        <v>1.5</v>
      </c>
      <c r="H450" s="125">
        <v>460968</v>
      </c>
      <c r="I450" s="163">
        <f>(G450*H450)/10000</f>
        <v>69.145200000000003</v>
      </c>
      <c r="J450">
        <f>1/(60*60*24)</f>
        <v>1.1574074074074073E-5</v>
      </c>
      <c r="K450">
        <v>1.3159499442782856E-4</v>
      </c>
      <c r="L450">
        <v>0.19760288065843623</v>
      </c>
      <c r="M450">
        <f>DATEDIF("1/11/2002","1/12/2010","d")</f>
        <v>2952</v>
      </c>
      <c r="N450">
        <v>1</v>
      </c>
      <c r="O450">
        <v>1</v>
      </c>
      <c r="P450">
        <v>1</v>
      </c>
      <c r="Q450">
        <v>1</v>
      </c>
      <c r="R450" t="s">
        <v>989</v>
      </c>
      <c r="S450" t="s">
        <v>990</v>
      </c>
      <c r="T450" t="s">
        <v>991</v>
      </c>
    </row>
    <row r="451" spans="1:21" ht="15.75" customHeight="1">
      <c r="A451" s="114" t="s">
        <v>859</v>
      </c>
      <c r="B451" t="s">
        <v>992</v>
      </c>
      <c r="C451" s="112">
        <v>2005</v>
      </c>
      <c r="D451" s="114" t="s">
        <v>802</v>
      </c>
      <c r="E451" s="112" t="s">
        <v>584</v>
      </c>
      <c r="F451" s="112" t="s">
        <v>993</v>
      </c>
      <c r="G451">
        <f>PI()*0.1^2</f>
        <v>3.1415926535897934E-2</v>
      </c>
      <c r="H451">
        <f>189</f>
        <v>189</v>
      </c>
      <c r="I451" s="162">
        <f t="shared" ref="I451:I454" si="33">(G451*H451)/10000</f>
        <v>5.9376101152847094E-4</v>
      </c>
      <c r="J451">
        <f>10/(60*24)</f>
        <v>6.9444444444444441E-3</v>
      </c>
      <c r="K451">
        <f>DATEDIF("1/1/1998","1/1/2003","d")</f>
        <v>1826</v>
      </c>
      <c r="L451">
        <f>J451*2*H451</f>
        <v>2.625</v>
      </c>
      <c r="M451">
        <f>DATEDIF("1/1/1998","1/5/2003","d")</f>
        <v>1946</v>
      </c>
      <c r="N451">
        <v>1</v>
      </c>
      <c r="O451">
        <v>2</v>
      </c>
      <c r="P451">
        <v>1</v>
      </c>
      <c r="Q451">
        <v>0</v>
      </c>
      <c r="S451" t="s">
        <v>982</v>
      </c>
      <c r="T451" t="s">
        <v>994</v>
      </c>
    </row>
    <row r="452" spans="1:21" ht="15.75" customHeight="1">
      <c r="A452" s="114" t="s">
        <v>859</v>
      </c>
      <c r="B452" t="s">
        <v>992</v>
      </c>
      <c r="C452" s="112">
        <v>2005</v>
      </c>
      <c r="D452" s="114" t="s">
        <v>802</v>
      </c>
      <c r="E452" s="112" t="s">
        <v>584</v>
      </c>
      <c r="F452" s="112" t="s">
        <v>993</v>
      </c>
      <c r="G452">
        <f>PI()*0.1^2</f>
        <v>3.1415926535897934E-2</v>
      </c>
      <c r="H452">
        <f>64+168</f>
        <v>232</v>
      </c>
      <c r="I452" s="162">
        <f t="shared" si="33"/>
        <v>7.2884949563283203E-4</v>
      </c>
      <c r="J452">
        <f>10/(60*24)</f>
        <v>6.9444444444444441E-3</v>
      </c>
      <c r="K452">
        <v>0</v>
      </c>
      <c r="L452">
        <f>J452*H452</f>
        <v>1.6111111111111109</v>
      </c>
      <c r="M452">
        <f>DATEDIF("11/3/2003","10/4/2003","d")</f>
        <v>30</v>
      </c>
      <c r="N452">
        <v>1</v>
      </c>
      <c r="O452">
        <v>1</v>
      </c>
      <c r="P452">
        <v>1</v>
      </c>
      <c r="Q452">
        <v>1</v>
      </c>
      <c r="S452" t="s">
        <v>976</v>
      </c>
      <c r="T452" t="s">
        <v>995</v>
      </c>
    </row>
    <row r="453" spans="1:21" s="135" customFormat="1" ht="15.75" customHeight="1">
      <c r="A453" s="135" t="s">
        <v>952</v>
      </c>
      <c r="B453" s="135" t="s">
        <v>996</v>
      </c>
      <c r="C453" s="135">
        <v>2007</v>
      </c>
      <c r="D453" s="161" t="s">
        <v>125</v>
      </c>
      <c r="U453" s="135" t="s">
        <v>858</v>
      </c>
    </row>
    <row r="454" spans="1:21" ht="15.75" customHeight="1">
      <c r="A454" s="114" t="s">
        <v>962</v>
      </c>
      <c r="B454" t="s">
        <v>997</v>
      </c>
      <c r="C454" s="112">
        <v>2012</v>
      </c>
      <c r="D454" s="114" t="s">
        <v>802</v>
      </c>
      <c r="E454" s="112" t="s">
        <v>998</v>
      </c>
      <c r="F454" s="112" t="s">
        <v>999</v>
      </c>
      <c r="G454">
        <f>AVERAGE(0.012, 0.05)*10000</f>
        <v>310</v>
      </c>
      <c r="H454">
        <v>60</v>
      </c>
      <c r="I454" s="162">
        <f t="shared" si="33"/>
        <v>1.86</v>
      </c>
      <c r="J454">
        <f>30/(60*24)</f>
        <v>2.0833333333333332E-2</v>
      </c>
      <c r="K454">
        <v>365</v>
      </c>
      <c r="L454">
        <f>J454*H454*3</f>
        <v>3.75</v>
      </c>
      <c r="M454">
        <f>DATEDIF("1/6/2009","31/8/2011","d")</f>
        <v>821</v>
      </c>
      <c r="N454">
        <v>1</v>
      </c>
      <c r="O454">
        <v>2</v>
      </c>
      <c r="P454">
        <v>0</v>
      </c>
      <c r="Q454">
        <v>0</v>
      </c>
      <c r="S454" t="s">
        <v>195</v>
      </c>
      <c r="T454" t="s">
        <v>1000</v>
      </c>
    </row>
    <row r="455" spans="1:21" ht="15.75" customHeight="1">
      <c r="A455" s="114" t="s">
        <v>962</v>
      </c>
      <c r="B455" t="s">
        <v>997</v>
      </c>
      <c r="C455" s="112">
        <v>2012</v>
      </c>
      <c r="D455" s="114" t="s">
        <v>290</v>
      </c>
      <c r="E455" s="112" t="s">
        <v>998</v>
      </c>
      <c r="F455" s="112" t="s">
        <v>999</v>
      </c>
      <c r="G455">
        <f>30*30</f>
        <v>900</v>
      </c>
      <c r="H455" s="125">
        <f>6600 * 6087</f>
        <v>40174200</v>
      </c>
      <c r="I455" s="125">
        <f>(H455*G455) / 10000</f>
        <v>3615678</v>
      </c>
      <c r="J455">
        <f>1/(60*60*24)</f>
        <v>1.1574074074074073E-5</v>
      </c>
      <c r="K455">
        <v>0</v>
      </c>
      <c r="L455">
        <f>J455</f>
        <v>1.1574074074074073E-5</v>
      </c>
      <c r="M455">
        <v>1</v>
      </c>
      <c r="N455">
        <v>0</v>
      </c>
      <c r="O455">
        <v>2</v>
      </c>
      <c r="P455">
        <v>0</v>
      </c>
      <c r="Q455">
        <v>0</v>
      </c>
      <c r="T455" t="s">
        <v>1001</v>
      </c>
    </row>
    <row r="456" spans="1:21" s="135" customFormat="1" ht="15.75" customHeight="1">
      <c r="A456" s="161" t="s">
        <v>832</v>
      </c>
      <c r="B456" s="135" t="s">
        <v>1002</v>
      </c>
      <c r="C456" s="135">
        <v>2013</v>
      </c>
      <c r="D456" s="161" t="s">
        <v>125</v>
      </c>
      <c r="E456" s="135" t="s">
        <v>751</v>
      </c>
      <c r="U456" s="135" t="s">
        <v>1003</v>
      </c>
    </row>
    <row r="457" spans="1:21" ht="15.75" customHeight="1">
      <c r="A457" s="114" t="s">
        <v>6</v>
      </c>
      <c r="B457" t="s">
        <v>1004</v>
      </c>
      <c r="C457" s="112">
        <v>2005</v>
      </c>
      <c r="D457" s="114" t="s">
        <v>802</v>
      </c>
      <c r="E457" s="112" t="s">
        <v>1005</v>
      </c>
      <c r="F457" s="112" t="s">
        <v>1006</v>
      </c>
      <c r="G457">
        <f>PI()*0.09^2</f>
        <v>2.5446900494077322E-2</v>
      </c>
      <c r="H457">
        <v>7</v>
      </c>
      <c r="I457" s="162">
        <f t="shared" ref="I457:I467" si="34">(G457*H457)/10000</f>
        <v>1.7812830345854125E-5</v>
      </c>
      <c r="J457">
        <v>1</v>
      </c>
      <c r="K457">
        <v>30</v>
      </c>
      <c r="L457">
        <f>J457*19</f>
        <v>19</v>
      </c>
      <c r="M457" s="112">
        <f>DATEDIF("1/3/2001", "30/6/2002", "d")</f>
        <v>486</v>
      </c>
      <c r="N457">
        <v>0</v>
      </c>
      <c r="O457">
        <v>0</v>
      </c>
      <c r="P457">
        <v>1</v>
      </c>
      <c r="Q457">
        <v>0</v>
      </c>
      <c r="R457" t="s">
        <v>1007</v>
      </c>
      <c r="S457" t="s">
        <v>144</v>
      </c>
      <c r="T457" t="s">
        <v>1008</v>
      </c>
    </row>
    <row r="458" spans="1:21" ht="15.75" customHeight="1">
      <c r="A458" s="114" t="s">
        <v>6</v>
      </c>
      <c r="B458" t="s">
        <v>1004</v>
      </c>
      <c r="C458" s="112">
        <v>2005</v>
      </c>
      <c r="D458" s="114" t="s">
        <v>802</v>
      </c>
      <c r="E458" s="112" t="s">
        <v>1005</v>
      </c>
      <c r="F458" s="112" t="s">
        <v>1006</v>
      </c>
      <c r="G458">
        <f>PI()*0.375^2</f>
        <v>0.44178646691106466</v>
      </c>
      <c r="H458">
        <v>32</v>
      </c>
      <c r="I458" s="162">
        <f t="shared" si="34"/>
        <v>1.4137166941154068E-3</v>
      </c>
      <c r="J458">
        <f>(18*2)*(1/(60*60*24))</f>
        <v>4.1666666666666664E-4</v>
      </c>
      <c r="K458">
        <v>0</v>
      </c>
      <c r="L458">
        <f>J458</f>
        <v>4.1666666666666664E-4</v>
      </c>
      <c r="M458">
        <v>1</v>
      </c>
      <c r="N458">
        <v>0</v>
      </c>
      <c r="O458">
        <v>0</v>
      </c>
      <c r="P458">
        <v>2</v>
      </c>
      <c r="Q458">
        <v>0</v>
      </c>
      <c r="S458" t="s">
        <v>976</v>
      </c>
      <c r="T458" t="s">
        <v>1009</v>
      </c>
    </row>
    <row r="459" spans="1:21" ht="15.75" customHeight="1">
      <c r="A459" s="114" t="s">
        <v>6</v>
      </c>
      <c r="B459" t="s">
        <v>1004</v>
      </c>
      <c r="C459" s="112">
        <v>2005</v>
      </c>
      <c r="D459" s="114" t="s">
        <v>802</v>
      </c>
      <c r="E459" s="112" t="s">
        <v>1005</v>
      </c>
      <c r="F459" s="112" t="s">
        <v>1006</v>
      </c>
      <c r="G459">
        <f>PI()*0.375^2</f>
        <v>0.44178646691106466</v>
      </c>
      <c r="H459">
        <v>11</v>
      </c>
      <c r="I459" s="162">
        <f t="shared" si="34"/>
        <v>4.8596511360217117E-4</v>
      </c>
      <c r="J459">
        <f>(18*2)*(1/(60*60*24))</f>
        <v>4.1666666666666664E-4</v>
      </c>
      <c r="K459">
        <v>0</v>
      </c>
      <c r="L459">
        <f>J459</f>
        <v>4.1666666666666664E-4</v>
      </c>
      <c r="M459" s="112">
        <f>DATEDIF("3/3/2002", "27/6/2002", "d")</f>
        <v>116</v>
      </c>
      <c r="N459">
        <v>0</v>
      </c>
      <c r="O459">
        <v>0</v>
      </c>
      <c r="P459">
        <v>2</v>
      </c>
      <c r="Q459">
        <v>0</v>
      </c>
      <c r="S459" t="s">
        <v>976</v>
      </c>
      <c r="T459" t="s">
        <v>1010</v>
      </c>
    </row>
    <row r="460" spans="1:21" ht="15.75" customHeight="1">
      <c r="A460" s="114" t="s">
        <v>6</v>
      </c>
      <c r="B460" t="s">
        <v>1004</v>
      </c>
      <c r="C460" s="112">
        <v>2005</v>
      </c>
      <c r="D460" s="114" t="s">
        <v>986</v>
      </c>
      <c r="E460" s="112" t="s">
        <v>1005</v>
      </c>
      <c r="F460" s="112" t="s">
        <v>1006</v>
      </c>
      <c r="G460">
        <f>PI()*0.15^2</f>
        <v>7.0685834705770348E-2</v>
      </c>
      <c r="H460">
        <f>4*9</f>
        <v>36</v>
      </c>
      <c r="I460" s="162">
        <f t="shared" si="34"/>
        <v>2.5446900494077327E-4</v>
      </c>
      <c r="J460" s="164">
        <f>(2/(24*60))*(AVERAGE(18,35,37,20,13,33,33,16)/4)</f>
        <v>8.8975694444444441E-3</v>
      </c>
      <c r="K460">
        <v>0</v>
      </c>
      <c r="L460" s="164">
        <f>J460</f>
        <v>8.8975694444444441E-3</v>
      </c>
      <c r="M460" s="112">
        <f>DATEDIF("1/3/2002", "25/6/2002", "d")</f>
        <v>116</v>
      </c>
      <c r="N460">
        <v>0</v>
      </c>
      <c r="O460">
        <v>0</v>
      </c>
      <c r="P460">
        <v>1</v>
      </c>
      <c r="Q460">
        <v>0</v>
      </c>
      <c r="S460" t="s">
        <v>898</v>
      </c>
      <c r="T460" t="s">
        <v>1011</v>
      </c>
    </row>
    <row r="461" spans="1:21" ht="15.75" customHeight="1">
      <c r="A461" s="114" t="s">
        <v>6</v>
      </c>
      <c r="B461" t="s">
        <v>1004</v>
      </c>
      <c r="C461" s="112">
        <v>2005</v>
      </c>
      <c r="D461" s="114" t="s">
        <v>802</v>
      </c>
      <c r="E461" s="112" t="s">
        <v>1005</v>
      </c>
      <c r="F461" s="112" t="s">
        <v>1006</v>
      </c>
      <c r="G461">
        <f>PI()*0.005^2</f>
        <v>7.8539816339744827E-5</v>
      </c>
      <c r="H461">
        <f>5*5*4</f>
        <v>100</v>
      </c>
      <c r="I461" s="165">
        <f t="shared" si="34"/>
        <v>7.8539816339744833E-7</v>
      </c>
      <c r="J461">
        <v>1</v>
      </c>
      <c r="K461" s="112">
        <f>AVERAGE(DATEDIF("4/3/2002", "20/6/2002", "d"), DATEDIF("6/3/2002", "22/6/2002", "d"), DATEDIF("8/3/2002", "18/6/2002", "d"), DATEDIF("10/3/2002", "24/6/2002", "d"))</f>
        <v>106</v>
      </c>
      <c r="L461">
        <f>J461*2</f>
        <v>2</v>
      </c>
      <c r="M461" s="112">
        <f>DATEDIF("3/3/2002", "27/6/2002", "d")</f>
        <v>116</v>
      </c>
      <c r="N461">
        <v>0</v>
      </c>
      <c r="O461">
        <v>0</v>
      </c>
      <c r="P461">
        <v>2</v>
      </c>
      <c r="Q461">
        <v>0</v>
      </c>
      <c r="S461" t="s">
        <v>974</v>
      </c>
      <c r="T461" t="s">
        <v>1012</v>
      </c>
    </row>
    <row r="462" spans="1:21" ht="15.75" customHeight="1">
      <c r="A462" s="114" t="s">
        <v>6</v>
      </c>
      <c r="B462" t="s">
        <v>1004</v>
      </c>
      <c r="C462" s="112">
        <v>2005</v>
      </c>
      <c r="D462" s="114" t="s">
        <v>802</v>
      </c>
      <c r="E462" s="112" t="s">
        <v>1005</v>
      </c>
      <c r="F462" s="112" t="s">
        <v>1006</v>
      </c>
      <c r="G462">
        <f>PI()*0.375^2</f>
        <v>0.44178646691106466</v>
      </c>
      <c r="H462">
        <v>22</v>
      </c>
      <c r="I462" s="162">
        <f t="shared" si="34"/>
        <v>9.7193022720434234E-4</v>
      </c>
      <c r="J462">
        <f>(18*2)*(1/(60*60*24))</f>
        <v>4.1666666666666664E-4</v>
      </c>
      <c r="K462" s="112">
        <f>DATEDIF("10/3/2002", "18/6/2002", "d")</f>
        <v>100</v>
      </c>
      <c r="L462">
        <f>J462</f>
        <v>4.1666666666666664E-4</v>
      </c>
      <c r="M462" s="112">
        <f>DATEDIF("3/3/2002", "27/6/2002", "d")</f>
        <v>116</v>
      </c>
      <c r="N462">
        <v>0</v>
      </c>
      <c r="O462">
        <v>0</v>
      </c>
      <c r="P462">
        <v>1</v>
      </c>
      <c r="Q462">
        <v>0</v>
      </c>
      <c r="S462" t="s">
        <v>976</v>
      </c>
      <c r="T462" t="s">
        <v>1013</v>
      </c>
    </row>
    <row r="463" spans="1:21" ht="15.75" customHeight="1">
      <c r="A463" s="114" t="s">
        <v>6</v>
      </c>
      <c r="B463" t="s">
        <v>1004</v>
      </c>
      <c r="C463" s="112">
        <v>2005</v>
      </c>
      <c r="D463" s="114" t="s">
        <v>802</v>
      </c>
      <c r="E463" s="112" t="s">
        <v>1005</v>
      </c>
      <c r="F463" s="112" t="s">
        <v>1006</v>
      </c>
      <c r="G463">
        <f>PI()*0.015^2</f>
        <v>7.0685834705770342E-4</v>
      </c>
      <c r="H463">
        <f>5*5*4</f>
        <v>100</v>
      </c>
      <c r="I463" s="165">
        <f t="shared" si="34"/>
        <v>7.0685834705770352E-6</v>
      </c>
      <c r="J463">
        <f>30/(60*60*24)</f>
        <v>3.4722222222222224E-4</v>
      </c>
      <c r="K463" s="112">
        <f>AVERAGE(DATEDIF("4/3/2002", "20/6/2002", "d"), DATEDIF("6/3/2002", "22/6/2002", "d"), DATEDIF("8/3/2002", "18/6/2002", "d"), DATEDIF("10/3/2002", "24/6/2002", "d"))</f>
        <v>106</v>
      </c>
      <c r="L463">
        <f>J463*2</f>
        <v>6.9444444444444447E-4</v>
      </c>
      <c r="M463" s="112">
        <f>DATEDIF("3/3/2002", "27/6/2002", "d")</f>
        <v>116</v>
      </c>
      <c r="N463">
        <v>0</v>
      </c>
      <c r="O463">
        <v>0</v>
      </c>
      <c r="P463">
        <v>1</v>
      </c>
      <c r="Q463">
        <v>0</v>
      </c>
      <c r="S463" t="s">
        <v>238</v>
      </c>
      <c r="T463" t="s">
        <v>1014</v>
      </c>
    </row>
    <row r="464" spans="1:21" ht="15.75" customHeight="1">
      <c r="A464" s="114" t="s">
        <v>6</v>
      </c>
      <c r="B464" t="s">
        <v>1004</v>
      </c>
      <c r="C464" s="112">
        <v>2005</v>
      </c>
      <c r="D464" s="114" t="s">
        <v>986</v>
      </c>
      <c r="E464" s="112" t="s">
        <v>1005</v>
      </c>
      <c r="F464" s="112" t="s">
        <v>1006</v>
      </c>
      <c r="G464">
        <f>PI()*0.015^2</f>
        <v>7.0685834705770342E-4</v>
      </c>
      <c r="H464">
        <f>4*12</f>
        <v>48</v>
      </c>
      <c r="I464" s="165">
        <f t="shared" si="34"/>
        <v>3.3929200658769768E-6</v>
      </c>
      <c r="J464">
        <f>1/(3600*24)</f>
        <v>1.1574074074074073E-5</v>
      </c>
      <c r="K464">
        <f>AVERAGE(2, 2, 2, 2, 100, 2, 2, 2, 2)</f>
        <v>12.888888888888889</v>
      </c>
      <c r="L464">
        <f>J464</f>
        <v>1.1574074074074073E-5</v>
      </c>
      <c r="M464" s="112">
        <f>DATEDIF("1/3/2002", "25/6/2002", "d")</f>
        <v>116</v>
      </c>
      <c r="N464">
        <v>0</v>
      </c>
      <c r="O464">
        <v>0</v>
      </c>
      <c r="P464">
        <v>1</v>
      </c>
      <c r="Q464">
        <v>0</v>
      </c>
      <c r="S464" t="s">
        <v>1015</v>
      </c>
      <c r="T464" t="s">
        <v>1016</v>
      </c>
    </row>
    <row r="465" spans="1:30" ht="15.75" customHeight="1">
      <c r="A465" s="114" t="s">
        <v>6</v>
      </c>
      <c r="B465" t="s">
        <v>1004</v>
      </c>
      <c r="C465" s="112">
        <v>2005</v>
      </c>
      <c r="D465" s="114" t="s">
        <v>986</v>
      </c>
      <c r="E465" s="112" t="s">
        <v>1005</v>
      </c>
      <c r="F465" s="112" t="s">
        <v>1006</v>
      </c>
      <c r="G465">
        <f>PI()*0.1^2</f>
        <v>3.1415926535897934E-2</v>
      </c>
      <c r="H465">
        <f>60*20</f>
        <v>1200</v>
      </c>
      <c r="I465" s="165">
        <f t="shared" si="34"/>
        <v>3.7699111843077517E-3</v>
      </c>
      <c r="J465">
        <f>1/(3600*24)</f>
        <v>1.1574074074074073E-5</v>
      </c>
      <c r="K465">
        <f>AVERAGE(2, 2, 2, 1, 99, 2, 2, 1, 1)</f>
        <v>12.444444444444445</v>
      </c>
      <c r="L465">
        <f>J465</f>
        <v>1.1574074074074073E-5</v>
      </c>
      <c r="M465" s="112">
        <f>DATEDIF("1/3/2002", "27/6/2002", "d")</f>
        <v>118</v>
      </c>
      <c r="N465">
        <v>0</v>
      </c>
      <c r="O465">
        <v>0</v>
      </c>
      <c r="P465">
        <v>2</v>
      </c>
      <c r="Q465">
        <v>0</v>
      </c>
      <c r="S465" t="s">
        <v>35</v>
      </c>
      <c r="T465" t="s">
        <v>1017</v>
      </c>
    </row>
    <row r="466" spans="1:30" ht="15.75" customHeight="1">
      <c r="A466" s="114" t="s">
        <v>6</v>
      </c>
      <c r="B466" t="s">
        <v>1004</v>
      </c>
      <c r="C466" s="112">
        <v>2005</v>
      </c>
      <c r="D466" s="114" t="s">
        <v>986</v>
      </c>
      <c r="E466" s="112" t="s">
        <v>1005</v>
      </c>
      <c r="F466" s="112" t="s">
        <v>1006</v>
      </c>
      <c r="G466">
        <f>PI()*0.075^2</f>
        <v>1.7671458676442587E-2</v>
      </c>
      <c r="H466">
        <f>(12*60)*20</f>
        <v>14400</v>
      </c>
      <c r="I466" s="165">
        <f t="shared" si="34"/>
        <v>2.5446900494077326E-2</v>
      </c>
      <c r="J466">
        <f>1/(3600*24)</f>
        <v>1.1574074074074073E-5</v>
      </c>
      <c r="K466">
        <f>AVERAGE(2, 2, 2, 1, 99, 2, 2, 1, 1)</f>
        <v>12.444444444444445</v>
      </c>
      <c r="L466">
        <f>J466</f>
        <v>1.1574074074074073E-5</v>
      </c>
      <c r="M466" s="112">
        <f>DATEDIF("1/3/2002", "12/3/2002", "d")</f>
        <v>11</v>
      </c>
      <c r="N466">
        <v>0</v>
      </c>
      <c r="O466">
        <v>0</v>
      </c>
      <c r="P466">
        <v>1</v>
      </c>
      <c r="Q466">
        <v>0</v>
      </c>
      <c r="S466" t="s">
        <v>35</v>
      </c>
      <c r="T466" t="s">
        <v>1018</v>
      </c>
    </row>
    <row r="467" spans="1:30" ht="15.75" customHeight="1">
      <c r="A467" s="114" t="s">
        <v>6</v>
      </c>
      <c r="B467" t="s">
        <v>1004</v>
      </c>
      <c r="C467" s="112">
        <v>2005</v>
      </c>
      <c r="D467" s="114" t="s">
        <v>986</v>
      </c>
      <c r="E467" s="112" t="s">
        <v>1005</v>
      </c>
      <c r="F467" s="112" t="s">
        <v>1006</v>
      </c>
      <c r="G467">
        <f>PI()*0.075^2</f>
        <v>1.7671458676442587E-2</v>
      </c>
      <c r="H467">
        <f>(60)*20</f>
        <v>1200</v>
      </c>
      <c r="I467" s="165">
        <f t="shared" si="34"/>
        <v>2.1205750411731105E-3</v>
      </c>
      <c r="J467">
        <f>1/(3600*24)</f>
        <v>1.1574074074074073E-5</v>
      </c>
      <c r="K467">
        <f>AVERAGE(2, 2, 2, 1, 99, 2, 2, 1, 1)</f>
        <v>12.444444444444445</v>
      </c>
      <c r="L467">
        <f>J467</f>
        <v>1.1574074074074073E-5</v>
      </c>
      <c r="M467" s="112">
        <f>DATEDIF("1/3/2002", "12/3/2002", "d")</f>
        <v>11</v>
      </c>
      <c r="N467">
        <v>0</v>
      </c>
      <c r="O467">
        <v>0</v>
      </c>
      <c r="P467">
        <v>1</v>
      </c>
      <c r="Q467">
        <v>0</v>
      </c>
      <c r="S467" t="s">
        <v>35</v>
      </c>
      <c r="T467" t="s">
        <v>1019</v>
      </c>
    </row>
    <row r="468" spans="1:30" s="135" customFormat="1" ht="15.75" customHeight="1">
      <c r="A468" s="135" t="s">
        <v>814</v>
      </c>
      <c r="B468" s="135" t="s">
        <v>1130</v>
      </c>
      <c r="C468" s="135">
        <v>2013</v>
      </c>
      <c r="D468" s="161" t="s">
        <v>416</v>
      </c>
      <c r="E468" s="161" t="s">
        <v>1131</v>
      </c>
      <c r="I468" s="184"/>
    </row>
    <row r="469" spans="1:30">
      <c r="A469" s="126" t="s">
        <v>814</v>
      </c>
      <c r="B469" s="123" t="s">
        <v>1132</v>
      </c>
      <c r="C469" s="126">
        <v>2010</v>
      </c>
      <c r="D469" s="126" t="s">
        <v>26</v>
      </c>
      <c r="E469" s="126" t="s">
        <v>1133</v>
      </c>
      <c r="F469" s="126" t="s">
        <v>1134</v>
      </c>
      <c r="G469" s="123">
        <f>1</f>
        <v>1</v>
      </c>
      <c r="H469" s="123">
        <v>11</v>
      </c>
      <c r="I469" s="185">
        <f t="shared" ref="I469:I471" si="35">(G469*H469)/10000</f>
        <v>1.1000000000000001E-3</v>
      </c>
      <c r="J469" s="123">
        <f>5/(60*24)</f>
        <v>3.472222222222222E-3</v>
      </c>
      <c r="K469" s="186">
        <f>2/24</f>
        <v>8.3333333333333329E-2</v>
      </c>
      <c r="L469" s="126">
        <f>DATEDIF("16/11/2006", "17/1/2007", "d")*12*J469*2</f>
        <v>5.1666666666666661</v>
      </c>
      <c r="M469" s="116">
        <f>DATEDIF("16/11/2006", "17/1/2008", "d")</f>
        <v>427</v>
      </c>
      <c r="N469" s="123">
        <v>0</v>
      </c>
      <c r="O469" s="123">
        <v>0</v>
      </c>
      <c r="P469" s="123">
        <v>1</v>
      </c>
      <c r="Q469" s="123">
        <v>0</v>
      </c>
      <c r="R469" s="123" t="s">
        <v>1135</v>
      </c>
      <c r="S469" s="123" t="s">
        <v>1136</v>
      </c>
      <c r="T469" s="123" t="s">
        <v>1137</v>
      </c>
    </row>
    <row r="470" spans="1:30">
      <c r="A470" s="126" t="s">
        <v>814</v>
      </c>
      <c r="B470" s="123" t="s">
        <v>1132</v>
      </c>
      <c r="C470" s="126">
        <v>2010</v>
      </c>
      <c r="D470" s="126" t="s">
        <v>26</v>
      </c>
      <c r="E470" s="126" t="s">
        <v>1133</v>
      </c>
      <c r="F470" s="126" t="s">
        <v>1134</v>
      </c>
      <c r="G470" s="123">
        <f>1</f>
        <v>1</v>
      </c>
      <c r="H470" s="123">
        <v>18</v>
      </c>
      <c r="I470" s="185">
        <f t="shared" si="35"/>
        <v>1.8E-3</v>
      </c>
      <c r="J470" s="123">
        <f>5/(60*24)</f>
        <v>3.472222222222222E-3</v>
      </c>
      <c r="K470" s="186">
        <f>2/24</f>
        <v>8.3333333333333329E-2</v>
      </c>
      <c r="L470" s="126">
        <f>DATEDIF("16/11/2006", "17/1/2007", "d")*12*J470</f>
        <v>2.583333333333333</v>
      </c>
      <c r="M470" s="116">
        <f>DATEDIF("16/11/2007", "17/1/2008", "d")</f>
        <v>62</v>
      </c>
      <c r="N470" s="123">
        <v>0</v>
      </c>
      <c r="O470" s="123">
        <v>0</v>
      </c>
      <c r="P470" s="123">
        <v>1</v>
      </c>
      <c r="Q470" s="123">
        <v>0</v>
      </c>
      <c r="R470" s="123" t="s">
        <v>1135</v>
      </c>
      <c r="S470" s="123" t="s">
        <v>1136</v>
      </c>
      <c r="T470" s="123" t="s">
        <v>1138</v>
      </c>
    </row>
    <row r="471" spans="1:30">
      <c r="A471" s="126" t="s">
        <v>814</v>
      </c>
      <c r="B471" s="123" t="s">
        <v>1132</v>
      </c>
      <c r="C471" s="126">
        <v>2010</v>
      </c>
      <c r="D471" s="126" t="s">
        <v>26</v>
      </c>
      <c r="E471" s="126" t="s">
        <v>1133</v>
      </c>
      <c r="F471" s="126" t="s">
        <v>1134</v>
      </c>
      <c r="G471" s="123">
        <f>0.2^2</f>
        <v>4.0000000000000008E-2</v>
      </c>
      <c r="H471" s="123">
        <v>11</v>
      </c>
      <c r="I471" s="185">
        <f t="shared" si="35"/>
        <v>4.4000000000000006E-5</v>
      </c>
      <c r="J471" s="123">
        <f>5/(60*24)</f>
        <v>3.472222222222222E-3</v>
      </c>
      <c r="K471" s="186">
        <f>365</f>
        <v>365</v>
      </c>
      <c r="L471" s="116">
        <f>J471*2</f>
        <v>6.9444444444444441E-3</v>
      </c>
      <c r="M471" s="116">
        <f>K471</f>
        <v>365</v>
      </c>
      <c r="N471" s="123">
        <v>0</v>
      </c>
      <c r="O471" s="123">
        <v>0</v>
      </c>
      <c r="P471" s="123">
        <v>2</v>
      </c>
      <c r="Q471" s="123">
        <v>0</v>
      </c>
      <c r="R471" s="123" t="s">
        <v>1135</v>
      </c>
      <c r="S471" s="123" t="s">
        <v>1139</v>
      </c>
      <c r="T471" s="123" t="s">
        <v>1140</v>
      </c>
    </row>
    <row r="472" spans="1:30" s="169" customFormat="1" ht="12" customHeight="1">
      <c r="A472" s="166" t="s">
        <v>18</v>
      </c>
      <c r="B472" s="166" t="s">
        <v>1021</v>
      </c>
      <c r="C472" s="166">
        <v>2005</v>
      </c>
      <c r="D472" s="166" t="s">
        <v>26</v>
      </c>
      <c r="E472" s="166" t="s">
        <v>548</v>
      </c>
      <c r="F472" s="166" t="s">
        <v>1022</v>
      </c>
      <c r="G472" s="167">
        <f>25/10000</f>
        <v>2.5000000000000001E-3</v>
      </c>
      <c r="H472" s="166">
        <v>36</v>
      </c>
      <c r="I472" s="167">
        <f t="shared" ref="I472:I482" si="36">G472*H472/10000</f>
        <v>9.0000000000000002E-6</v>
      </c>
      <c r="J472" s="166">
        <v>1</v>
      </c>
      <c r="K472" s="166">
        <v>0</v>
      </c>
      <c r="L472" s="166">
        <v>1</v>
      </c>
      <c r="M472" s="166">
        <v>1</v>
      </c>
      <c r="N472" s="166">
        <v>3</v>
      </c>
      <c r="O472" s="166">
        <v>1</v>
      </c>
      <c r="P472" s="166">
        <v>1</v>
      </c>
      <c r="Q472" s="166">
        <v>1</v>
      </c>
      <c r="R472" s="167"/>
      <c r="S472" s="166" t="s">
        <v>412</v>
      </c>
      <c r="T472" s="168" t="s">
        <v>1023</v>
      </c>
      <c r="U472" s="167"/>
      <c r="V472" s="167"/>
      <c r="W472" s="167"/>
      <c r="X472" s="167"/>
      <c r="Y472" s="167"/>
      <c r="Z472" s="167"/>
      <c r="AA472" s="167"/>
      <c r="AB472" s="167"/>
      <c r="AC472" s="167"/>
      <c r="AD472" s="167"/>
    </row>
    <row r="473" spans="1:30" s="169" customFormat="1" ht="12" customHeight="1">
      <c r="A473" s="166" t="s">
        <v>119</v>
      </c>
      <c r="B473" s="166" t="s">
        <v>1024</v>
      </c>
      <c r="C473" s="166">
        <v>2010</v>
      </c>
      <c r="D473" s="166" t="s">
        <v>26</v>
      </c>
      <c r="E473" s="166" t="s">
        <v>1025</v>
      </c>
      <c r="F473" s="166" t="s">
        <v>1026</v>
      </c>
      <c r="G473" s="167">
        <f>0.25*0.25</f>
        <v>6.25E-2</v>
      </c>
      <c r="H473" s="166">
        <v>150</v>
      </c>
      <c r="I473" s="167">
        <f t="shared" si="36"/>
        <v>9.3749999999999997E-4</v>
      </c>
      <c r="J473" s="166">
        <v>1</v>
      </c>
      <c r="K473" s="166">
        <v>0</v>
      </c>
      <c r="L473" s="166">
        <v>1</v>
      </c>
      <c r="M473" s="166">
        <v>365</v>
      </c>
      <c r="N473" s="166">
        <v>3</v>
      </c>
      <c r="O473" s="166">
        <v>2</v>
      </c>
      <c r="P473" s="166">
        <v>1</v>
      </c>
      <c r="Q473" s="166">
        <v>2</v>
      </c>
      <c r="R473" s="167"/>
      <c r="S473" s="166" t="s">
        <v>412</v>
      </c>
      <c r="T473" s="168" t="s">
        <v>1027</v>
      </c>
      <c r="U473" s="167"/>
      <c r="V473" s="167"/>
      <c r="W473" s="167"/>
      <c r="X473" s="167"/>
      <c r="Y473" s="167"/>
      <c r="Z473" s="167"/>
      <c r="AA473" s="167"/>
      <c r="AB473" s="167"/>
      <c r="AC473" s="167"/>
      <c r="AD473" s="167"/>
    </row>
    <row r="474" spans="1:30" s="169" customFormat="1" ht="12" customHeight="1">
      <c r="A474" s="166" t="s">
        <v>24</v>
      </c>
      <c r="B474" s="170" t="s">
        <v>1028</v>
      </c>
      <c r="C474" s="171">
        <v>2008</v>
      </c>
      <c r="D474" s="166" t="s">
        <v>26</v>
      </c>
      <c r="E474" s="166" t="s">
        <v>1029</v>
      </c>
      <c r="F474" s="166" t="s">
        <v>1030</v>
      </c>
      <c r="G474" s="167">
        <f>0.25*0.25</f>
        <v>6.25E-2</v>
      </c>
      <c r="H474" s="166">
        <v>260</v>
      </c>
      <c r="I474" s="167">
        <f t="shared" si="36"/>
        <v>1.6249999999999999E-3</v>
      </c>
      <c r="J474" s="166">
        <v>1</v>
      </c>
      <c r="K474" s="166">
        <v>0</v>
      </c>
      <c r="L474" s="166">
        <v>1</v>
      </c>
      <c r="M474" s="167">
        <f>4*365+60</f>
        <v>1520</v>
      </c>
      <c r="N474" s="166">
        <v>3</v>
      </c>
      <c r="O474" s="166">
        <v>2</v>
      </c>
      <c r="P474" s="166">
        <v>3</v>
      </c>
      <c r="Q474" s="166">
        <v>2</v>
      </c>
      <c r="R474" s="167"/>
      <c r="S474" s="166" t="s">
        <v>412</v>
      </c>
      <c r="T474" s="168" t="s">
        <v>1031</v>
      </c>
      <c r="U474" s="167"/>
      <c r="V474" s="167"/>
      <c r="W474" s="167"/>
      <c r="X474" s="167"/>
      <c r="Y474" s="167"/>
      <c r="Z474" s="167"/>
      <c r="AA474" s="167"/>
      <c r="AB474" s="167"/>
      <c r="AC474" s="167"/>
      <c r="AD474" s="167"/>
    </row>
    <row r="475" spans="1:30" s="169" customFormat="1" ht="12" customHeight="1">
      <c r="A475" s="166" t="s">
        <v>24</v>
      </c>
      <c r="B475" s="170" t="s">
        <v>1028</v>
      </c>
      <c r="C475" s="171">
        <v>2008</v>
      </c>
      <c r="D475" s="166" t="s">
        <v>26</v>
      </c>
      <c r="E475" s="166" t="s">
        <v>1029</v>
      </c>
      <c r="F475" s="166" t="s">
        <v>1032</v>
      </c>
      <c r="G475" s="167">
        <f>(100*100*3*500/12948+50*50*2*500/3909+100*100*2*2500/13900)/3</f>
        <v>1798.3840444240302</v>
      </c>
      <c r="H475" s="166">
        <v>3</v>
      </c>
      <c r="I475" s="167">
        <f t="shared" si="36"/>
        <v>0.53951521332720909</v>
      </c>
      <c r="J475" s="166">
        <v>120</v>
      </c>
      <c r="K475" s="166">
        <v>245</v>
      </c>
      <c r="L475" s="167">
        <f>120*4</f>
        <v>480</v>
      </c>
      <c r="M475" s="167">
        <f>4*365 + 120</f>
        <v>1580</v>
      </c>
      <c r="N475" s="166">
        <v>3</v>
      </c>
      <c r="O475" s="166">
        <v>1</v>
      </c>
      <c r="P475" s="166">
        <v>1</v>
      </c>
      <c r="Q475" s="166">
        <v>0</v>
      </c>
      <c r="R475" s="167"/>
      <c r="S475" s="166" t="s">
        <v>412</v>
      </c>
      <c r="T475" s="168" t="s">
        <v>1033</v>
      </c>
      <c r="U475" s="167"/>
      <c r="V475" s="167"/>
      <c r="W475" s="167"/>
      <c r="X475" s="167"/>
      <c r="Y475" s="167"/>
      <c r="Z475" s="167"/>
      <c r="AA475" s="167"/>
      <c r="AB475" s="167"/>
      <c r="AC475" s="167"/>
      <c r="AD475" s="167"/>
    </row>
    <row r="476" spans="1:30" s="169" customFormat="1" ht="12" customHeight="1">
      <c r="A476" s="166" t="s">
        <v>24</v>
      </c>
      <c r="B476" s="170" t="s">
        <v>1028</v>
      </c>
      <c r="C476" s="171">
        <v>2008</v>
      </c>
      <c r="D476" s="166" t="s">
        <v>26</v>
      </c>
      <c r="E476" s="166" t="s">
        <v>1029</v>
      </c>
      <c r="F476" s="166" t="s">
        <v>1034</v>
      </c>
      <c r="G476" s="167">
        <f>0.15*0.15</f>
        <v>2.2499999999999999E-2</v>
      </c>
      <c r="H476" s="166">
        <v>116.5</v>
      </c>
      <c r="I476" s="167">
        <f t="shared" si="36"/>
        <v>2.6212499999999999E-4</v>
      </c>
      <c r="J476" s="166">
        <v>7</v>
      </c>
      <c r="K476" s="166">
        <f>(365-102)/14</f>
        <v>18.785714285714285</v>
      </c>
      <c r="L476" s="172">
        <f>1580*J476/(J476+K476)</f>
        <v>428.9196675900277</v>
      </c>
      <c r="M476" s="167">
        <f>4*365 + 120</f>
        <v>1580</v>
      </c>
      <c r="N476" s="166">
        <v>3</v>
      </c>
      <c r="O476" s="166">
        <v>1</v>
      </c>
      <c r="P476" s="166">
        <v>0</v>
      </c>
      <c r="Q476" s="166">
        <v>0</v>
      </c>
      <c r="R476" s="173" t="s">
        <v>1035</v>
      </c>
      <c r="S476" s="166" t="s">
        <v>412</v>
      </c>
      <c r="T476" s="168" t="s">
        <v>1036</v>
      </c>
      <c r="U476" s="167"/>
      <c r="V476" s="167"/>
      <c r="W476" s="167"/>
      <c r="X476" s="167"/>
      <c r="Y476" s="167"/>
      <c r="Z476" s="167"/>
      <c r="AA476" s="167"/>
      <c r="AB476" s="167"/>
      <c r="AC476" s="167"/>
      <c r="AD476" s="167"/>
    </row>
    <row r="477" spans="1:30" s="169" customFormat="1" ht="12" customHeight="1">
      <c r="A477" s="166" t="s">
        <v>134</v>
      </c>
      <c r="B477" s="174" t="s">
        <v>1037</v>
      </c>
      <c r="C477" s="171">
        <v>2012</v>
      </c>
      <c r="D477" s="166" t="s">
        <v>290</v>
      </c>
      <c r="E477" s="166" t="s">
        <v>829</v>
      </c>
      <c r="F477" s="166" t="s">
        <v>1038</v>
      </c>
      <c r="G477" s="167">
        <f>1000*1000</f>
        <v>1000000</v>
      </c>
      <c r="H477" s="166">
        <v>12193300</v>
      </c>
      <c r="I477" s="167">
        <f t="shared" si="36"/>
        <v>1219330000</v>
      </c>
      <c r="J477" s="166">
        <f>1/24/60</f>
        <v>6.9444444444444436E-4</v>
      </c>
      <c r="K477" s="166">
        <v>0.25</v>
      </c>
      <c r="L477" s="172">
        <f>365*4*4*J477</f>
        <v>4.0555555555555554</v>
      </c>
      <c r="M477" s="175">
        <v>1460</v>
      </c>
      <c r="N477" s="166">
        <v>0</v>
      </c>
      <c r="O477" s="166">
        <v>0</v>
      </c>
      <c r="P477" s="166">
        <v>1</v>
      </c>
      <c r="Q477" s="166">
        <v>0</v>
      </c>
      <c r="R477" s="166" t="s">
        <v>1039</v>
      </c>
      <c r="S477" s="166" t="s">
        <v>383</v>
      </c>
      <c r="T477" s="168" t="s">
        <v>1040</v>
      </c>
      <c r="U477" s="167"/>
      <c r="V477" s="167"/>
      <c r="W477" s="167"/>
      <c r="X477" s="167"/>
      <c r="Y477" s="167"/>
      <c r="Z477" s="167"/>
      <c r="AA477" s="167"/>
      <c r="AB477" s="167"/>
      <c r="AC477" s="167"/>
      <c r="AD477" s="167"/>
    </row>
    <row r="478" spans="1:30" s="169" customFormat="1" ht="12" customHeight="1">
      <c r="A478" s="166" t="s">
        <v>134</v>
      </c>
      <c r="B478" s="174" t="s">
        <v>1037</v>
      </c>
      <c r="C478" s="171">
        <v>2012</v>
      </c>
      <c r="D478" s="176" t="s">
        <v>290</v>
      </c>
      <c r="E478" s="166" t="s">
        <v>829</v>
      </c>
      <c r="F478" s="166" t="s">
        <v>1041</v>
      </c>
      <c r="G478" s="176">
        <f>9000^2</f>
        <v>81000000</v>
      </c>
      <c r="H478" s="166">
        <v>270690</v>
      </c>
      <c r="I478" s="167">
        <f t="shared" si="36"/>
        <v>2192589000</v>
      </c>
      <c r="J478" s="175">
        <v>1</v>
      </c>
      <c r="K478" s="166">
        <v>0</v>
      </c>
      <c r="L478" s="175">
        <v>1</v>
      </c>
      <c r="M478" s="166">
        <v>365</v>
      </c>
      <c r="N478" s="166">
        <v>1</v>
      </c>
      <c r="O478" s="166">
        <v>0</v>
      </c>
      <c r="P478" s="166">
        <v>1</v>
      </c>
      <c r="Q478" s="166">
        <v>1</v>
      </c>
      <c r="R478" s="166" t="s">
        <v>1042</v>
      </c>
      <c r="S478" s="166" t="s">
        <v>383</v>
      </c>
      <c r="T478" s="168" t="s">
        <v>1043</v>
      </c>
      <c r="U478" s="167"/>
      <c r="V478" s="167"/>
      <c r="W478" s="167"/>
      <c r="X478" s="167"/>
      <c r="Y478" s="167"/>
      <c r="Z478" s="167"/>
      <c r="AA478" s="167"/>
      <c r="AB478" s="167"/>
      <c r="AC478" s="167"/>
      <c r="AD478" s="167"/>
    </row>
    <row r="479" spans="1:30" s="169" customFormat="1" ht="12" customHeight="1">
      <c r="A479" s="166" t="s">
        <v>234</v>
      </c>
      <c r="B479" s="166" t="s">
        <v>1044</v>
      </c>
      <c r="C479" s="171">
        <v>2005</v>
      </c>
      <c r="D479" s="166" t="s">
        <v>26</v>
      </c>
      <c r="E479" s="166" t="s">
        <v>1045</v>
      </c>
      <c r="F479" s="166" t="s">
        <v>1046</v>
      </c>
      <c r="G479" s="166">
        <v>10000</v>
      </c>
      <c r="H479" s="166">
        <v>61</v>
      </c>
      <c r="I479" s="167">
        <f t="shared" si="36"/>
        <v>61</v>
      </c>
      <c r="J479" s="166">
        <v>1</v>
      </c>
      <c r="K479" s="166">
        <v>0</v>
      </c>
      <c r="L479" s="166">
        <v>1</v>
      </c>
      <c r="M479" s="166">
        <v>1</v>
      </c>
      <c r="N479" s="166">
        <v>1</v>
      </c>
      <c r="O479" s="166">
        <v>1</v>
      </c>
      <c r="P479" s="166">
        <v>0</v>
      </c>
      <c r="Q479" s="166">
        <v>0</v>
      </c>
      <c r="R479" s="167"/>
      <c r="S479" s="166" t="s">
        <v>383</v>
      </c>
      <c r="T479" s="168" t="s">
        <v>1047</v>
      </c>
      <c r="U479" s="167"/>
      <c r="V479" s="167"/>
      <c r="W479" s="167"/>
      <c r="X479" s="167"/>
      <c r="Y479" s="167"/>
      <c r="Z479" s="167"/>
      <c r="AA479" s="167"/>
      <c r="AB479" s="167"/>
      <c r="AC479" s="167"/>
      <c r="AD479" s="167"/>
    </row>
    <row r="480" spans="1:30" s="169" customFormat="1" ht="12" customHeight="1">
      <c r="A480" s="166" t="s">
        <v>234</v>
      </c>
      <c r="B480" s="166" t="s">
        <v>1044</v>
      </c>
      <c r="C480" s="171">
        <v>2005</v>
      </c>
      <c r="D480" s="166" t="s">
        <v>26</v>
      </c>
      <c r="E480" s="166" t="s">
        <v>1045</v>
      </c>
      <c r="F480" s="166" t="s">
        <v>1048</v>
      </c>
      <c r="G480" s="166">
        <v>0.25</v>
      </c>
      <c r="H480" s="167">
        <f>61*143</f>
        <v>8723</v>
      </c>
      <c r="I480" s="167">
        <f t="shared" si="36"/>
        <v>0.21807499999999999</v>
      </c>
      <c r="J480" s="166">
        <v>1</v>
      </c>
      <c r="K480" s="166">
        <v>0</v>
      </c>
      <c r="L480" s="166">
        <v>1</v>
      </c>
      <c r="M480" s="166">
        <v>90</v>
      </c>
      <c r="N480" s="166">
        <v>2</v>
      </c>
      <c r="O480" s="166">
        <v>2</v>
      </c>
      <c r="P480" s="166">
        <v>1</v>
      </c>
      <c r="Q480" s="166">
        <v>1</v>
      </c>
      <c r="R480" s="167"/>
      <c r="S480" s="166" t="s">
        <v>1049</v>
      </c>
      <c r="T480" s="168" t="s">
        <v>1050</v>
      </c>
      <c r="U480" s="167"/>
      <c r="V480" s="167"/>
      <c r="W480" s="167"/>
      <c r="X480" s="167"/>
      <c r="Y480" s="167"/>
      <c r="Z480" s="167"/>
      <c r="AA480" s="167"/>
      <c r="AB480" s="167"/>
      <c r="AC480" s="167"/>
      <c r="AD480" s="167"/>
    </row>
    <row r="481" spans="1:30" s="169" customFormat="1" ht="12" customHeight="1">
      <c r="A481" s="166" t="s">
        <v>318</v>
      </c>
      <c r="B481" s="166" t="s">
        <v>1051</v>
      </c>
      <c r="C481" s="171">
        <v>2010</v>
      </c>
      <c r="D481" s="166" t="s">
        <v>26</v>
      </c>
      <c r="E481" s="166" t="s">
        <v>1052</v>
      </c>
      <c r="F481" s="166" t="s">
        <v>1053</v>
      </c>
      <c r="G481" s="167">
        <f>PI()*4</f>
        <v>12.566370614359172</v>
      </c>
      <c r="H481" s="166">
        <v>550</v>
      </c>
      <c r="I481" s="167">
        <f t="shared" si="36"/>
        <v>0.69115038378975446</v>
      </c>
      <c r="J481" s="167">
        <f>1/24/60*5</f>
        <v>3.472222222222222E-3</v>
      </c>
      <c r="K481" s="167">
        <f>365/12</f>
        <v>30.416666666666668</v>
      </c>
      <c r="L481" s="167">
        <f>30*J481</f>
        <v>0.10416666666666666</v>
      </c>
      <c r="M481" s="167">
        <f>365*2+31+31+30+31+30+31</f>
        <v>914</v>
      </c>
      <c r="N481" s="166">
        <v>3</v>
      </c>
      <c r="O481" s="166">
        <v>2</v>
      </c>
      <c r="P481" s="166">
        <v>2</v>
      </c>
      <c r="Q481" s="166">
        <v>1</v>
      </c>
      <c r="R481" s="167"/>
      <c r="S481" s="166" t="s">
        <v>1054</v>
      </c>
      <c r="T481" s="168" t="s">
        <v>1055</v>
      </c>
      <c r="U481" s="167"/>
      <c r="V481" s="167"/>
      <c r="W481" s="167"/>
      <c r="X481" s="167"/>
      <c r="Y481" s="167"/>
      <c r="Z481" s="167"/>
      <c r="AA481" s="167"/>
      <c r="AB481" s="167"/>
      <c r="AC481" s="167"/>
      <c r="AD481" s="167"/>
    </row>
    <row r="482" spans="1:30" s="169" customFormat="1" ht="12" customHeight="1">
      <c r="A482" s="166" t="s">
        <v>318</v>
      </c>
      <c r="B482" s="166" t="s">
        <v>1051</v>
      </c>
      <c r="C482" s="171">
        <v>2010</v>
      </c>
      <c r="D482" s="166" t="s">
        <v>26</v>
      </c>
      <c r="E482" s="166" t="s">
        <v>1052</v>
      </c>
      <c r="F482" s="166" t="s">
        <v>1056</v>
      </c>
      <c r="G482" s="167">
        <f>0.01*0.01</f>
        <v>1E-4</v>
      </c>
      <c r="H482" s="167">
        <f>34*3*60</f>
        <v>6120</v>
      </c>
      <c r="I482" s="167">
        <f t="shared" si="36"/>
        <v>6.1199999999999997E-5</v>
      </c>
      <c r="J482" s="167">
        <f>1/24/60*20</f>
        <v>1.3888888888888888E-2</v>
      </c>
      <c r="K482" s="166">
        <v>0</v>
      </c>
      <c r="L482" s="167">
        <f>1/24/60*20</f>
        <v>1.3888888888888888E-2</v>
      </c>
      <c r="M482" s="167">
        <f>365*2+31+31+30+31+30+31</f>
        <v>914</v>
      </c>
      <c r="N482" s="166">
        <v>3</v>
      </c>
      <c r="O482" s="166">
        <v>3</v>
      </c>
      <c r="P482" s="166">
        <v>1</v>
      </c>
      <c r="Q482" s="166">
        <v>1</v>
      </c>
      <c r="R482" s="167"/>
      <c r="S482" s="166" t="s">
        <v>1057</v>
      </c>
      <c r="T482" s="168" t="s">
        <v>1058</v>
      </c>
      <c r="U482" s="167"/>
      <c r="V482" s="167"/>
      <c r="W482" s="167"/>
      <c r="X482" s="167"/>
      <c r="Y482" s="167"/>
      <c r="Z482" s="167"/>
      <c r="AA482" s="167"/>
      <c r="AB482" s="167"/>
      <c r="AC482" s="167"/>
      <c r="AD482" s="167"/>
    </row>
    <row r="483" spans="1:30" s="169" customFormat="1" ht="12" customHeight="1">
      <c r="A483" s="166" t="s">
        <v>119</v>
      </c>
      <c r="B483" s="166" t="s">
        <v>1059</v>
      </c>
      <c r="C483" s="166">
        <v>2004</v>
      </c>
      <c r="D483" s="166" t="s">
        <v>26</v>
      </c>
      <c r="E483" s="166" t="s">
        <v>1060</v>
      </c>
      <c r="F483" s="166" t="s">
        <v>1061</v>
      </c>
      <c r="G483" s="169">
        <f>30*10000</f>
        <v>300000</v>
      </c>
      <c r="H483" s="166">
        <v>74</v>
      </c>
      <c r="I483" s="169">
        <f>H483*G483/10000</f>
        <v>2220</v>
      </c>
      <c r="J483" s="167">
        <f>1/24/2</f>
        <v>2.0833333333333332E-2</v>
      </c>
      <c r="K483" s="166">
        <v>0</v>
      </c>
      <c r="L483" s="167">
        <f>1/24/2</f>
        <v>2.0833333333333332E-2</v>
      </c>
      <c r="M483" s="167">
        <f>365*4+31</f>
        <v>1491</v>
      </c>
      <c r="N483" s="166">
        <v>3</v>
      </c>
      <c r="O483" s="166">
        <v>1</v>
      </c>
      <c r="P483" s="166">
        <v>1</v>
      </c>
      <c r="Q483" s="166">
        <v>1</v>
      </c>
      <c r="R483" s="167"/>
      <c r="S483" s="167"/>
      <c r="T483" s="168"/>
      <c r="U483" s="167"/>
      <c r="V483" s="167"/>
      <c r="W483" s="167"/>
      <c r="X483" s="167"/>
      <c r="Y483" s="167"/>
      <c r="Z483" s="167"/>
      <c r="AA483" s="167"/>
      <c r="AB483" s="167"/>
      <c r="AC483" s="167"/>
      <c r="AD483" s="167"/>
    </row>
    <row r="484" spans="1:30" s="169" customFormat="1" ht="15.75" customHeight="1">
      <c r="A484" s="166" t="s">
        <v>119</v>
      </c>
      <c r="B484" s="177" t="s">
        <v>1062</v>
      </c>
      <c r="C484" s="171">
        <v>2012</v>
      </c>
      <c r="D484" s="166" t="s">
        <v>26</v>
      </c>
      <c r="E484" s="166" t="s">
        <v>1045</v>
      </c>
      <c r="F484" s="166" t="s">
        <v>1063</v>
      </c>
      <c r="G484" s="167">
        <f>PI()*0.25^2</f>
        <v>0.19634954084936207</v>
      </c>
      <c r="H484" s="166">
        <v>30</v>
      </c>
      <c r="I484" s="167">
        <f t="shared" ref="I484:I509" si="37">G484*H484/10000</f>
        <v>5.8904862254808622E-4</v>
      </c>
      <c r="J484" s="169">
        <f>1/24/60*1.6</f>
        <v>1.1111111111111111E-3</v>
      </c>
      <c r="K484" s="167">
        <f>365/12</f>
        <v>30.416666666666668</v>
      </c>
      <c r="L484" s="169">
        <f>J484*35</f>
        <v>3.888888888888889E-2</v>
      </c>
      <c r="M484" s="166">
        <f>365*3-28</f>
        <v>1067</v>
      </c>
      <c r="N484" s="166">
        <v>0</v>
      </c>
      <c r="O484" s="166">
        <v>1</v>
      </c>
      <c r="P484" s="166">
        <v>2</v>
      </c>
      <c r="Q484" s="166">
        <v>0</v>
      </c>
      <c r="T484" s="178"/>
    </row>
    <row r="485" spans="1:30" s="169" customFormat="1" ht="15.75" customHeight="1">
      <c r="A485" s="166" t="s">
        <v>258</v>
      </c>
      <c r="B485" s="166" t="s">
        <v>1064</v>
      </c>
      <c r="C485" s="171">
        <v>2004</v>
      </c>
      <c r="D485" s="166" t="s">
        <v>26</v>
      </c>
      <c r="E485" s="166" t="s">
        <v>1029</v>
      </c>
      <c r="F485" s="166" t="s">
        <v>1065</v>
      </c>
      <c r="G485" s="169">
        <f>PI()*7.32</f>
        <v>22.996458224277287</v>
      </c>
      <c r="H485" s="166">
        <v>750000</v>
      </c>
      <c r="I485" s="167">
        <f t="shared" si="37"/>
        <v>1724.7343668207966</v>
      </c>
      <c r="J485" s="166">
        <v>1</v>
      </c>
      <c r="K485" s="169">
        <f>365*10</f>
        <v>3650</v>
      </c>
      <c r="L485" s="166">
        <v>2</v>
      </c>
      <c r="M485" s="169">
        <f>365*20</f>
        <v>7300</v>
      </c>
      <c r="N485" s="166">
        <v>3</v>
      </c>
      <c r="O485" s="166">
        <v>2</v>
      </c>
      <c r="P485" s="166">
        <v>2</v>
      </c>
      <c r="Q485" s="166">
        <v>1</v>
      </c>
      <c r="R485" s="173" t="s">
        <v>1066</v>
      </c>
      <c r="S485" s="166" t="s">
        <v>383</v>
      </c>
      <c r="T485" s="168" t="s">
        <v>1067</v>
      </c>
    </row>
    <row r="486" spans="1:30" s="169" customFormat="1" ht="15.75" customHeight="1">
      <c r="A486" s="166" t="s">
        <v>269</v>
      </c>
      <c r="B486" s="166" t="s">
        <v>1068</v>
      </c>
      <c r="C486" s="171">
        <v>2012</v>
      </c>
      <c r="D486" s="166" t="s">
        <v>26</v>
      </c>
      <c r="E486" s="166" t="s">
        <v>1060</v>
      </c>
      <c r="F486" s="166" t="s">
        <v>1069</v>
      </c>
      <c r="G486" s="169">
        <f>PI()*25*25</f>
        <v>1963.4954084936207</v>
      </c>
      <c r="H486" s="169">
        <f>6*33</f>
        <v>198</v>
      </c>
      <c r="I486" s="167">
        <f t="shared" si="37"/>
        <v>38.877209088173686</v>
      </c>
      <c r="J486" s="169">
        <f>1/24/3</f>
        <v>1.3888888888888888E-2</v>
      </c>
      <c r="K486" s="166">
        <v>0</v>
      </c>
      <c r="L486" s="169">
        <f>1/24/3</f>
        <v>1.3888888888888888E-2</v>
      </c>
      <c r="M486" s="169">
        <f>31+30+31+31</f>
        <v>123</v>
      </c>
      <c r="N486" s="166">
        <v>3</v>
      </c>
      <c r="O486" s="166">
        <v>2</v>
      </c>
      <c r="P486" s="166">
        <v>2</v>
      </c>
      <c r="Q486" s="166">
        <v>1</v>
      </c>
      <c r="T486" s="178"/>
    </row>
    <row r="487" spans="1:30" s="169" customFormat="1" ht="15.75" customHeight="1">
      <c r="A487" s="166" t="s">
        <v>318</v>
      </c>
      <c r="B487" s="166" t="s">
        <v>1070</v>
      </c>
      <c r="C487" s="171">
        <v>2013</v>
      </c>
      <c r="D487" s="166" t="s">
        <v>26</v>
      </c>
      <c r="E487" s="166" t="s">
        <v>803</v>
      </c>
      <c r="F487" s="166" t="s">
        <v>1071</v>
      </c>
      <c r="G487" s="169">
        <f>0.25*0.25</f>
        <v>6.25E-2</v>
      </c>
      <c r="H487" s="166">
        <f>72*5</f>
        <v>360</v>
      </c>
      <c r="I487" s="169">
        <f t="shared" si="37"/>
        <v>2.2499999999999998E-3</v>
      </c>
      <c r="J487" s="169">
        <f>1/24/6</f>
        <v>6.9444444444444441E-3</v>
      </c>
      <c r="K487" s="166">
        <v>0</v>
      </c>
      <c r="L487" s="169">
        <f>1/24/6</f>
        <v>6.9444444444444441E-3</v>
      </c>
      <c r="M487" s="166">
        <v>62</v>
      </c>
      <c r="N487" s="166">
        <v>0</v>
      </c>
      <c r="O487" s="166">
        <v>1</v>
      </c>
      <c r="P487" s="166">
        <v>1</v>
      </c>
      <c r="Q487" s="166">
        <v>1</v>
      </c>
      <c r="S487" s="166" t="s">
        <v>383</v>
      </c>
      <c r="T487" s="168" t="s">
        <v>1072</v>
      </c>
    </row>
    <row r="488" spans="1:30" s="169" customFormat="1" ht="15.75" customHeight="1">
      <c r="A488" s="166" t="s">
        <v>318</v>
      </c>
      <c r="B488" s="166" t="s">
        <v>1070</v>
      </c>
      <c r="C488" s="171">
        <v>2013</v>
      </c>
      <c r="D488" s="166" t="s">
        <v>26</v>
      </c>
      <c r="E488" s="166" t="s">
        <v>803</v>
      </c>
      <c r="F488" s="166" t="s">
        <v>1073</v>
      </c>
      <c r="G488" s="166">
        <v>4</v>
      </c>
      <c r="H488" s="166">
        <f>72*3</f>
        <v>216</v>
      </c>
      <c r="I488" s="169">
        <f t="shared" si="37"/>
        <v>8.6400000000000005E-2</v>
      </c>
      <c r="J488" s="169">
        <f>1/24</f>
        <v>4.1666666666666664E-2</v>
      </c>
      <c r="K488" s="166">
        <v>0</v>
      </c>
      <c r="L488" s="169">
        <f>1/24</f>
        <v>4.1666666666666664E-2</v>
      </c>
      <c r="M488" s="166">
        <v>62</v>
      </c>
      <c r="N488" s="166">
        <v>3</v>
      </c>
      <c r="O488" s="166">
        <v>1</v>
      </c>
      <c r="P488" s="166">
        <v>1</v>
      </c>
      <c r="Q488" s="166">
        <v>1</v>
      </c>
      <c r="S488" s="166" t="s">
        <v>383</v>
      </c>
      <c r="T488" s="168" t="s">
        <v>1074</v>
      </c>
    </row>
    <row r="489" spans="1:30" s="169" customFormat="1" ht="15.75" customHeight="1">
      <c r="A489" s="166" t="s">
        <v>318</v>
      </c>
      <c r="B489" s="166" t="s">
        <v>1070</v>
      </c>
      <c r="C489" s="171">
        <v>2013</v>
      </c>
      <c r="D489" s="166" t="s">
        <v>26</v>
      </c>
      <c r="E489" s="166" t="s">
        <v>803</v>
      </c>
      <c r="F489" s="166" t="s">
        <v>1075</v>
      </c>
      <c r="G489" s="166">
        <v>4</v>
      </c>
      <c r="H489" s="166">
        <v>60</v>
      </c>
      <c r="I489" s="169">
        <f t="shared" si="37"/>
        <v>2.4E-2</v>
      </c>
      <c r="J489" s="169">
        <f>1/24</f>
        <v>4.1666666666666664E-2</v>
      </c>
      <c r="K489" s="166">
        <v>0</v>
      </c>
      <c r="L489" s="169">
        <f>1/24</f>
        <v>4.1666666666666664E-2</v>
      </c>
      <c r="M489" s="166">
        <v>30</v>
      </c>
      <c r="N489" s="166">
        <v>3</v>
      </c>
      <c r="O489" s="166">
        <v>1</v>
      </c>
      <c r="P489" s="166">
        <v>1</v>
      </c>
      <c r="Q489" s="166">
        <v>1</v>
      </c>
      <c r="S489" s="166" t="s">
        <v>383</v>
      </c>
      <c r="T489" s="168" t="s">
        <v>1074</v>
      </c>
    </row>
    <row r="490" spans="1:30" s="169" customFormat="1" ht="15.75" customHeight="1">
      <c r="A490" s="166" t="s">
        <v>318</v>
      </c>
      <c r="B490" s="166" t="s">
        <v>1070</v>
      </c>
      <c r="C490" s="171">
        <v>2013</v>
      </c>
      <c r="D490" s="166" t="s">
        <v>26</v>
      </c>
      <c r="E490" s="166" t="s">
        <v>803</v>
      </c>
      <c r="F490" s="166" t="s">
        <v>1073</v>
      </c>
      <c r="G490" s="166">
        <f>0.5*0.5</f>
        <v>0.25</v>
      </c>
      <c r="H490" s="166">
        <v>3920</v>
      </c>
      <c r="I490" s="169">
        <f t="shared" si="37"/>
        <v>9.8000000000000004E-2</v>
      </c>
      <c r="J490" s="169">
        <f>1/24/4</f>
        <v>1.0416666666666666E-2</v>
      </c>
      <c r="K490" s="166">
        <v>0</v>
      </c>
      <c r="L490" s="169">
        <f>1/24/4</f>
        <v>1.0416666666666666E-2</v>
      </c>
      <c r="M490" s="166">
        <v>456</v>
      </c>
      <c r="N490" s="166">
        <v>3</v>
      </c>
      <c r="O490" s="166">
        <v>0</v>
      </c>
      <c r="P490" s="166">
        <v>1</v>
      </c>
      <c r="Q490" s="166">
        <v>3</v>
      </c>
      <c r="S490" s="166" t="s">
        <v>1057</v>
      </c>
      <c r="T490" s="168" t="s">
        <v>1076</v>
      </c>
    </row>
    <row r="491" spans="1:30" s="169" customFormat="1" ht="15.75" customHeight="1">
      <c r="A491" s="166" t="s">
        <v>95</v>
      </c>
      <c r="B491" s="166" t="s">
        <v>1077</v>
      </c>
      <c r="C491" s="171">
        <v>2006</v>
      </c>
      <c r="D491" s="166" t="s">
        <v>26</v>
      </c>
      <c r="E491" s="166" t="s">
        <v>1029</v>
      </c>
      <c r="F491" s="166" t="s">
        <v>1078</v>
      </c>
      <c r="G491" s="166">
        <v>1</v>
      </c>
      <c r="H491" s="166">
        <v>340</v>
      </c>
      <c r="I491" s="169">
        <f t="shared" si="37"/>
        <v>3.4000000000000002E-2</v>
      </c>
      <c r="J491" s="169">
        <f>1/24/4</f>
        <v>1.0416666666666666E-2</v>
      </c>
      <c r="K491" s="166">
        <v>0</v>
      </c>
      <c r="L491" s="169">
        <f>1/24/4</f>
        <v>1.0416666666666666E-2</v>
      </c>
      <c r="M491" s="169">
        <f>55+31*3</f>
        <v>148</v>
      </c>
      <c r="N491" s="166">
        <v>3</v>
      </c>
      <c r="O491" s="166">
        <v>2</v>
      </c>
      <c r="P491" s="166">
        <v>1</v>
      </c>
      <c r="Q491" s="166">
        <v>1</v>
      </c>
      <c r="S491" s="166" t="s">
        <v>1049</v>
      </c>
      <c r="T491" s="168" t="s">
        <v>1079</v>
      </c>
    </row>
    <row r="492" spans="1:30" s="169" customFormat="1" ht="15.75" customHeight="1">
      <c r="A492" s="166" t="s">
        <v>95</v>
      </c>
      <c r="B492" s="166" t="s">
        <v>1077</v>
      </c>
      <c r="C492" s="171">
        <v>2006</v>
      </c>
      <c r="D492" s="166" t="s">
        <v>26</v>
      </c>
      <c r="E492" s="166" t="s">
        <v>1029</v>
      </c>
      <c r="F492" s="166" t="s">
        <v>1080</v>
      </c>
      <c r="G492" s="166">
        <v>1000</v>
      </c>
      <c r="H492" s="166">
        <v>34</v>
      </c>
      <c r="I492" s="169">
        <f t="shared" si="37"/>
        <v>3.4</v>
      </c>
      <c r="J492" s="179">
        <f>1/8</f>
        <v>0.125</v>
      </c>
      <c r="K492" s="166">
        <v>0</v>
      </c>
      <c r="L492" s="166">
        <v>0.125</v>
      </c>
      <c r="M492" s="169">
        <f>55+31*3</f>
        <v>148</v>
      </c>
      <c r="N492" s="166">
        <v>3</v>
      </c>
      <c r="O492" s="166">
        <v>0</v>
      </c>
      <c r="P492" s="166">
        <v>0</v>
      </c>
      <c r="Q492" s="166">
        <v>1</v>
      </c>
      <c r="S492" s="166" t="s">
        <v>1049</v>
      </c>
      <c r="T492" s="168" t="s">
        <v>1081</v>
      </c>
    </row>
    <row r="493" spans="1:30" s="169" customFormat="1" ht="15.75" customHeight="1">
      <c r="A493" s="166" t="s">
        <v>318</v>
      </c>
      <c r="B493" s="166" t="s">
        <v>1082</v>
      </c>
      <c r="C493" s="171">
        <v>2009</v>
      </c>
      <c r="D493" s="166" t="s">
        <v>26</v>
      </c>
      <c r="E493" s="166" t="s">
        <v>1083</v>
      </c>
      <c r="F493" s="166" t="s">
        <v>1084</v>
      </c>
      <c r="G493" s="166">
        <v>0.25</v>
      </c>
      <c r="H493" s="166">
        <v>2076</v>
      </c>
      <c r="I493" s="169">
        <f t="shared" si="37"/>
        <v>5.1900000000000002E-2</v>
      </c>
      <c r="J493" s="169">
        <f>1/24/2</f>
        <v>2.0833333333333332E-2</v>
      </c>
      <c r="K493" s="166">
        <v>0</v>
      </c>
      <c r="L493" s="169">
        <f>1/24/2</f>
        <v>2.0833333333333332E-2</v>
      </c>
      <c r="M493" s="166">
        <v>90</v>
      </c>
      <c r="N493" s="166">
        <v>3</v>
      </c>
      <c r="O493" s="166">
        <v>1</v>
      </c>
      <c r="P493" s="166">
        <v>1</v>
      </c>
      <c r="Q493" s="166">
        <v>1</v>
      </c>
      <c r="S493" s="166" t="s">
        <v>1085</v>
      </c>
      <c r="T493" s="168" t="s">
        <v>1086</v>
      </c>
    </row>
    <row r="494" spans="1:30" s="169" customFormat="1" ht="15.75" customHeight="1">
      <c r="A494" s="166" t="s">
        <v>318</v>
      </c>
      <c r="B494" s="166" t="s">
        <v>1082</v>
      </c>
      <c r="C494" s="171">
        <v>2009</v>
      </c>
      <c r="D494" s="166" t="s">
        <v>26</v>
      </c>
      <c r="E494" s="166" t="s">
        <v>1083</v>
      </c>
      <c r="F494" s="166" t="s">
        <v>1084</v>
      </c>
      <c r="G494" s="169">
        <f>50*0.05</f>
        <v>2.5</v>
      </c>
      <c r="H494" s="166">
        <v>110</v>
      </c>
      <c r="I494" s="169">
        <f t="shared" si="37"/>
        <v>2.75E-2</v>
      </c>
      <c r="J494" s="169">
        <f>1/24/12</f>
        <v>3.472222222222222E-3</v>
      </c>
      <c r="K494" s="166">
        <v>0</v>
      </c>
      <c r="L494" s="169">
        <f>1/24/12</f>
        <v>3.472222222222222E-3</v>
      </c>
      <c r="M494" s="166">
        <v>90</v>
      </c>
      <c r="N494" s="166">
        <v>2</v>
      </c>
      <c r="O494" s="166">
        <v>1</v>
      </c>
      <c r="P494" s="166">
        <v>1</v>
      </c>
      <c r="Q494" s="166">
        <v>1</v>
      </c>
      <c r="S494" s="166" t="s">
        <v>1085</v>
      </c>
      <c r="T494" s="168" t="s">
        <v>1087</v>
      </c>
    </row>
    <row r="495" spans="1:30" s="169" customFormat="1" ht="15.75" customHeight="1">
      <c r="A495" s="166" t="s">
        <v>130</v>
      </c>
      <c r="B495" s="166" t="s">
        <v>1088</v>
      </c>
      <c r="C495" s="171">
        <v>2006</v>
      </c>
      <c r="D495" s="166" t="s">
        <v>26</v>
      </c>
      <c r="E495" s="166" t="s">
        <v>1089</v>
      </c>
      <c r="F495" s="166" t="s">
        <v>1090</v>
      </c>
      <c r="G495" s="166">
        <v>20</v>
      </c>
      <c r="H495" s="169">
        <f>56*3</f>
        <v>168</v>
      </c>
      <c r="I495" s="169">
        <f t="shared" si="37"/>
        <v>0.33600000000000002</v>
      </c>
      <c r="J495" s="169">
        <f>1/24/2</f>
        <v>2.0833333333333332E-2</v>
      </c>
      <c r="K495" s="166">
        <v>30</v>
      </c>
      <c r="L495" s="169">
        <f>J495*6</f>
        <v>0.125</v>
      </c>
      <c r="M495" s="169">
        <f>7*30</f>
        <v>210</v>
      </c>
      <c r="N495" s="166">
        <v>3</v>
      </c>
      <c r="O495" s="166">
        <v>2</v>
      </c>
      <c r="P495" s="166">
        <v>1</v>
      </c>
      <c r="Q495" s="166">
        <v>2</v>
      </c>
      <c r="S495" s="166" t="s">
        <v>446</v>
      </c>
      <c r="T495" s="168" t="s">
        <v>1091</v>
      </c>
    </row>
    <row r="496" spans="1:30" s="169" customFormat="1" ht="15.75" customHeight="1">
      <c r="A496" s="166" t="s">
        <v>130</v>
      </c>
      <c r="B496" s="166" t="s">
        <v>1088</v>
      </c>
      <c r="C496" s="171">
        <v>2006</v>
      </c>
      <c r="D496" s="166" t="s">
        <v>26</v>
      </c>
      <c r="E496" s="166" t="s">
        <v>1089</v>
      </c>
      <c r="F496" s="166" t="s">
        <v>1090</v>
      </c>
      <c r="G496" s="166">
        <f>PI()*0.05*0.05</f>
        <v>7.8539816339744835E-3</v>
      </c>
      <c r="H496" s="169">
        <f>3*56</f>
        <v>168</v>
      </c>
      <c r="I496" s="169">
        <f t="shared" si="37"/>
        <v>1.3194689145077133E-4</v>
      </c>
      <c r="J496" s="166">
        <v>4</v>
      </c>
      <c r="K496" s="169">
        <f>1/24/6</f>
        <v>6.9444444444444441E-3</v>
      </c>
      <c r="L496" s="166">
        <v>180</v>
      </c>
      <c r="M496" s="166">
        <v>210</v>
      </c>
      <c r="N496" s="166">
        <v>3</v>
      </c>
      <c r="O496" s="166">
        <v>2</v>
      </c>
      <c r="P496" s="166">
        <v>1</v>
      </c>
      <c r="Q496" s="166">
        <v>1</v>
      </c>
      <c r="S496" s="166" t="s">
        <v>412</v>
      </c>
      <c r="T496" s="168" t="s">
        <v>1092</v>
      </c>
    </row>
    <row r="497" spans="1:20" s="169" customFormat="1" ht="15.75" customHeight="1">
      <c r="A497" s="166" t="s">
        <v>130</v>
      </c>
      <c r="B497" s="166" t="s">
        <v>1088</v>
      </c>
      <c r="C497" s="171">
        <v>2006</v>
      </c>
      <c r="D497" s="166" t="s">
        <v>26</v>
      </c>
      <c r="E497" s="166" t="s">
        <v>1089</v>
      </c>
      <c r="F497" s="166" t="s">
        <v>1093</v>
      </c>
      <c r="G497" s="166">
        <f>625/10000</f>
        <v>6.25E-2</v>
      </c>
      <c r="H497" s="169">
        <f>9*56</f>
        <v>504</v>
      </c>
      <c r="I497" s="169">
        <f t="shared" si="37"/>
        <v>3.15E-3</v>
      </c>
      <c r="J497" s="169">
        <f>1/24/6</f>
        <v>6.9444444444444441E-3</v>
      </c>
      <c r="K497" s="166">
        <v>30</v>
      </c>
      <c r="L497" s="169">
        <f>J497*6</f>
        <v>4.1666666666666664E-2</v>
      </c>
      <c r="M497" s="166">
        <v>210</v>
      </c>
      <c r="N497" s="166">
        <v>2</v>
      </c>
      <c r="O497" s="166">
        <v>2</v>
      </c>
      <c r="P497" s="166">
        <v>1</v>
      </c>
      <c r="Q497" s="166">
        <v>1</v>
      </c>
      <c r="S497" s="166" t="s">
        <v>383</v>
      </c>
      <c r="T497" s="168" t="s">
        <v>1094</v>
      </c>
    </row>
    <row r="498" spans="1:20" s="169" customFormat="1" ht="15.75" customHeight="1">
      <c r="A498" s="166" t="s">
        <v>130</v>
      </c>
      <c r="B498" s="166" t="s">
        <v>1088</v>
      </c>
      <c r="C498" s="171">
        <v>2006</v>
      </c>
      <c r="D498" s="166" t="s">
        <v>26</v>
      </c>
      <c r="E498" s="166" t="s">
        <v>1089</v>
      </c>
      <c r="F498" s="166" t="s">
        <v>1095</v>
      </c>
      <c r="G498" s="166">
        <f>0.01*0.03</f>
        <v>2.9999999999999997E-4</v>
      </c>
      <c r="H498" s="169">
        <f>5*3*56</f>
        <v>840</v>
      </c>
      <c r="I498" s="169">
        <f t="shared" si="37"/>
        <v>2.5199999999999999E-5</v>
      </c>
      <c r="J498" s="169">
        <f>1/24/60</f>
        <v>6.9444444444444436E-4</v>
      </c>
      <c r="K498" s="166">
        <v>30</v>
      </c>
      <c r="L498" s="169">
        <f>J498*6</f>
        <v>4.1666666666666657E-3</v>
      </c>
      <c r="M498" s="166">
        <v>210</v>
      </c>
      <c r="N498" s="166">
        <v>0</v>
      </c>
      <c r="O498" s="166">
        <v>1</v>
      </c>
      <c r="P498" s="166">
        <v>1</v>
      </c>
      <c r="Q498" s="166">
        <v>0</v>
      </c>
      <c r="S498" s="166" t="s">
        <v>1057</v>
      </c>
      <c r="T498" s="168" t="s">
        <v>1096</v>
      </c>
    </row>
    <row r="499" spans="1:20" s="169" customFormat="1" ht="15.75" customHeight="1">
      <c r="A499" s="166" t="s">
        <v>6</v>
      </c>
      <c r="B499" s="166" t="s">
        <v>1097</v>
      </c>
      <c r="C499" s="171">
        <v>2012</v>
      </c>
      <c r="D499" s="166" t="s">
        <v>290</v>
      </c>
      <c r="E499" s="166" t="s">
        <v>400</v>
      </c>
      <c r="F499" s="166" t="s">
        <v>1098</v>
      </c>
      <c r="G499" s="180">
        <f>8000*8000</f>
        <v>64000000</v>
      </c>
      <c r="H499" s="166">
        <v>1000</v>
      </c>
      <c r="I499" s="169">
        <f t="shared" si="37"/>
        <v>6400000</v>
      </c>
      <c r="J499" s="181">
        <v>14</v>
      </c>
      <c r="K499" s="166">
        <v>0</v>
      </c>
      <c r="L499" s="182">
        <f>24*365</f>
        <v>8760</v>
      </c>
      <c r="M499" s="166">
        <v>8760</v>
      </c>
      <c r="N499" s="166">
        <v>0</v>
      </c>
      <c r="O499" s="166">
        <v>0</v>
      </c>
      <c r="P499" s="166">
        <v>1</v>
      </c>
      <c r="Q499" s="166">
        <v>0</v>
      </c>
      <c r="R499" s="173" t="s">
        <v>1099</v>
      </c>
      <c r="T499" s="168" t="s">
        <v>1100</v>
      </c>
    </row>
    <row r="500" spans="1:20" s="169" customFormat="1" ht="15.75" customHeight="1">
      <c r="A500" s="166" t="s">
        <v>95</v>
      </c>
      <c r="B500" s="166" t="s">
        <v>1101</v>
      </c>
      <c r="C500" s="171">
        <v>2014</v>
      </c>
      <c r="D500" s="166" t="s">
        <v>26</v>
      </c>
      <c r="E500" s="166" t="s">
        <v>1102</v>
      </c>
      <c r="F500" s="166" t="s">
        <v>1103</v>
      </c>
      <c r="G500" s="166">
        <v>0.04</v>
      </c>
      <c r="H500" s="166">
        <v>246</v>
      </c>
      <c r="I500" s="169">
        <f t="shared" si="37"/>
        <v>9.8400000000000007E-4</v>
      </c>
      <c r="J500" s="169">
        <f>1/24/3</f>
        <v>1.3888888888888888E-2</v>
      </c>
      <c r="K500" s="166">
        <v>0</v>
      </c>
      <c r="L500" s="169">
        <f>J500</f>
        <v>1.3888888888888888E-2</v>
      </c>
      <c r="M500" s="166">
        <v>365</v>
      </c>
      <c r="N500" s="166">
        <v>3</v>
      </c>
      <c r="O500" s="166">
        <v>2</v>
      </c>
      <c r="P500" s="166">
        <v>0</v>
      </c>
      <c r="Q500" s="166">
        <v>1</v>
      </c>
      <c r="S500" s="166" t="s">
        <v>1049</v>
      </c>
      <c r="T500" s="168" t="s">
        <v>1104</v>
      </c>
    </row>
    <row r="501" spans="1:20" s="169" customFormat="1" ht="15.75" customHeight="1">
      <c r="A501" s="166" t="s">
        <v>278</v>
      </c>
      <c r="B501" s="166" t="s">
        <v>1105</v>
      </c>
      <c r="C501" s="171">
        <v>2013</v>
      </c>
      <c r="D501" s="166" t="s">
        <v>26</v>
      </c>
      <c r="E501" s="166" t="s">
        <v>1025</v>
      </c>
      <c r="F501" s="166" t="s">
        <v>1106</v>
      </c>
      <c r="G501" s="166">
        <v>4900</v>
      </c>
      <c r="H501" s="166">
        <v>2</v>
      </c>
      <c r="I501" s="169">
        <f t="shared" si="37"/>
        <v>0.98</v>
      </c>
      <c r="J501" s="166">
        <v>5</v>
      </c>
      <c r="K501" s="166">
        <v>730</v>
      </c>
      <c r="L501" s="175">
        <v>20</v>
      </c>
      <c r="M501" s="169">
        <f>6*365+1</f>
        <v>2191</v>
      </c>
      <c r="N501" s="166">
        <v>3</v>
      </c>
      <c r="O501" s="166">
        <v>2</v>
      </c>
      <c r="P501" s="166">
        <v>2</v>
      </c>
      <c r="Q501" s="166">
        <v>1</v>
      </c>
      <c r="S501" s="166" t="s">
        <v>383</v>
      </c>
      <c r="T501" s="168" t="s">
        <v>1107</v>
      </c>
    </row>
    <row r="502" spans="1:20" s="169" customFormat="1" ht="15.75" customHeight="1">
      <c r="A502" s="166" t="s">
        <v>278</v>
      </c>
      <c r="B502" s="166" t="s">
        <v>1105</v>
      </c>
      <c r="C502" s="171">
        <v>2013</v>
      </c>
      <c r="D502" s="166" t="s">
        <v>26</v>
      </c>
      <c r="E502" s="166" t="s">
        <v>1025</v>
      </c>
      <c r="F502" s="166" t="s">
        <v>1108</v>
      </c>
      <c r="G502" s="169">
        <f>0.05*0.05</f>
        <v>2.5000000000000005E-3</v>
      </c>
      <c r="H502" s="166">
        <v>42</v>
      </c>
      <c r="I502" s="169">
        <f t="shared" si="37"/>
        <v>1.0500000000000003E-5</v>
      </c>
      <c r="J502" s="169">
        <f>1/24/30</f>
        <v>1.3888888888888887E-3</v>
      </c>
      <c r="K502" s="166">
        <v>6</v>
      </c>
      <c r="L502" s="169">
        <f>13*J502</f>
        <v>1.8055555555555554E-2</v>
      </c>
      <c r="M502" s="166">
        <v>79</v>
      </c>
      <c r="N502" s="166">
        <v>3</v>
      </c>
      <c r="O502" s="166">
        <v>3</v>
      </c>
      <c r="P502" s="166">
        <v>1</v>
      </c>
      <c r="Q502" s="166">
        <v>1</v>
      </c>
      <c r="S502" s="166" t="s">
        <v>412</v>
      </c>
      <c r="T502" s="168" t="s">
        <v>1109</v>
      </c>
    </row>
    <row r="503" spans="1:20" s="169" customFormat="1" ht="15.75" customHeight="1">
      <c r="A503" s="166" t="s">
        <v>278</v>
      </c>
      <c r="B503" s="166" t="s">
        <v>1105</v>
      </c>
      <c r="C503" s="171">
        <v>2013</v>
      </c>
      <c r="D503" s="166" t="s">
        <v>26</v>
      </c>
      <c r="E503" s="166" t="s">
        <v>1025</v>
      </c>
      <c r="F503" s="166" t="s">
        <v>1108</v>
      </c>
      <c r="G503" s="166">
        <v>0.5</v>
      </c>
      <c r="H503" s="166">
        <v>42</v>
      </c>
      <c r="I503" s="169">
        <f t="shared" si="37"/>
        <v>2.0999999999999999E-3</v>
      </c>
      <c r="J503" s="166">
        <v>3</v>
      </c>
      <c r="K503" s="166">
        <v>0</v>
      </c>
      <c r="L503" s="166">
        <v>3</v>
      </c>
      <c r="M503" s="166">
        <v>5</v>
      </c>
      <c r="N503" s="166">
        <v>3</v>
      </c>
      <c r="O503" s="166">
        <v>3</v>
      </c>
      <c r="P503" s="166">
        <v>2</v>
      </c>
      <c r="Q503" s="166">
        <v>1</v>
      </c>
      <c r="S503" s="166" t="s">
        <v>1110</v>
      </c>
      <c r="T503" s="168" t="s">
        <v>1111</v>
      </c>
    </row>
    <row r="504" spans="1:20" s="169" customFormat="1" ht="15.75" customHeight="1">
      <c r="A504" s="166" t="s">
        <v>278</v>
      </c>
      <c r="B504" s="166" t="s">
        <v>1105</v>
      </c>
      <c r="C504" s="171">
        <v>2013</v>
      </c>
      <c r="D504" s="166" t="s">
        <v>26</v>
      </c>
      <c r="E504" s="166" t="s">
        <v>1025</v>
      </c>
      <c r="F504" s="166" t="s">
        <v>1112</v>
      </c>
      <c r="G504" s="169">
        <f>0.01*0.01</f>
        <v>1E-4</v>
      </c>
      <c r="H504" s="169">
        <f>42*3</f>
        <v>126</v>
      </c>
      <c r="I504" s="169">
        <f t="shared" si="37"/>
        <v>1.26E-6</v>
      </c>
      <c r="J504" s="166">
        <v>1</v>
      </c>
      <c r="K504" s="166">
        <v>0</v>
      </c>
      <c r="L504" s="166">
        <v>1</v>
      </c>
      <c r="M504" s="166">
        <v>1</v>
      </c>
      <c r="N504" s="166">
        <v>3</v>
      </c>
      <c r="O504" s="166">
        <v>3</v>
      </c>
      <c r="P504" s="166">
        <v>2</v>
      </c>
      <c r="Q504" s="166">
        <v>1</v>
      </c>
      <c r="S504" s="166" t="s">
        <v>1110</v>
      </c>
      <c r="T504" s="168" t="s">
        <v>1113</v>
      </c>
    </row>
    <row r="505" spans="1:20" s="169" customFormat="1" ht="15.75" customHeight="1">
      <c r="A505" s="166" t="s">
        <v>278</v>
      </c>
      <c r="B505" s="166" t="s">
        <v>1105</v>
      </c>
      <c r="C505" s="171">
        <v>2013</v>
      </c>
      <c r="D505" s="166" t="s">
        <v>26</v>
      </c>
      <c r="E505" s="166" t="s">
        <v>1025</v>
      </c>
      <c r="F505" s="166" t="s">
        <v>1114</v>
      </c>
      <c r="G505" s="166">
        <v>0.01</v>
      </c>
      <c r="H505" s="166">
        <v>1</v>
      </c>
      <c r="I505" s="169">
        <f t="shared" si="37"/>
        <v>9.9999999999999995E-7</v>
      </c>
      <c r="J505" s="169">
        <f>1/24/60/60/20</f>
        <v>5.787037037037037E-7</v>
      </c>
      <c r="K505" s="166">
        <v>0</v>
      </c>
      <c r="L505" s="181">
        <v>365</v>
      </c>
      <c r="M505" s="166">
        <v>365</v>
      </c>
      <c r="N505" s="166">
        <v>0</v>
      </c>
      <c r="O505" s="166">
        <v>0</v>
      </c>
      <c r="P505" s="166">
        <v>1</v>
      </c>
      <c r="Q505" s="166">
        <v>0</v>
      </c>
      <c r="R505" s="166" t="s">
        <v>1115</v>
      </c>
      <c r="S505" s="166" t="s">
        <v>412</v>
      </c>
      <c r="T505" s="168" t="s">
        <v>1116</v>
      </c>
    </row>
    <row r="506" spans="1:20" s="169" customFormat="1" ht="15.75" customHeight="1">
      <c r="A506" s="166" t="s">
        <v>278</v>
      </c>
      <c r="B506" s="166" t="s">
        <v>1105</v>
      </c>
      <c r="C506" s="171">
        <v>2013</v>
      </c>
      <c r="D506" s="166" t="s">
        <v>26</v>
      </c>
      <c r="E506" s="166" t="s">
        <v>1025</v>
      </c>
      <c r="F506" s="166" t="s">
        <v>1117</v>
      </c>
      <c r="G506" s="169">
        <f>0.01*0.01</f>
        <v>1E-4</v>
      </c>
      <c r="H506" s="169">
        <f>42*4</f>
        <v>168</v>
      </c>
      <c r="I506" s="169">
        <f t="shared" si="37"/>
        <v>1.6800000000000002E-6</v>
      </c>
      <c r="J506" s="169">
        <f>1/24/60</f>
        <v>6.9444444444444436E-4</v>
      </c>
      <c r="K506" s="166">
        <v>0</v>
      </c>
      <c r="L506" s="169">
        <f>J506</f>
        <v>6.9444444444444436E-4</v>
      </c>
      <c r="M506" s="166">
        <v>1</v>
      </c>
      <c r="N506" s="166">
        <v>3</v>
      </c>
      <c r="O506" s="166">
        <v>3</v>
      </c>
      <c r="P506" s="166">
        <v>1</v>
      </c>
      <c r="Q506" s="166">
        <v>1</v>
      </c>
      <c r="S506" s="166" t="s">
        <v>1110</v>
      </c>
      <c r="T506" s="178"/>
    </row>
    <row r="507" spans="1:20" s="169" customFormat="1" ht="15.75" customHeight="1">
      <c r="A507" s="166" t="s">
        <v>278</v>
      </c>
      <c r="B507" s="166" t="s">
        <v>1105</v>
      </c>
      <c r="C507" s="171">
        <v>2013</v>
      </c>
      <c r="D507" s="166" t="s">
        <v>26</v>
      </c>
      <c r="E507" s="166" t="s">
        <v>1025</v>
      </c>
      <c r="F507" s="166" t="s">
        <v>1118</v>
      </c>
      <c r="G507" s="169">
        <f>0.01*0.01</f>
        <v>1E-4</v>
      </c>
      <c r="H507" s="166">
        <v>1</v>
      </c>
      <c r="I507" s="169">
        <f t="shared" si="37"/>
        <v>1E-8</v>
      </c>
      <c r="J507" s="166">
        <v>1</v>
      </c>
      <c r="K507" s="166">
        <v>0</v>
      </c>
      <c r="L507" s="181">
        <v>79</v>
      </c>
      <c r="M507" s="166">
        <v>79</v>
      </c>
      <c r="N507" s="166">
        <v>0</v>
      </c>
      <c r="O507" s="166">
        <v>3</v>
      </c>
      <c r="P507" s="166">
        <v>1</v>
      </c>
      <c r="Q507" s="166">
        <v>0</v>
      </c>
      <c r="S507" s="166" t="s">
        <v>412</v>
      </c>
      <c r="T507" s="178"/>
    </row>
    <row r="508" spans="1:20" s="169" customFormat="1" ht="15.75" customHeight="1">
      <c r="A508" s="166" t="s">
        <v>278</v>
      </c>
      <c r="B508" s="166" t="s">
        <v>1105</v>
      </c>
      <c r="C508" s="171">
        <v>2013</v>
      </c>
      <c r="D508" s="166" t="s">
        <v>26</v>
      </c>
      <c r="E508" s="166" t="s">
        <v>1025</v>
      </c>
      <c r="F508" s="166" t="s">
        <v>1108</v>
      </c>
      <c r="G508" s="166">
        <f>6.25*10000</f>
        <v>62500</v>
      </c>
      <c r="H508" s="166">
        <v>1</v>
      </c>
      <c r="I508" s="169">
        <f t="shared" si="37"/>
        <v>6.25</v>
      </c>
      <c r="J508" s="166">
        <v>1</v>
      </c>
      <c r="K508" s="166">
        <v>30</v>
      </c>
      <c r="L508" s="180">
        <f>12*20</f>
        <v>240</v>
      </c>
      <c r="M508" s="169">
        <f>20*365.25</f>
        <v>7305</v>
      </c>
      <c r="N508" s="166">
        <v>3</v>
      </c>
      <c r="O508" s="166">
        <v>2</v>
      </c>
      <c r="P508" s="166">
        <v>2</v>
      </c>
      <c r="Q508" s="166">
        <v>1</v>
      </c>
      <c r="T508" s="178"/>
    </row>
    <row r="509" spans="1:20" s="169" customFormat="1" ht="15.75" customHeight="1">
      <c r="A509" s="166" t="s">
        <v>111</v>
      </c>
      <c r="B509" s="166" t="s">
        <v>1119</v>
      </c>
      <c r="C509" s="171">
        <v>2012</v>
      </c>
      <c r="D509" s="166" t="s">
        <v>26</v>
      </c>
      <c r="E509" s="166" t="s">
        <v>1120</v>
      </c>
      <c r="F509" s="166" t="s">
        <v>1121</v>
      </c>
      <c r="G509" s="169">
        <f>PI()*0.25*0.25</f>
        <v>0.19634954084936207</v>
      </c>
      <c r="H509" s="166">
        <v>20497</v>
      </c>
      <c r="I509" s="169">
        <f t="shared" si="37"/>
        <v>0.40245765387893745</v>
      </c>
      <c r="J509" s="169">
        <f>1/24/60</f>
        <v>6.9444444444444436E-4</v>
      </c>
      <c r="K509" s="166">
        <v>0</v>
      </c>
      <c r="L509" s="169">
        <f>J509</f>
        <v>6.9444444444444436E-4</v>
      </c>
      <c r="M509" s="166">
        <v>365</v>
      </c>
      <c r="N509" s="166">
        <v>3</v>
      </c>
      <c r="O509" s="166">
        <v>2</v>
      </c>
      <c r="P509" s="166">
        <v>1</v>
      </c>
      <c r="Q509" s="166">
        <v>1</v>
      </c>
      <c r="S509" s="166" t="s">
        <v>1085</v>
      </c>
      <c r="T509" s="168" t="s">
        <v>1122</v>
      </c>
    </row>
    <row r="510" spans="1:20" s="169" customFormat="1" ht="15.75" customHeight="1">
      <c r="A510" s="166" t="s">
        <v>111</v>
      </c>
      <c r="B510" s="166" t="s">
        <v>1119</v>
      </c>
      <c r="C510" s="171">
        <v>2012</v>
      </c>
      <c r="D510" s="166" t="s">
        <v>26</v>
      </c>
      <c r="E510" s="166" t="s">
        <v>1120</v>
      </c>
      <c r="F510" s="166" t="s">
        <v>1121</v>
      </c>
      <c r="G510" s="166">
        <f>2*10000</f>
        <v>20000</v>
      </c>
      <c r="H510" s="166">
        <v>104</v>
      </c>
      <c r="I510" s="169">
        <f>H510*G510/10000</f>
        <v>208</v>
      </c>
      <c r="J510" s="166">
        <v>20</v>
      </c>
      <c r="K510" s="166">
        <v>0</v>
      </c>
      <c r="L510" s="175">
        <v>20</v>
      </c>
      <c r="M510" s="166">
        <v>365</v>
      </c>
      <c r="N510" s="166">
        <v>3</v>
      </c>
      <c r="O510" s="166">
        <v>2</v>
      </c>
      <c r="P510" s="166">
        <v>1</v>
      </c>
      <c r="Q510" s="166">
        <v>1</v>
      </c>
      <c r="S510" s="166" t="s">
        <v>1085</v>
      </c>
      <c r="T510" s="168" t="s">
        <v>1122</v>
      </c>
    </row>
    <row r="511" spans="1:20" s="169" customFormat="1" ht="15.75" customHeight="1">
      <c r="A511" s="166" t="s">
        <v>24</v>
      </c>
      <c r="B511" s="177" t="s">
        <v>1123</v>
      </c>
      <c r="C511" s="171">
        <v>2007</v>
      </c>
      <c r="D511" s="166" t="s">
        <v>26</v>
      </c>
      <c r="E511" s="166" t="s">
        <v>1124</v>
      </c>
      <c r="F511" s="166" t="s">
        <v>1125</v>
      </c>
      <c r="G511" s="166">
        <v>9</v>
      </c>
      <c r="H511" s="166">
        <v>10</v>
      </c>
      <c r="I511" s="169">
        <f>G511*H511/10000</f>
        <v>8.9999999999999993E-3</v>
      </c>
      <c r="J511" s="169">
        <f>1/24</f>
        <v>4.1666666666666664E-2</v>
      </c>
      <c r="K511" s="166">
        <v>0</v>
      </c>
      <c r="L511" s="180">
        <f>J511</f>
        <v>4.1666666666666664E-2</v>
      </c>
      <c r="M511" s="166">
        <v>123</v>
      </c>
      <c r="N511" s="166">
        <v>3</v>
      </c>
      <c r="O511" s="166">
        <v>1</v>
      </c>
      <c r="P511" s="166">
        <v>0</v>
      </c>
      <c r="Q511" s="166">
        <v>1</v>
      </c>
      <c r="S511" s="166" t="s">
        <v>383</v>
      </c>
      <c r="T511" s="178"/>
    </row>
    <row r="512" spans="1:20" s="169" customFormat="1" ht="15.75" customHeight="1">
      <c r="A512" s="166" t="s">
        <v>24</v>
      </c>
      <c r="B512" s="177" t="s">
        <v>1123</v>
      </c>
      <c r="C512" s="171">
        <v>2007</v>
      </c>
      <c r="D512" s="166" t="s">
        <v>26</v>
      </c>
      <c r="E512" s="166" t="s">
        <v>1124</v>
      </c>
      <c r="F512" s="166" t="s">
        <v>1126</v>
      </c>
      <c r="G512" s="166">
        <v>100</v>
      </c>
      <c r="H512" s="166">
        <v>10</v>
      </c>
      <c r="I512" s="169">
        <f>G512*H512/10000</f>
        <v>0.1</v>
      </c>
      <c r="J512" s="166">
        <f>1/24/3</f>
        <v>1.3888888888888888E-2</v>
      </c>
      <c r="K512" s="166">
        <v>40</v>
      </c>
      <c r="L512" s="175">
        <f>3*J512</f>
        <v>4.1666666666666664E-2</v>
      </c>
      <c r="M512" s="166">
        <v>123</v>
      </c>
      <c r="N512" s="166">
        <v>3</v>
      </c>
      <c r="O512" s="166">
        <v>1</v>
      </c>
      <c r="P512" s="166">
        <v>1</v>
      </c>
      <c r="Q512" s="166">
        <v>2</v>
      </c>
      <c r="S512" s="166"/>
      <c r="T512" s="178"/>
    </row>
    <row r="513" spans="1:20" s="169" customFormat="1" ht="15.75" customHeight="1">
      <c r="A513" s="166" t="s">
        <v>24</v>
      </c>
      <c r="B513" s="177" t="s">
        <v>1123</v>
      </c>
      <c r="C513" s="171">
        <v>2007</v>
      </c>
      <c r="D513" s="166" t="s">
        <v>26</v>
      </c>
      <c r="E513" s="166" t="s">
        <v>1124</v>
      </c>
      <c r="F513" s="166" t="s">
        <v>1126</v>
      </c>
      <c r="G513" s="166">
        <f>PI()*0.035*0.035</f>
        <v>3.8484510006474974E-3</v>
      </c>
      <c r="H513" s="166">
        <v>60</v>
      </c>
      <c r="I513" s="169">
        <f>G513*H513/10000</f>
        <v>2.3090706003884983E-5</v>
      </c>
      <c r="J513" s="166">
        <v>7</v>
      </c>
      <c r="K513" s="166">
        <v>33</v>
      </c>
      <c r="L513" s="175">
        <v>28</v>
      </c>
      <c r="M513" s="166">
        <v>123</v>
      </c>
      <c r="N513" s="166">
        <v>3</v>
      </c>
      <c r="O513" s="166">
        <v>1</v>
      </c>
      <c r="P513" s="166">
        <v>1</v>
      </c>
      <c r="Q513" s="166">
        <v>1</v>
      </c>
      <c r="S513" s="166" t="s">
        <v>412</v>
      </c>
      <c r="T513" s="168" t="s">
        <v>1092</v>
      </c>
    </row>
  </sheetData>
  <dataValidations count="1">
    <dataValidation type="list" allowBlank="1" sqref="D472:D513">
      <formula1>"field/direct observation,paleo-reconstruction,other geographic data,remote sensing,passive/automated data collection"</formula1>
      <formula2>0</formula2>
    </dataValidation>
  </dataValidations>
  <hyperlinks>
    <hyperlink ref="B92" r:id="rId1"/>
    <hyperlink ref="R93" r:id="rId2"/>
    <hyperlink ref="B94" r:id="rId3"/>
    <hyperlink ref="R94" r:id="rId4"/>
    <hyperlink ref="B95" r:id="rId5"/>
    <hyperlink ref="R95" r:id="rId6"/>
    <hyperlink ref="R119" r:id="rId7"/>
    <hyperlink ref="T119" r:id="rId8"/>
    <hyperlink ref="R122" r:id="rId9"/>
    <hyperlink ref="T122" r:id="rId10"/>
    <hyperlink ref="B127" r:id="rId11"/>
    <hyperlink ref="B394" r:id="rId12"/>
    <hyperlink ref="R476" r:id="rId13"/>
    <hyperlink ref="R485" r:id="rId14"/>
    <hyperlink ref="R499" r:id="rId15"/>
  </hyperlinks>
  <pageMargins left="0.75" right="0.75" top="1" bottom="1" header="0.5" footer="0.5"/>
  <pageSetup orientation="portrait" horizontalDpi="4294967292" verticalDpi="4294967292"/>
  <legacyDrawing r:id="rId16"/>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Princeton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Lyndon Estes</dc:creator>
  <cp:lastModifiedBy>Lyndon Estes</cp:lastModifiedBy>
  <dcterms:created xsi:type="dcterms:W3CDTF">2016-05-27T21:48:07Z</dcterms:created>
  <dcterms:modified xsi:type="dcterms:W3CDTF">2017-04-20T19:34:26Z</dcterms:modified>
</cp:coreProperties>
</file>