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028"/>
  <workbookPr showInkAnnotation="0" autoCompressPictures="0"/>
  <bookViews>
    <workbookView xWindow="1040" yWindow="0" windowWidth="32760" windowHeight="17040" tabRatio="500"/>
  </bookViews>
  <sheets>
    <sheet name="merged_calibrationf.csv"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59" i="1" l="1"/>
  <c r="Q159" i="1"/>
  <c r="R163" i="1"/>
  <c r="O176" i="1"/>
  <c r="R176" i="1"/>
  <c r="Q176" i="1"/>
  <c r="O175" i="1"/>
  <c r="R175" i="1"/>
  <c r="Q175" i="1"/>
  <c r="O174" i="1"/>
  <c r="R174" i="1"/>
  <c r="Q174" i="1"/>
  <c r="Q173" i="1"/>
  <c r="O173" i="1"/>
  <c r="R6" i="1"/>
  <c r="R7" i="1"/>
  <c r="R22" i="1"/>
  <c r="R23" i="1"/>
  <c r="R24" i="1"/>
  <c r="R29" i="1"/>
  <c r="R43" i="1"/>
  <c r="R44" i="1"/>
  <c r="R45" i="1"/>
  <c r="R110" i="1"/>
  <c r="R109" i="1"/>
  <c r="R95" i="1"/>
  <c r="R137" i="1"/>
  <c r="Q129" i="1"/>
  <c r="Q137" i="1"/>
  <c r="R171" i="1"/>
  <c r="R157" i="1"/>
  <c r="R156" i="1"/>
  <c r="R185" i="1"/>
  <c r="R184" i="1"/>
  <c r="R162" i="1"/>
  <c r="Q185" i="1"/>
  <c r="O185" i="1"/>
  <c r="Q184" i="1"/>
  <c r="O184" i="1"/>
  <c r="P182" i="1"/>
  <c r="Q171" i="1"/>
  <c r="P171" i="1"/>
  <c r="Q163" i="1"/>
  <c r="O163" i="1"/>
  <c r="P162" i="1"/>
  <c r="O162" i="1"/>
  <c r="Q157" i="1"/>
  <c r="P157" i="1"/>
  <c r="Q156" i="1"/>
  <c r="P156" i="1"/>
  <c r="N178" i="1"/>
  <c r="N177" i="1"/>
  <c r="N173" i="1"/>
  <c r="N163" i="1"/>
  <c r="N162" i="1"/>
  <c r="N157" i="1"/>
  <c r="N156" i="1"/>
  <c r="K185" i="1"/>
  <c r="M185" i="1"/>
  <c r="M184" i="1"/>
  <c r="K184" i="1"/>
  <c r="M183" i="1"/>
  <c r="M182" i="1"/>
  <c r="K182" i="1"/>
  <c r="K178" i="1"/>
  <c r="M178" i="1"/>
  <c r="M177" i="1"/>
  <c r="M176" i="1"/>
  <c r="M175" i="1"/>
  <c r="L175" i="1"/>
  <c r="K175" i="1"/>
  <c r="M174" i="1"/>
  <c r="L174" i="1"/>
  <c r="K173" i="1"/>
  <c r="M173" i="1"/>
  <c r="K171" i="1"/>
  <c r="M171" i="1"/>
  <c r="M163" i="1"/>
  <c r="M162" i="1"/>
  <c r="K159" i="1"/>
  <c r="M159" i="1"/>
  <c r="K157" i="1"/>
  <c r="M157" i="1"/>
  <c r="K156" i="1"/>
  <c r="M156" i="1"/>
  <c r="R150" i="1"/>
  <c r="K150" i="1"/>
  <c r="M150" i="1"/>
  <c r="R151" i="1"/>
  <c r="R149" i="1"/>
  <c r="R145" i="1"/>
  <c r="R129" i="1"/>
  <c r="R127" i="1"/>
  <c r="R126" i="1"/>
  <c r="R123" i="1"/>
  <c r="O9" i="1"/>
  <c r="Q9" i="1"/>
  <c r="O24" i="1"/>
  <c r="Q24" i="1"/>
  <c r="L24" i="1"/>
  <c r="M24" i="1"/>
  <c r="O23" i="1"/>
  <c r="Q23" i="1"/>
  <c r="K23" i="1"/>
  <c r="L23" i="1"/>
  <c r="M23" i="1"/>
  <c r="O22" i="1"/>
  <c r="Q22" i="1"/>
  <c r="L22" i="1"/>
  <c r="M22" i="1"/>
  <c r="O21" i="1"/>
  <c r="Q21" i="1"/>
  <c r="M21" i="1"/>
  <c r="O20" i="1"/>
  <c r="Q20" i="1"/>
  <c r="K20" i="1"/>
  <c r="L20" i="1"/>
  <c r="M20" i="1"/>
  <c r="Q18" i="1"/>
  <c r="P18" i="1"/>
  <c r="K18" i="1"/>
  <c r="M18" i="1"/>
  <c r="O10" i="1"/>
  <c r="Q10" i="1"/>
  <c r="M10" i="1"/>
  <c r="K9" i="1"/>
  <c r="M9" i="1"/>
  <c r="O8" i="1"/>
  <c r="Q8" i="1"/>
  <c r="M8" i="1"/>
  <c r="O7" i="1"/>
  <c r="Q7" i="1"/>
  <c r="K7" i="1"/>
  <c r="L7" i="1"/>
  <c r="M7" i="1"/>
  <c r="O6" i="1"/>
  <c r="Q6" i="1"/>
  <c r="K6" i="1"/>
  <c r="L6" i="1"/>
  <c r="M6" i="1"/>
  <c r="K4" i="1"/>
  <c r="L4" i="1"/>
  <c r="M4" i="1"/>
  <c r="Q3" i="1"/>
  <c r="P3" i="1"/>
  <c r="O3" i="1"/>
  <c r="K3" i="1"/>
  <c r="L3" i="1"/>
  <c r="M3" i="1"/>
  <c r="O2" i="1"/>
  <c r="Q2" i="1"/>
  <c r="P2" i="1"/>
  <c r="K2" i="1"/>
  <c r="L2" i="1"/>
  <c r="M2" i="1"/>
  <c r="M29" i="1"/>
  <c r="P29" i="1"/>
  <c r="Q29" i="1"/>
  <c r="M32" i="1"/>
  <c r="O53" i="1"/>
  <c r="L53" i="1"/>
  <c r="Q53" i="1"/>
  <c r="M53" i="1"/>
  <c r="O52" i="1"/>
  <c r="Q52" i="1"/>
  <c r="M52" i="1"/>
  <c r="O51" i="1"/>
  <c r="L51" i="1"/>
  <c r="Q51" i="1"/>
  <c r="M51" i="1"/>
  <c r="O50" i="1"/>
  <c r="L50" i="1"/>
  <c r="Q50" i="1"/>
  <c r="M50" i="1"/>
  <c r="O49" i="1"/>
  <c r="Q49" i="1"/>
  <c r="M49" i="1"/>
  <c r="O48" i="1"/>
  <c r="Q48" i="1"/>
  <c r="M48" i="1"/>
  <c r="O47" i="1"/>
  <c r="Q47" i="1"/>
  <c r="M47" i="1"/>
  <c r="Q45" i="1"/>
  <c r="M45" i="1"/>
  <c r="Q44" i="1"/>
  <c r="M44" i="1"/>
  <c r="Q43" i="1"/>
  <c r="M43" i="1"/>
  <c r="Q33" i="1"/>
  <c r="Q30" i="1"/>
  <c r="P30" i="1"/>
  <c r="O30" i="1"/>
  <c r="L30" i="1"/>
  <c r="M30" i="1"/>
  <c r="Q107" i="1"/>
</calcChain>
</file>

<file path=xl/comments1.xml><?xml version="1.0" encoding="utf-8"?>
<comments xmlns="http://schemas.openxmlformats.org/spreadsheetml/2006/main">
  <authors>
    <author>Lyndon Estes</author>
    <author>LA</author>
    <author>EcosynthAdmin</author>
    <author>Jason</author>
    <author>Paul R. Elsen</author>
    <author>Paul Elsen</author>
    <author/>
  </authors>
  <commentList>
    <comment ref="F2" authorId="0">
      <text>
        <r>
          <rPr>
            <b/>
            <sz val="9"/>
            <color indexed="81"/>
            <rFont val="Calibri"/>
            <family val="2"/>
          </rPr>
          <t>Lyndon Estes:</t>
        </r>
        <r>
          <rPr>
            <sz val="9"/>
            <color indexed="81"/>
            <rFont val="Calibri"/>
            <family val="2"/>
          </rPr>
          <t xml:space="preserve">
17/5/2017: fixed from 2003</t>
        </r>
      </text>
    </comment>
    <comment ref="O2" authorId="1">
      <text>
        <r>
          <rPr>
            <b/>
            <sz val="9"/>
            <color indexed="81"/>
            <rFont val="Tahoma"/>
            <charset val="1"/>
          </rPr>
          <t>LA:</t>
        </r>
        <r>
          <rPr>
            <sz val="9"/>
            <color indexed="81"/>
            <rFont val="Tahoma"/>
            <charset val="1"/>
          </rPr>
          <t xml:space="preserve">
samp duration 5 mins each</t>
        </r>
      </text>
    </comment>
    <comment ref="P2" authorId="1">
      <text>
        <r>
          <rPr>
            <b/>
            <sz val="9"/>
            <color indexed="81"/>
            <rFont val="Tahoma"/>
            <charset val="1"/>
          </rPr>
          <t>LA:</t>
        </r>
        <r>
          <rPr>
            <sz val="9"/>
            <color indexed="81"/>
            <rFont val="Tahoma"/>
            <charset val="1"/>
          </rPr>
          <t xml:space="preserve">
LA - Period of sampling mid september, 03 to dec, 03 = 77 days. Total number of visits 3, so 77/3 = 25.67 days between each sampling visit.</t>
        </r>
      </text>
    </comment>
    <comment ref="Q2" authorId="1">
      <text>
        <r>
          <rPr>
            <b/>
            <sz val="9"/>
            <color indexed="81"/>
            <rFont val="Tahoma"/>
            <charset val="1"/>
          </rPr>
          <t>LA:</t>
        </r>
        <r>
          <rPr>
            <sz val="9"/>
            <color indexed="81"/>
            <rFont val="Tahoma"/>
            <charset val="1"/>
          </rPr>
          <t xml:space="preserve">
samp_duration*(3*2)</t>
        </r>
      </text>
    </comment>
    <comment ref="R2" authorId="1">
      <text>
        <r>
          <rPr>
            <b/>
            <sz val="9"/>
            <color indexed="81"/>
            <rFont val="Tahoma"/>
            <charset val="1"/>
          </rPr>
          <t>LA:</t>
        </r>
        <r>
          <rPr>
            <sz val="9"/>
            <color indexed="81"/>
            <rFont val="Tahoma"/>
            <charset val="1"/>
          </rPr>
          <t xml:space="preserve">
Period of sampling from mid september, 03 to dec, 03 = 77 days.</t>
        </r>
      </text>
    </comment>
    <comment ref="F3" authorId="0">
      <text>
        <r>
          <rPr>
            <b/>
            <sz val="9"/>
            <color indexed="81"/>
            <rFont val="Calibri"/>
            <family val="2"/>
          </rPr>
          <t>Lyndon Estes:</t>
        </r>
        <r>
          <rPr>
            <sz val="9"/>
            <color indexed="81"/>
            <rFont val="Calibri"/>
            <family val="2"/>
          </rPr>
          <t xml:space="preserve">
17/5/2017: fixed from 2003</t>
        </r>
      </text>
    </comment>
    <comment ref="P3" authorId="1">
      <text>
        <r>
          <rPr>
            <b/>
            <sz val="9"/>
            <color indexed="81"/>
            <rFont val="Tahoma"/>
            <charset val="1"/>
          </rPr>
          <t>LA:</t>
        </r>
        <r>
          <rPr>
            <sz val="9"/>
            <color indexed="81"/>
            <rFont val="Tahoma"/>
            <charset val="1"/>
          </rPr>
          <t xml:space="preserve">
12 ( 6 in AM &amp; 6 in PM) repeat sampling events every day during am hours i.e. 8 AM to 8 PM ~12 hours.</t>
        </r>
      </text>
    </comment>
    <comment ref="Q3" authorId="1">
      <text>
        <r>
          <rPr>
            <b/>
            <sz val="9"/>
            <color indexed="81"/>
            <rFont val="Tahoma"/>
            <charset val="1"/>
          </rPr>
          <t>LA:</t>
        </r>
        <r>
          <rPr>
            <sz val="9"/>
            <color indexed="81"/>
            <rFont val="Tahoma"/>
            <charset val="1"/>
          </rPr>
          <t xml:space="preserve">
From the article - Gonzales-Gomez et al. cite "only 2.2% out of 3,000 min allocated to observing birds yielded observations of foraging birds" (138). 
</t>
        </r>
      </text>
    </comment>
    <comment ref="R3" authorId="2">
      <text>
        <r>
          <rPr>
            <b/>
            <sz val="9"/>
            <color indexed="81"/>
            <rFont val="Tahoma"/>
            <charset val="1"/>
          </rPr>
          <t>LA - Period of sampling from mid september, 03 to dec, 03 = 77 days.</t>
        </r>
      </text>
    </comment>
    <comment ref="F4" authorId="0">
      <text>
        <r>
          <rPr>
            <b/>
            <sz val="9"/>
            <color indexed="81"/>
            <rFont val="Calibri"/>
            <family val="2"/>
          </rPr>
          <t>Lyndon Estes:</t>
        </r>
        <r>
          <rPr>
            <sz val="9"/>
            <color indexed="81"/>
            <rFont val="Calibri"/>
            <family val="2"/>
          </rPr>
          <t xml:space="preserve">
17/5/2017: fixed from 2003</t>
        </r>
      </text>
    </comment>
    <comment ref="K4" authorId="1">
      <text>
        <r>
          <rPr>
            <b/>
            <sz val="9"/>
            <color indexed="81"/>
            <rFont val="Tahoma"/>
            <charset val="1"/>
          </rPr>
          <t>LA:</t>
        </r>
        <r>
          <rPr>
            <sz val="9"/>
            <color indexed="81"/>
            <rFont val="Tahoma"/>
            <charset val="1"/>
          </rPr>
          <t xml:space="preserve">
assume caterpillar larvae cluster in a circle with 2 cm radius </t>
        </r>
      </text>
    </comment>
    <comment ref="L4" authorId="1">
      <text>
        <r>
          <rPr>
            <b/>
            <sz val="9"/>
            <color indexed="81"/>
            <rFont val="Tahoma"/>
            <charset val="1"/>
          </rPr>
          <t>LA:</t>
        </r>
        <r>
          <rPr>
            <sz val="9"/>
            <color indexed="81"/>
            <rFont val="Tahoma"/>
            <charset val="1"/>
          </rPr>
          <t xml:space="preserve">
sampling unit group of larvae</t>
        </r>
      </text>
    </comment>
    <comment ref="Q4" authorId="1">
      <text>
        <r>
          <rPr>
            <b/>
            <sz val="9"/>
            <color indexed="81"/>
            <rFont val="Tahoma"/>
            <charset val="1"/>
          </rPr>
          <t>LA:</t>
        </r>
        <r>
          <rPr>
            <sz val="9"/>
            <color indexed="81"/>
            <rFont val="Tahoma"/>
            <charset val="1"/>
          </rPr>
          <t xml:space="preserve">
Unsure how many repeated samples - assume caterpillars counted only once</t>
        </r>
      </text>
    </comment>
    <comment ref="R4" authorId="2">
      <text>
        <r>
          <rPr>
            <b/>
            <sz val="9"/>
            <color indexed="81"/>
            <rFont val="Tahoma"/>
            <charset val="1"/>
          </rPr>
          <t>LA - Period of sampling from mid september, 03 to dec, 03 = 77 days.</t>
        </r>
      </text>
    </comment>
    <comment ref="F6" authorId="0">
      <text>
        <r>
          <rPr>
            <b/>
            <sz val="9"/>
            <color indexed="81"/>
            <rFont val="Calibri"/>
            <family val="2"/>
          </rPr>
          <t>Lyndon Estes:</t>
        </r>
        <r>
          <rPr>
            <sz val="9"/>
            <color indexed="81"/>
            <rFont val="Calibri"/>
            <family val="2"/>
          </rPr>
          <t xml:space="preserve">
17/5/2017: fixed from 2008</t>
        </r>
      </text>
    </comment>
    <comment ref="K6" authorId="0">
      <text>
        <r>
          <rPr>
            <b/>
            <sz val="9"/>
            <color indexed="81"/>
            <rFont val="Calibri"/>
            <family val="2"/>
          </rPr>
          <t>Lyndon Estes:</t>
        </r>
        <r>
          <rPr>
            <sz val="9"/>
            <color indexed="81"/>
            <rFont val="Calibri"/>
            <family val="2"/>
          </rPr>
          <t xml:space="preserve">
Re the sampling strategy, can you reevaluate this--we wanted to consider plot_res as being the size of the sample in which a total count was made. Here they sub-sampled within these plots
Fixed - assume single wheat shoot dimensions are 2.5 feet by 1 inch.</t>
        </r>
      </text>
    </comment>
    <comment ref="L6" authorId="0">
      <text>
        <r>
          <rPr>
            <b/>
            <sz val="9"/>
            <color indexed="81"/>
            <rFont val="Calibri"/>
            <family val="2"/>
          </rPr>
          <t>Lyndon Estes:</t>
        </r>
        <r>
          <rPr>
            <sz val="9"/>
            <color indexed="81"/>
            <rFont val="Calibri"/>
            <family val="2"/>
          </rPr>
          <t xml:space="preserve">
Re the sampling strategy, can you reevaluate this--we wanted to consider plot_res as being the size of the sample in which a total count was made. Here they sub-sampled within these plots
Fixed - 4 fields x (100 wheat shoots per field)</t>
        </r>
      </text>
    </comment>
    <comment ref="O6" authorId="1">
      <text>
        <r>
          <rPr>
            <b/>
            <sz val="9"/>
            <color indexed="81"/>
            <rFont val="Tahoma"/>
            <charset val="1"/>
          </rPr>
          <t>LA:</t>
        </r>
        <r>
          <rPr>
            <sz val="9"/>
            <color indexed="81"/>
            <rFont val="Tahoma"/>
            <charset val="1"/>
          </rPr>
          <t xml:space="preserve">
assume 10 mins spent counting </t>
        </r>
      </text>
    </comment>
    <comment ref="P6" authorId="1">
      <text>
        <r>
          <rPr>
            <b/>
            <sz val="9"/>
            <color indexed="81"/>
            <rFont val="Tahoma"/>
            <charset val="1"/>
          </rPr>
          <t>LA:</t>
        </r>
        <r>
          <rPr>
            <sz val="9"/>
            <color indexed="81"/>
            <rFont val="Tahoma"/>
            <charset val="1"/>
          </rPr>
          <t xml:space="preserve">
weekly sampling
</t>
        </r>
      </text>
    </comment>
    <comment ref="Q6" authorId="0">
      <text>
        <r>
          <rPr>
            <b/>
            <sz val="9"/>
            <color indexed="81"/>
            <rFont val="Calibri"/>
            <family val="2"/>
          </rPr>
          <t>Lyndon Estes:</t>
        </r>
        <r>
          <rPr>
            <sz val="9"/>
            <color indexed="81"/>
            <rFont val="Calibri"/>
            <family val="2"/>
          </rPr>
          <t xml:space="preserve">
This looks still like mixing of spatial and temporal replicates?
Fixed - assume approximately 8.7 ~ 9 sampling events </t>
        </r>
      </text>
    </comment>
    <comment ref="R6" authorId="1">
      <text>
        <r>
          <rPr>
            <b/>
            <sz val="9"/>
            <color indexed="81"/>
            <rFont val="Tahoma"/>
            <charset val="1"/>
          </rPr>
          <t>LA:</t>
        </r>
        <r>
          <rPr>
            <sz val="9"/>
            <color indexed="81"/>
            <rFont val="Tahoma"/>
            <charset val="1"/>
          </rPr>
          <t xml:space="preserve">
June &amp; July</t>
        </r>
      </text>
    </comment>
    <comment ref="F7" authorId="0">
      <text>
        <r>
          <rPr>
            <b/>
            <sz val="9"/>
            <color indexed="81"/>
            <rFont val="Calibri"/>
            <family val="2"/>
          </rPr>
          <t>Lyndon Estes:</t>
        </r>
        <r>
          <rPr>
            <sz val="9"/>
            <color indexed="81"/>
            <rFont val="Calibri"/>
            <family val="2"/>
          </rPr>
          <t xml:space="preserve">
17/5/2017: fixed from 2008</t>
        </r>
      </text>
    </comment>
    <comment ref="K7" authorId="1">
      <text>
        <r>
          <rPr>
            <b/>
            <sz val="9"/>
            <color indexed="81"/>
            <rFont val="Tahoma"/>
            <charset val="1"/>
          </rPr>
          <t>LA:</t>
        </r>
        <r>
          <rPr>
            <sz val="9"/>
            <color indexed="81"/>
            <rFont val="Tahoma"/>
            <charset val="1"/>
          </rPr>
          <t xml:space="preserve">
Assume approximate aphid size 400 um x 150 um</t>
        </r>
      </text>
    </comment>
    <comment ref="L7" authorId="1">
      <text>
        <r>
          <rPr>
            <b/>
            <sz val="9"/>
            <color indexed="81"/>
            <rFont val="Tahoma"/>
            <charset val="1"/>
          </rPr>
          <t>LA:</t>
        </r>
        <r>
          <rPr>
            <sz val="9"/>
            <color indexed="81"/>
            <rFont val="Tahoma"/>
            <charset val="1"/>
          </rPr>
          <t xml:space="preserve">
100 per field *4 fields</t>
        </r>
      </text>
    </comment>
    <comment ref="O7" authorId="1">
      <text>
        <r>
          <rPr>
            <b/>
            <sz val="9"/>
            <color indexed="81"/>
            <rFont val="Tahoma"/>
            <charset val="1"/>
          </rPr>
          <t>LA:</t>
        </r>
        <r>
          <rPr>
            <sz val="9"/>
            <color indexed="81"/>
            <rFont val="Tahoma"/>
            <charset val="1"/>
          </rPr>
          <t xml:space="preserve">
assume 20 mins collecting 100 aphids in a field</t>
        </r>
      </text>
    </comment>
    <comment ref="P7" authorId="1">
      <text>
        <r>
          <rPr>
            <b/>
            <sz val="9"/>
            <color indexed="81"/>
            <rFont val="Tahoma"/>
            <charset val="1"/>
          </rPr>
          <t>LA:</t>
        </r>
        <r>
          <rPr>
            <sz val="9"/>
            <color indexed="81"/>
            <rFont val="Tahoma"/>
            <charset val="1"/>
          </rPr>
          <t xml:space="preserve">
weekly sampling
</t>
        </r>
      </text>
    </comment>
    <comment ref="F8" authorId="0">
      <text>
        <r>
          <rPr>
            <b/>
            <sz val="9"/>
            <color indexed="81"/>
            <rFont val="Calibri"/>
            <family val="2"/>
          </rPr>
          <t>Lyndon Estes:</t>
        </r>
        <r>
          <rPr>
            <sz val="9"/>
            <color indexed="81"/>
            <rFont val="Calibri"/>
            <family val="2"/>
          </rPr>
          <t xml:space="preserve">
17/5/2017: fixed from previous</t>
        </r>
      </text>
    </comment>
    <comment ref="K8" authorId="2">
      <text>
        <r>
          <rPr>
            <sz val="9"/>
            <color indexed="81"/>
            <rFont val="Tahoma"/>
            <charset val="1"/>
          </rPr>
          <t>LA - Average of 450 and 500 (m^2) Plots. Both resolutions were used, but unclear language or references to how many of specific resolution plots were used.</t>
        </r>
      </text>
    </comment>
    <comment ref="L8" authorId="1">
      <text>
        <r>
          <rPr>
            <b/>
            <sz val="9"/>
            <color indexed="81"/>
            <rFont val="Tahoma"/>
            <charset val="1"/>
          </rPr>
          <t>LA:</t>
        </r>
        <r>
          <rPr>
            <sz val="9"/>
            <color indexed="81"/>
            <rFont val="Tahoma"/>
            <charset val="1"/>
          </rPr>
          <t xml:space="preserve">
34 plots</t>
        </r>
      </text>
    </comment>
    <comment ref="O8" authorId="1">
      <text>
        <r>
          <rPr>
            <b/>
            <sz val="9"/>
            <color indexed="81"/>
            <rFont val="Tahoma"/>
            <charset val="1"/>
          </rPr>
          <t>LA:</t>
        </r>
        <r>
          <rPr>
            <sz val="9"/>
            <color indexed="81"/>
            <rFont val="Tahoma"/>
            <charset val="1"/>
          </rPr>
          <t xml:space="preserve">
.5 hr per site including ultrasonic survey of the insects</t>
        </r>
      </text>
    </comment>
    <comment ref="P8" authorId="1">
      <text>
        <r>
          <rPr>
            <b/>
            <sz val="9"/>
            <color indexed="81"/>
            <rFont val="Tahoma"/>
            <charset val="1"/>
          </rPr>
          <t>LA:</t>
        </r>
        <r>
          <rPr>
            <sz val="9"/>
            <color indexed="81"/>
            <rFont val="Tahoma"/>
            <charset val="1"/>
          </rPr>
          <t xml:space="preserve">
Assume two visits at least a month apart ~31 days</t>
        </r>
      </text>
    </comment>
    <comment ref="Q8" authorId="0">
      <text>
        <r>
          <rPr>
            <b/>
            <sz val="9"/>
            <color indexed="81"/>
            <rFont val="Calibri"/>
            <family val="2"/>
          </rPr>
          <t>Lyndon Estes:</t>
        </r>
        <r>
          <rPr>
            <sz val="9"/>
            <color indexed="81"/>
            <rFont val="Calibri"/>
            <family val="2"/>
          </rPr>
          <t xml:space="preserve">
This looks still like mixing of spatial and temporal replicates?
Fixed - sampled twice in Aug &amp; Sep (2006)</t>
        </r>
      </text>
    </comment>
    <comment ref="R8" authorId="1">
      <text>
        <r>
          <rPr>
            <b/>
            <sz val="9"/>
            <color indexed="81"/>
            <rFont val="Tahoma"/>
            <charset val="1"/>
          </rPr>
          <t>LA:</t>
        </r>
        <r>
          <rPr>
            <sz val="9"/>
            <color indexed="81"/>
            <rFont val="Tahoma"/>
            <charset val="1"/>
          </rPr>
          <t xml:space="preserve">
Aug to Sep (2006)</t>
        </r>
      </text>
    </comment>
    <comment ref="F9" authorId="0">
      <text>
        <r>
          <rPr>
            <b/>
            <sz val="9"/>
            <color indexed="81"/>
            <rFont val="Calibri"/>
            <family val="2"/>
          </rPr>
          <t>Lyndon Estes:</t>
        </r>
        <r>
          <rPr>
            <sz val="9"/>
            <color indexed="81"/>
            <rFont val="Calibri"/>
            <family val="2"/>
          </rPr>
          <t xml:space="preserve">
17/5/2017: fixed from 1933</t>
        </r>
      </text>
    </comment>
    <comment ref="O9" authorId="1">
      <text>
        <r>
          <rPr>
            <b/>
            <sz val="9"/>
            <color indexed="81"/>
            <rFont val="Tahoma"/>
            <charset val="1"/>
          </rPr>
          <t>LA:</t>
        </r>
        <r>
          <rPr>
            <sz val="9"/>
            <color indexed="81"/>
            <rFont val="Tahoma"/>
            <charset val="1"/>
          </rPr>
          <t xml:space="preserve">
Assume roughly 30 seconds to measure sward height</t>
        </r>
      </text>
    </comment>
    <comment ref="Q9" authorId="0">
      <text>
        <r>
          <rPr>
            <b/>
            <sz val="9"/>
            <color indexed="81"/>
            <rFont val="Calibri"/>
            <family val="2"/>
          </rPr>
          <t>Lyndon Estes:</t>
        </r>
        <r>
          <rPr>
            <sz val="9"/>
            <color indexed="81"/>
            <rFont val="Calibri"/>
            <family val="2"/>
          </rPr>
          <t xml:space="preserve">
this looks multiplied by plot_res
Fixed - 10 repeat samples</t>
        </r>
      </text>
    </comment>
    <comment ref="F10" authorId="0">
      <text>
        <r>
          <rPr>
            <b/>
            <sz val="9"/>
            <color indexed="81"/>
            <rFont val="Calibri"/>
            <family val="2"/>
          </rPr>
          <t>Lyndon Estes:</t>
        </r>
        <r>
          <rPr>
            <sz val="9"/>
            <color indexed="81"/>
            <rFont val="Calibri"/>
            <family val="2"/>
          </rPr>
          <t xml:space="preserve">
17/5/2017: fixed from 2006</t>
        </r>
      </text>
    </comment>
    <comment ref="O10" authorId="2">
      <text>
        <r>
          <rPr>
            <b/>
            <sz val="9"/>
            <color indexed="81"/>
            <rFont val="Tahoma"/>
            <charset val="1"/>
          </rPr>
          <t>LA - Assuming it takes the team of divers 3 hours to observe and record the data at a single site.</t>
        </r>
      </text>
    </comment>
    <comment ref="P10" authorId="2">
      <text>
        <r>
          <rPr>
            <b/>
            <sz val="9"/>
            <color indexed="81"/>
            <rFont val="Tahoma"/>
            <charset val="1"/>
          </rPr>
          <t xml:space="preserve">Every year sampling was done between Feb and May, so time between each sample should be June 1st and January 31st. I calculated the time between each sample period individually for two marine areas and obtained the average. Then I averged the averages of both areas. See sheet 1.
</t>
        </r>
      </text>
    </comment>
    <comment ref="Q10" authorId="0">
      <text>
        <r>
          <rPr>
            <b/>
            <sz val="9"/>
            <color indexed="81"/>
            <rFont val="Calibri"/>
            <family val="2"/>
          </rPr>
          <t>Lyndon Estes:</t>
        </r>
        <r>
          <rPr>
            <sz val="9"/>
            <color indexed="81"/>
            <rFont val="Calibri"/>
            <family val="2"/>
          </rPr>
          <t xml:space="preserve">
This looks still like mixing of spatial and temporal replicates?
Fixed - 25 sampling events</t>
        </r>
      </text>
    </comment>
    <comment ref="R10" authorId="2">
      <text>
        <r>
          <rPr>
            <b/>
            <sz val="9"/>
            <color indexed="81"/>
            <rFont val="Tahoma"/>
            <charset val="1"/>
          </rPr>
          <t>LA - Start date 2/1/1977 to 5/31/2005.</t>
        </r>
      </text>
    </comment>
    <comment ref="F18" authorId="0">
      <text>
        <r>
          <rPr>
            <b/>
            <sz val="9"/>
            <color indexed="81"/>
            <rFont val="Calibri"/>
            <family val="2"/>
          </rPr>
          <t>Lyndon Estes:</t>
        </r>
        <r>
          <rPr>
            <sz val="9"/>
            <color indexed="81"/>
            <rFont val="Calibri"/>
            <family val="2"/>
          </rPr>
          <t xml:space="preserve">
17/5/2017: fixed from 7000 BC</t>
        </r>
      </text>
    </comment>
    <comment ref="P18" authorId="1">
      <text>
        <r>
          <rPr>
            <b/>
            <sz val="9"/>
            <color indexed="81"/>
            <rFont val="Tahoma"/>
            <charset val="1"/>
          </rPr>
          <t>LA:</t>
        </r>
        <r>
          <rPr>
            <sz val="9"/>
            <color indexed="81"/>
            <rFont val="Tahoma"/>
            <charset val="1"/>
          </rPr>
          <t xml:space="preserve">
Assume mean 375-year sample window as time between</t>
        </r>
      </text>
    </comment>
    <comment ref="Q18" authorId="1">
      <text>
        <r>
          <rPr>
            <b/>
            <sz val="9"/>
            <color indexed="81"/>
            <rFont val="Tahoma"/>
            <charset val="1"/>
          </rPr>
          <t>LA:</t>
        </r>
        <r>
          <rPr>
            <sz val="9"/>
            <color indexed="81"/>
            <rFont val="Tahoma"/>
            <charset val="1"/>
          </rPr>
          <t xml:space="preserve">
From the paper ~ 9000 years as study duration</t>
        </r>
      </text>
    </comment>
    <comment ref="F20" authorId="0">
      <text>
        <r>
          <rPr>
            <b/>
            <sz val="9"/>
            <color indexed="81"/>
            <rFont val="Calibri"/>
            <family val="2"/>
          </rPr>
          <t>Lyndon Estes:</t>
        </r>
        <r>
          <rPr>
            <sz val="9"/>
            <color indexed="81"/>
            <rFont val="Calibri"/>
            <family val="2"/>
          </rPr>
          <t xml:space="preserve">
17/5/2017: fixed from 2004</t>
        </r>
      </text>
    </comment>
    <comment ref="K20" authorId="2">
      <text>
        <r>
          <rPr>
            <b/>
            <sz val="9"/>
            <color indexed="81"/>
            <rFont val="Tahoma"/>
            <charset val="1"/>
          </rPr>
          <t xml:space="preserve">LA - Should the default 5 ha or 50,000 m^2 resolution be used? Different unclear resolution used for ground-dwelling beetles. 
So assume that approx. 100 m radius as plot_res
</t>
        </r>
      </text>
    </comment>
    <comment ref="O20" authorId="1">
      <text>
        <r>
          <rPr>
            <b/>
            <sz val="9"/>
            <color indexed="81"/>
            <rFont val="Tahoma"/>
            <charset val="1"/>
          </rPr>
          <t>LA:</t>
        </r>
        <r>
          <rPr>
            <sz val="9"/>
            <color indexed="81"/>
            <rFont val="Tahoma"/>
            <charset val="1"/>
          </rPr>
          <t xml:space="preserve">
Assume 15 mins samp duration</t>
        </r>
      </text>
    </comment>
    <comment ref="P20" authorId="2">
      <text>
        <r>
          <rPr>
            <b/>
            <sz val="9"/>
            <color indexed="81"/>
            <rFont val="Tahoma"/>
            <charset val="1"/>
          </rPr>
          <t>LA - number of days between Aug-17-04 to Jun-7-05.</t>
        </r>
      </text>
    </comment>
    <comment ref="Q20" authorId="0">
      <text>
        <r>
          <rPr>
            <b/>
            <sz val="9"/>
            <color indexed="81"/>
            <rFont val="Calibri"/>
            <family val="2"/>
          </rPr>
          <t>Lyndon Estes:</t>
        </r>
        <r>
          <rPr>
            <sz val="9"/>
            <color indexed="81"/>
            <rFont val="Calibri"/>
            <family val="2"/>
          </rPr>
          <t xml:space="preserve">
This looks still like mixing of spatial and temporal replicates?
Fixed - sampled twice in 2004 &amp; 2005</t>
        </r>
      </text>
    </comment>
    <comment ref="F21" authorId="0">
      <text>
        <r>
          <rPr>
            <b/>
            <sz val="9"/>
            <color indexed="81"/>
            <rFont val="Calibri"/>
            <family val="2"/>
          </rPr>
          <t>Lyndon Estes:</t>
        </r>
        <r>
          <rPr>
            <sz val="9"/>
            <color indexed="81"/>
            <rFont val="Calibri"/>
            <family val="2"/>
          </rPr>
          <t xml:space="preserve">
17/5/2017: fixed from 2004</t>
        </r>
      </text>
    </comment>
    <comment ref="K21" authorId="2">
      <text>
        <r>
          <rPr>
            <b/>
            <sz val="9"/>
            <color indexed="81"/>
            <rFont val="Tahoma"/>
            <charset val="1"/>
          </rPr>
          <t>LA - Assuming the 10' count survey done within circle with 100 meter radius.</t>
        </r>
      </text>
    </comment>
    <comment ref="O21" authorId="1">
      <text>
        <r>
          <rPr>
            <b/>
            <sz val="9"/>
            <color indexed="81"/>
            <rFont val="Tahoma"/>
            <charset val="1"/>
          </rPr>
          <t>LA:</t>
        </r>
        <r>
          <rPr>
            <sz val="9"/>
            <color indexed="81"/>
            <rFont val="Tahoma"/>
            <charset val="1"/>
          </rPr>
          <t xml:space="preserve">
10 min</t>
        </r>
      </text>
    </comment>
    <comment ref="P21" authorId="2">
      <text>
        <r>
          <rPr>
            <b/>
            <sz val="9"/>
            <color indexed="81"/>
            <rFont val="Tahoma"/>
            <charset val="1"/>
          </rPr>
          <t xml:space="preserve">LA - Days between 7/9/04 to 5/31/05.
</t>
        </r>
      </text>
    </comment>
    <comment ref="Q21" authorId="0">
      <text>
        <r>
          <rPr>
            <b/>
            <sz val="9"/>
            <color indexed="81"/>
            <rFont val="Calibri"/>
            <family val="2"/>
          </rPr>
          <t>Lyndon Estes:</t>
        </r>
        <r>
          <rPr>
            <sz val="9"/>
            <color indexed="81"/>
            <rFont val="Calibri"/>
            <family val="2"/>
          </rPr>
          <t xml:space="preserve">
This looks still like mixing of spatial and temporal replicates?
Fixed - sampled 4 times during the study span &amp; additional sampled twice at each location</t>
        </r>
      </text>
    </comment>
    <comment ref="R21" authorId="2">
      <text>
        <r>
          <rPr>
            <b/>
            <sz val="9"/>
            <color indexed="81"/>
            <rFont val="Tahoma"/>
            <charset val="1"/>
          </rPr>
          <t xml:space="preserve">LA - From 6/11/04 to 6/25/05
</t>
        </r>
      </text>
    </comment>
    <comment ref="F22" authorId="0">
      <text>
        <r>
          <rPr>
            <b/>
            <sz val="9"/>
            <color indexed="81"/>
            <rFont val="Calibri"/>
            <family val="2"/>
          </rPr>
          <t>Lyndon Estes:</t>
        </r>
        <r>
          <rPr>
            <sz val="9"/>
            <color indexed="81"/>
            <rFont val="Calibri"/>
            <family val="2"/>
          </rPr>
          <t xml:space="preserve">
17/5/2017: fixed from 2004</t>
        </r>
      </text>
    </comment>
    <comment ref="L22" authorId="1">
      <text>
        <r>
          <rPr>
            <b/>
            <sz val="9"/>
            <color indexed="81"/>
            <rFont val="Tahoma"/>
            <charset val="1"/>
          </rPr>
          <t>LA:</t>
        </r>
        <r>
          <rPr>
            <sz val="9"/>
            <color indexed="81"/>
            <rFont val="Tahoma"/>
            <charset val="1"/>
          </rPr>
          <t xml:space="preserve">
3 plots in each stand x 108 stands</t>
        </r>
      </text>
    </comment>
    <comment ref="O22" authorId="1">
      <text>
        <r>
          <rPr>
            <b/>
            <sz val="9"/>
            <color indexed="81"/>
            <rFont val="Tahoma"/>
            <charset val="1"/>
          </rPr>
          <t>LA:</t>
        </r>
        <r>
          <rPr>
            <sz val="9"/>
            <color indexed="81"/>
            <rFont val="Tahoma"/>
            <charset val="1"/>
          </rPr>
          <t xml:space="preserve">
assume 1 hr per stand</t>
        </r>
      </text>
    </comment>
    <comment ref="Q22" authorId="0">
      <text>
        <r>
          <rPr>
            <b/>
            <sz val="9"/>
            <color indexed="81"/>
            <rFont val="Calibri"/>
            <family val="2"/>
          </rPr>
          <t>Lyndon Estes:</t>
        </r>
        <r>
          <rPr>
            <sz val="9"/>
            <color indexed="81"/>
            <rFont val="Calibri"/>
            <family val="2"/>
          </rPr>
          <t xml:space="preserve">
This looks still like mixing of spatial and temporal replicates?
Fixed - assume sampled once</t>
        </r>
      </text>
    </comment>
    <comment ref="R22" authorId="1">
      <text>
        <r>
          <rPr>
            <b/>
            <sz val="9"/>
            <color indexed="81"/>
            <rFont val="Tahoma"/>
            <charset val="1"/>
          </rPr>
          <t>LA:</t>
        </r>
        <r>
          <rPr>
            <sz val="9"/>
            <color indexed="81"/>
            <rFont val="Tahoma"/>
            <charset val="1"/>
          </rPr>
          <t xml:space="preserve">
unclear assume study duration between 2004 to 2005</t>
        </r>
      </text>
    </comment>
    <comment ref="F23" authorId="0">
      <text>
        <r>
          <rPr>
            <b/>
            <sz val="9"/>
            <color indexed="81"/>
            <rFont val="Calibri"/>
            <family val="2"/>
          </rPr>
          <t>Lyndon Estes:</t>
        </r>
        <r>
          <rPr>
            <sz val="9"/>
            <color indexed="81"/>
            <rFont val="Calibri"/>
            <family val="2"/>
          </rPr>
          <t xml:space="preserve">
17/5/2017: fixed from 2004</t>
        </r>
      </text>
    </comment>
    <comment ref="L23" authorId="1">
      <text>
        <r>
          <rPr>
            <b/>
            <sz val="9"/>
            <color indexed="81"/>
            <rFont val="Tahoma"/>
            <charset val="1"/>
          </rPr>
          <t>LA:</t>
        </r>
        <r>
          <rPr>
            <sz val="9"/>
            <color indexed="81"/>
            <rFont val="Tahoma"/>
            <charset val="1"/>
          </rPr>
          <t xml:space="preserve">
6 subplots per stand</t>
        </r>
      </text>
    </comment>
    <comment ref="O23" authorId="1">
      <text>
        <r>
          <rPr>
            <b/>
            <sz val="9"/>
            <color indexed="81"/>
            <rFont val="Tahoma"/>
            <charset val="1"/>
          </rPr>
          <t>LA:</t>
        </r>
        <r>
          <rPr>
            <sz val="9"/>
            <color indexed="81"/>
            <rFont val="Tahoma"/>
            <charset val="1"/>
          </rPr>
          <t xml:space="preserve">
assume 15 mins</t>
        </r>
      </text>
    </comment>
    <comment ref="Q23" authorId="0">
      <text>
        <r>
          <rPr>
            <b/>
            <sz val="9"/>
            <color indexed="81"/>
            <rFont val="Calibri"/>
            <family val="2"/>
          </rPr>
          <t>Lyndon Estes:</t>
        </r>
        <r>
          <rPr>
            <sz val="9"/>
            <color indexed="81"/>
            <rFont val="Calibri"/>
            <family val="2"/>
          </rPr>
          <t xml:space="preserve">
This looks still like mixing of spatial and temporal replicates?</t>
        </r>
      </text>
    </comment>
    <comment ref="F24" authorId="0">
      <text>
        <r>
          <rPr>
            <b/>
            <sz val="9"/>
            <color indexed="81"/>
            <rFont val="Calibri"/>
            <family val="2"/>
          </rPr>
          <t>Lyndon Estes:</t>
        </r>
        <r>
          <rPr>
            <sz val="9"/>
            <color indexed="81"/>
            <rFont val="Calibri"/>
            <family val="2"/>
          </rPr>
          <t xml:space="preserve">
17/5/2017: fixed from 2004</t>
        </r>
      </text>
    </comment>
    <comment ref="L24" authorId="1">
      <text>
        <r>
          <rPr>
            <b/>
            <sz val="9"/>
            <color indexed="81"/>
            <rFont val="Tahoma"/>
            <charset val="1"/>
          </rPr>
          <t>LA:</t>
        </r>
        <r>
          <rPr>
            <sz val="9"/>
            <color indexed="81"/>
            <rFont val="Tahoma"/>
            <charset val="1"/>
          </rPr>
          <t xml:space="preserve">
four quadrats in center plot per each stand</t>
        </r>
      </text>
    </comment>
    <comment ref="O24" authorId="1">
      <text>
        <r>
          <rPr>
            <b/>
            <sz val="9"/>
            <color indexed="81"/>
            <rFont val="Tahoma"/>
            <charset val="1"/>
          </rPr>
          <t>LA:</t>
        </r>
        <r>
          <rPr>
            <sz val="9"/>
            <color indexed="81"/>
            <rFont val="Tahoma"/>
            <charset val="1"/>
          </rPr>
          <t xml:space="preserve">
Assume 10 mins</t>
        </r>
      </text>
    </comment>
    <comment ref="Q24" authorId="0">
      <text>
        <r>
          <rPr>
            <b/>
            <sz val="9"/>
            <color indexed="81"/>
            <rFont val="Calibri"/>
            <family val="2"/>
          </rPr>
          <t>Lyndon Estes:</t>
        </r>
        <r>
          <rPr>
            <sz val="9"/>
            <color indexed="81"/>
            <rFont val="Calibri"/>
            <family val="2"/>
          </rPr>
          <t xml:space="preserve">
This looks still like mixing of spatial and temporal replicates?</t>
        </r>
      </text>
    </comment>
    <comment ref="F28" authorId="0">
      <text>
        <r>
          <rPr>
            <b/>
            <sz val="9"/>
            <color indexed="81"/>
            <rFont val="Calibri"/>
            <family val="2"/>
          </rPr>
          <t>Lyndon Estes:</t>
        </r>
        <r>
          <rPr>
            <sz val="9"/>
            <color indexed="81"/>
            <rFont val="Calibri"/>
            <family val="2"/>
          </rPr>
          <t xml:space="preserve">
17/5/2017: fixed from 2007</t>
        </r>
      </text>
    </comment>
    <comment ref="F29" authorId="0">
      <text>
        <r>
          <rPr>
            <b/>
            <sz val="9"/>
            <color indexed="81"/>
            <rFont val="Calibri"/>
            <family val="2"/>
          </rPr>
          <t>Lyndon Estes:</t>
        </r>
        <r>
          <rPr>
            <sz val="9"/>
            <color indexed="81"/>
            <rFont val="Calibri"/>
            <family val="2"/>
          </rPr>
          <t xml:space="preserve">
17/5/2017: fixed from 2004</t>
        </r>
      </text>
    </comment>
    <comment ref="K29" authorId="3">
      <text>
        <r>
          <rPr>
            <b/>
            <sz val="9"/>
            <color indexed="81"/>
            <rFont val="Tahoma"/>
            <charset val="1"/>
          </rPr>
          <t>Jason:</t>
        </r>
        <r>
          <rPr>
            <sz val="9"/>
            <color indexed="81"/>
            <rFont val="Tahoma"/>
            <charset val="1"/>
          </rPr>
          <t xml:space="preserve">
50m radius
</t>
        </r>
      </text>
    </comment>
    <comment ref="O29" authorId="3">
      <text>
        <r>
          <rPr>
            <b/>
            <sz val="9"/>
            <color indexed="81"/>
            <rFont val="Tahoma"/>
            <charset val="1"/>
          </rPr>
          <t>Jason:</t>
        </r>
        <r>
          <rPr>
            <sz val="9"/>
            <color indexed="81"/>
            <rFont val="Tahoma"/>
            <charset val="1"/>
          </rPr>
          <t xml:space="preserve">
Assuming 6 points per plot
</t>
        </r>
      </text>
    </comment>
    <comment ref="P29" authorId="3">
      <text>
        <r>
          <rPr>
            <b/>
            <sz val="9"/>
            <color indexed="81"/>
            <rFont val="Tahoma"/>
            <charset val="1"/>
          </rPr>
          <t>Jason:</t>
        </r>
        <r>
          <rPr>
            <sz val="9"/>
            <color indexed="81"/>
            <rFont val="Tahoma"/>
            <charset val="1"/>
          </rPr>
          <t xml:space="preserve">
"each point was visited…at least 3 times during the season"
Season is about 4 months
</t>
        </r>
      </text>
    </comment>
    <comment ref="Q29" authorId="3">
      <text>
        <r>
          <rPr>
            <b/>
            <sz val="9"/>
            <color indexed="81"/>
            <rFont val="Tahoma"/>
            <charset val="1"/>
          </rPr>
          <t>Jason:</t>
        </r>
        <r>
          <rPr>
            <sz val="9"/>
            <color indexed="81"/>
            <rFont val="Tahoma"/>
            <charset val="1"/>
          </rPr>
          <t xml:space="preserve">
Assuming 6 points per plot
</t>
        </r>
      </text>
    </comment>
    <comment ref="F30" authorId="0">
      <text>
        <r>
          <rPr>
            <b/>
            <sz val="9"/>
            <color indexed="81"/>
            <rFont val="Calibri"/>
            <family val="2"/>
          </rPr>
          <t>Lyndon Estes:</t>
        </r>
        <r>
          <rPr>
            <sz val="9"/>
            <color indexed="81"/>
            <rFont val="Calibri"/>
            <family val="2"/>
          </rPr>
          <t xml:space="preserve">
17/5/2017: fixed from 2004</t>
        </r>
      </text>
    </comment>
    <comment ref="K30" authorId="3">
      <text>
        <r>
          <rPr>
            <b/>
            <sz val="9"/>
            <color indexed="81"/>
            <rFont val="Tahoma"/>
            <charset val="1"/>
          </rPr>
          <t>Jason:</t>
        </r>
        <r>
          <rPr>
            <sz val="9"/>
            <color indexed="81"/>
            <rFont val="Tahoma"/>
            <charset val="1"/>
          </rPr>
          <t xml:space="preserve">
30m radius
</t>
        </r>
      </text>
    </comment>
    <comment ref="K32" authorId="0">
      <text>
        <r>
          <rPr>
            <b/>
            <sz val="9"/>
            <color indexed="81"/>
            <rFont val="Calibri"/>
            <family val="2"/>
          </rPr>
          <t>Lyndon Estes:</t>
        </r>
        <r>
          <rPr>
            <sz val="9"/>
            <color indexed="81"/>
            <rFont val="Calibri"/>
            <family val="2"/>
          </rPr>
          <t xml:space="preserve">
Per your comment and logic on n_sites, please revisit plot_res
Estimated dimension of a sinlge wheat shoot to be 4 ft x .25 ft. Could not find citeable source, but used a standard google search. </t>
        </r>
      </text>
    </comment>
    <comment ref="L32" authorId="3">
      <text>
        <r>
          <rPr>
            <b/>
            <sz val="9"/>
            <color indexed="81"/>
            <rFont val="Tahoma"/>
            <charset val="1"/>
          </rPr>
          <t>Jason:</t>
        </r>
        <r>
          <rPr>
            <sz val="9"/>
            <color indexed="81"/>
            <rFont val="Tahoma"/>
            <charset val="1"/>
          </rPr>
          <t xml:space="preserve">
I list 800 intentionally. There were 8 field sites, and at each field site 100 wheat shoots were sampled. 
LDE: Remember they were only sampling 20 per plot aon each occasion, so probably 20 different plants each time</t>
        </r>
      </text>
    </comment>
    <comment ref="K33" authorId="3">
      <text>
        <r>
          <rPr>
            <b/>
            <sz val="9"/>
            <color indexed="81"/>
            <rFont val="Tahoma"/>
            <charset val="1"/>
          </rPr>
          <t>Jason:</t>
        </r>
        <r>
          <rPr>
            <sz val="9"/>
            <color indexed="81"/>
            <rFont val="Tahoma"/>
            <charset val="1"/>
          </rPr>
          <t xml:space="preserve">
Average taken (450+500/2)
</t>
        </r>
      </text>
    </comment>
    <comment ref="K47" authorId="3">
      <text>
        <r>
          <rPr>
            <b/>
            <sz val="9"/>
            <color indexed="81"/>
            <rFont val="Tahoma"/>
            <charset val="1"/>
          </rPr>
          <t>Jason:</t>
        </r>
        <r>
          <rPr>
            <sz val="9"/>
            <color indexed="81"/>
            <rFont val="Tahoma"/>
            <charset val="1"/>
          </rPr>
          <t xml:space="preserve">
Assuming each trap is 1m x 1m</t>
        </r>
      </text>
    </comment>
    <comment ref="O47" authorId="3">
      <text>
        <r>
          <rPr>
            <b/>
            <sz val="9"/>
            <color indexed="81"/>
            <rFont val="Tahoma"/>
            <charset val="1"/>
          </rPr>
          <t>Jason:</t>
        </r>
        <r>
          <rPr>
            <sz val="9"/>
            <color indexed="81"/>
            <rFont val="Tahoma"/>
            <charset val="1"/>
          </rPr>
          <t xml:space="preserve">
assuming an 8 hour day </t>
        </r>
      </text>
    </comment>
    <comment ref="K48" authorId="3">
      <text>
        <r>
          <rPr>
            <b/>
            <sz val="9"/>
            <color indexed="81"/>
            <rFont val="Tahoma"/>
            <charset val="1"/>
          </rPr>
          <t>Jason:</t>
        </r>
        <r>
          <rPr>
            <sz val="9"/>
            <color indexed="81"/>
            <rFont val="Tahoma"/>
            <charset val="1"/>
          </rPr>
          <t xml:space="preserve">
Assuming each trap is .5 x .5</t>
        </r>
      </text>
    </comment>
    <comment ref="L48" authorId="3">
      <text>
        <r>
          <rPr>
            <b/>
            <sz val="9"/>
            <color indexed="81"/>
            <rFont val="Tahoma"/>
            <charset val="1"/>
          </rPr>
          <t>Jason:</t>
        </r>
        <r>
          <rPr>
            <sz val="9"/>
            <color indexed="81"/>
            <rFont val="Tahoma"/>
            <charset val="1"/>
          </rPr>
          <t xml:space="preserve">
4 pitfall traps per site
</t>
        </r>
      </text>
    </comment>
    <comment ref="K49" authorId="3">
      <text>
        <r>
          <rPr>
            <b/>
            <sz val="9"/>
            <color indexed="81"/>
            <rFont val="Tahoma"/>
            <charset val="1"/>
          </rPr>
          <t>Jason:</t>
        </r>
        <r>
          <rPr>
            <sz val="9"/>
            <color indexed="81"/>
            <rFont val="Tahoma"/>
            <charset val="1"/>
          </rPr>
          <t xml:space="preserve">
Assuming 10ft radius</t>
        </r>
      </text>
    </comment>
    <comment ref="L50" authorId="3">
      <text>
        <r>
          <rPr>
            <b/>
            <sz val="9"/>
            <color indexed="81"/>
            <rFont val="Tahoma"/>
            <charset val="1"/>
          </rPr>
          <t>Jason:</t>
        </r>
        <r>
          <rPr>
            <sz val="9"/>
            <color indexed="81"/>
            <rFont val="Tahoma"/>
            <charset val="1"/>
          </rPr>
          <t xml:space="preserve">
3 400m^2 plots per 108 sites</t>
        </r>
      </text>
    </comment>
    <comment ref="O50" authorId="3">
      <text>
        <r>
          <rPr>
            <b/>
            <sz val="9"/>
            <color indexed="81"/>
            <rFont val="Tahoma"/>
            <charset val="1"/>
          </rPr>
          <t>Jason:</t>
        </r>
        <r>
          <rPr>
            <sz val="9"/>
            <color indexed="81"/>
            <rFont val="Tahoma"/>
            <charset val="1"/>
          </rPr>
          <t xml:space="preserve">
assumed
</t>
        </r>
      </text>
    </comment>
    <comment ref="R50" authorId="3">
      <text>
        <r>
          <rPr>
            <b/>
            <sz val="9"/>
            <color indexed="81"/>
            <rFont val="Tahoma"/>
            <charset val="1"/>
          </rPr>
          <t>Jason:</t>
        </r>
        <r>
          <rPr>
            <sz val="9"/>
            <color indexed="81"/>
            <rFont val="Tahoma"/>
            <charset val="1"/>
          </rPr>
          <t xml:space="preserve">
Best assumption made. Know that study took 2 years at most but was longer than 379 days. </t>
        </r>
      </text>
    </comment>
    <comment ref="L51" authorId="3">
      <text>
        <r>
          <rPr>
            <b/>
            <sz val="9"/>
            <color indexed="81"/>
            <rFont val="Tahoma"/>
            <charset val="1"/>
          </rPr>
          <t>Jason:</t>
        </r>
        <r>
          <rPr>
            <sz val="9"/>
            <color indexed="81"/>
            <rFont val="Tahoma"/>
            <charset val="1"/>
          </rPr>
          <t xml:space="preserve">
6 perpendicular sunplots per stand</t>
        </r>
      </text>
    </comment>
    <comment ref="O51" authorId="3">
      <text>
        <r>
          <rPr>
            <b/>
            <sz val="9"/>
            <color indexed="81"/>
            <rFont val="Tahoma"/>
            <charset val="1"/>
          </rPr>
          <t>Jason:</t>
        </r>
        <r>
          <rPr>
            <sz val="9"/>
            <color indexed="81"/>
            <rFont val="Tahoma"/>
            <charset val="1"/>
          </rPr>
          <t xml:space="preserve">
assumed</t>
        </r>
      </text>
    </comment>
    <comment ref="O52" authorId="3">
      <text>
        <r>
          <rPr>
            <b/>
            <sz val="9"/>
            <color indexed="81"/>
            <rFont val="Tahoma"/>
            <charset val="1"/>
          </rPr>
          <t>Jason:</t>
        </r>
        <r>
          <rPr>
            <sz val="9"/>
            <color indexed="81"/>
            <rFont val="Tahoma"/>
            <charset val="1"/>
          </rPr>
          <t xml:space="preserve">
assumed</t>
        </r>
      </text>
    </comment>
    <comment ref="L53" authorId="3">
      <text>
        <r>
          <rPr>
            <b/>
            <sz val="9"/>
            <color indexed="81"/>
            <rFont val="Tahoma"/>
            <charset val="1"/>
          </rPr>
          <t>Jason:</t>
        </r>
        <r>
          <rPr>
            <sz val="9"/>
            <color indexed="81"/>
            <rFont val="Tahoma"/>
            <charset val="1"/>
          </rPr>
          <t xml:space="preserve">
four 1x1m quadrats placed in each of the 108 plot
</t>
        </r>
      </text>
    </comment>
    <comment ref="O53" authorId="3">
      <text>
        <r>
          <rPr>
            <b/>
            <sz val="9"/>
            <color indexed="81"/>
            <rFont val="Tahoma"/>
            <charset val="1"/>
          </rPr>
          <t>Jason:</t>
        </r>
        <r>
          <rPr>
            <sz val="9"/>
            <color indexed="81"/>
            <rFont val="Tahoma"/>
            <charset val="1"/>
          </rPr>
          <t xml:space="preserve">
assumed</t>
        </r>
      </text>
    </comment>
    <comment ref="AD87" authorId="0">
      <text>
        <r>
          <rPr>
            <b/>
            <sz val="9"/>
            <color indexed="81"/>
            <rFont val="Arial"/>
          </rPr>
          <t>Lyndon Estes:</t>
        </r>
        <r>
          <rPr>
            <sz val="9"/>
            <color indexed="81"/>
            <rFont val="Arial"/>
          </rPr>
          <t xml:space="preserve">
can you annotate these please, so I can tell which feature you are assessing?  This will help with head to head calibration assessment</t>
        </r>
      </text>
    </comment>
    <comment ref="N93" authorId="4">
      <text>
        <r>
          <rPr>
            <b/>
            <sz val="10"/>
            <color indexed="81"/>
            <rFont val="TimesNewRomanPSMT"/>
          </rPr>
          <t>Paul R. Elsen:</t>
        </r>
        <r>
          <rPr>
            <sz val="10"/>
            <color indexed="81"/>
            <rFont val="TimesNewRomanPSMT"/>
          </rPr>
          <t xml:space="preserve">
Study area is Los Queules National Reserve, a forest tract of 145 hectares immersed in 600 ha of native forest; assumed effective extent is entire 600 ha because looking at continuous forest and fragments</t>
        </r>
      </text>
    </comment>
    <comment ref="N95" authorId="4">
      <text>
        <r>
          <rPr>
            <b/>
            <sz val="10"/>
            <color indexed="81"/>
            <rFont val="TimesNewRomanPSMT"/>
          </rPr>
          <t>Paul R. Elsen:</t>
        </r>
        <r>
          <rPr>
            <sz val="10"/>
            <color indexed="81"/>
            <rFont val="TimesNewRomanPSMT"/>
          </rPr>
          <t xml:space="preserve">
Study is very vague about where lynx are sampled within Norway, saying that they were taken from across all of Norway. I looked up a current Eurasian Lynx range map from http://maps.iucnredlist.org/map.html?id=12519 and drew the distribution within Norway in GE Pro to estimate the extent at 19144020.30 ha</t>
        </r>
      </text>
    </comment>
    <comment ref="Q95" authorId="0">
      <text>
        <r>
          <rPr>
            <b/>
            <sz val="9"/>
            <color indexed="81"/>
            <rFont val="Arial"/>
          </rPr>
          <t>Lyndon Estes:</t>
        </r>
        <r>
          <rPr>
            <sz val="9"/>
            <color indexed="81"/>
            <rFont val="Arial"/>
          </rPr>
          <t xml:space="preserve">
Don't think the individuals count as repeat observations? I actually did the same, but am now questioning myself
If individuals don't count as repeat observations, then study duration = sampling duration (1) * 1 observation = 1 day?</t>
        </r>
      </text>
    </comment>
    <comment ref="R95" authorId="4">
      <text>
        <r>
          <rPr>
            <b/>
            <sz val="10"/>
            <color indexed="81"/>
            <rFont val="TimesNewRomanPSMT"/>
          </rPr>
          <t>Paul R. Elsen:</t>
        </r>
        <r>
          <rPr>
            <sz val="10"/>
            <color indexed="81"/>
            <rFont val="TimesNewRomanPSMT"/>
          </rPr>
          <t xml:space="preserve">
Sampling from 1993-2009
</t>
        </r>
        <r>
          <rPr>
            <b/>
            <sz val="10"/>
            <color indexed="81"/>
            <rFont val="TimesNewRomanPSMT"/>
          </rPr>
          <t>PE 4/21/17:</t>
        </r>
        <r>
          <rPr>
            <sz val="10"/>
            <color indexed="81"/>
            <rFont val="TimesNewRomanPSMT"/>
          </rPr>
          <t xml:space="preserve"> Updated to act_dur (once-off)</t>
        </r>
      </text>
    </comment>
    <comment ref="N96" authorId="4">
      <text>
        <r>
          <rPr>
            <b/>
            <sz val="10"/>
            <color indexed="81"/>
            <rFont val="TimesNewRomanPSMT"/>
          </rPr>
          <t>Paul R. Elsen:</t>
        </r>
        <r>
          <rPr>
            <sz val="10"/>
            <color indexed="81"/>
            <rFont val="TimesNewRomanPSMT"/>
          </rPr>
          <t xml:space="preserve">
Study area is part of Gottingen in Lower Saxony, Germany. Survey sites are in a map in Supplementary Material. Found approximate locations of sites and bound with an MCP in GE Pro = 96,849.11 ha</t>
        </r>
      </text>
    </comment>
    <comment ref="N97" authorId="4">
      <text>
        <r>
          <rPr>
            <b/>
            <sz val="10"/>
            <color indexed="81"/>
            <rFont val="TimesNewRomanPSMT"/>
          </rPr>
          <t>Paul R. Elsen:</t>
        </r>
        <r>
          <rPr>
            <sz val="10"/>
            <color indexed="81"/>
            <rFont val="TimesNewRomanPSMT"/>
          </rPr>
          <t xml:space="preserve">
Two study areas depicted in Fig 1. Used GE Pro to draw MCP around floodplains:
1. Rosslau: 272.34 ha
2. Klieken (harder to delineate): 574.56 ha
Total = 846.9 ha</t>
        </r>
      </text>
    </comment>
    <comment ref="N99" authorId="4">
      <text>
        <r>
          <rPr>
            <b/>
            <sz val="10"/>
            <color indexed="81"/>
            <rFont val="TimesNewRomanPSMT"/>
          </rPr>
          <t>Paul R. Elsen:</t>
        </r>
        <r>
          <rPr>
            <sz val="10"/>
            <color indexed="81"/>
            <rFont val="TimesNewRomanPSMT"/>
          </rPr>
          <t xml:space="preserve">
Two study areas, Tawharanui Marine Park (given as 350 ha) and Mimiwhangata (given as 2000 ha). But sampling was also outside of the two reserves, as shown in Fig. 1. Assumed that the effective extent encompasses the entire reserves + the outside sides at distance from shore equal to the reserves edge distance from shore. Found sites in GE Pro, drew MCPs around all transects and lobster survey points, totaled below:
1. Tawharanui MP: 350 + 278.32 (west) + 793.18 (east/south) = 1421.5 ha
2. Mimiwhangata MP: 2000 + 826.59 (west) + 866.05 (east/south) = 3692.64 ha
Total = 5114.14 ha</t>
        </r>
      </text>
    </comment>
    <comment ref="N107" authorId="4">
      <text>
        <r>
          <rPr>
            <b/>
            <sz val="10"/>
            <color indexed="81"/>
            <rFont val="TimesNewRomanPSMT"/>
          </rPr>
          <t>Paul R. Elsen:</t>
        </r>
        <r>
          <rPr>
            <sz val="10"/>
            <color indexed="81"/>
            <rFont val="TimesNewRomanPSMT"/>
          </rPr>
          <t xml:space="preserve">
Using coordinate delineations in paper, identified all European countries that were wholly in bounds. Got those areas from Wikipedia (see new tab). Then, used GE Pro to outline partial countries, added total MCP separately for grand total.</t>
        </r>
      </text>
    </comment>
    <comment ref="Q107" authorId="0">
      <text>
        <r>
          <rPr>
            <b/>
            <sz val="9"/>
            <color indexed="81"/>
            <rFont val="Arial"/>
          </rPr>
          <t>Lyndon Estes:</t>
        </r>
        <r>
          <rPr>
            <sz val="9"/>
            <color indexed="81"/>
            <rFont val="Arial"/>
          </rPr>
          <t xml:space="preserve">
Could you double-check this against the comments in the slack post, please?
Updated this value to 4800 years * 365 days of sampling</t>
        </r>
      </text>
    </comment>
    <comment ref="N109" authorId="4">
      <text>
        <r>
          <rPr>
            <b/>
            <sz val="10"/>
            <color indexed="81"/>
            <rFont val="TimesNewRomanPSMT"/>
          </rPr>
          <t>Paul R. Elsen:</t>
        </r>
        <r>
          <rPr>
            <sz val="10"/>
            <color indexed="81"/>
            <rFont val="TimesNewRomanPSMT"/>
          </rPr>
          <t xml:space="preserve">
Study region is boreal forest of the Cote-Nord region of Quebec, Canada. Sampling sites are shown in Fig 1. Used GE Pro to draw MCP around all points = 1372053.85 ha</t>
        </r>
      </text>
    </comment>
    <comment ref="R109" authorId="5">
      <text>
        <r>
          <rPr>
            <b/>
            <sz val="9"/>
            <color indexed="81"/>
            <rFont val="Arial"/>
          </rPr>
          <t>Paul Elsen:</t>
        </r>
        <r>
          <rPr>
            <sz val="9"/>
            <color indexed="81"/>
            <rFont val="Arial"/>
          </rPr>
          <t xml:space="preserve">
from Jun 2 2004 to Aug 15 2005
</t>
        </r>
        <r>
          <rPr>
            <b/>
            <sz val="9"/>
            <color indexed="81"/>
            <rFont val="Arial"/>
          </rPr>
          <t>PE 4/21/17:</t>
        </r>
        <r>
          <rPr>
            <sz val="9"/>
            <color indexed="81"/>
            <rFont val="Arial"/>
          </rPr>
          <t xml:space="preserve"> Updated to act_dur (once-off)</t>
        </r>
      </text>
    </comment>
    <comment ref="R110" authorId="5">
      <text>
        <r>
          <rPr>
            <b/>
            <sz val="9"/>
            <color indexed="81"/>
            <rFont val="Arial"/>
          </rPr>
          <t>Paul Elsen:</t>
        </r>
        <r>
          <rPr>
            <sz val="9"/>
            <color indexed="81"/>
            <rFont val="Arial"/>
          </rPr>
          <t xml:space="preserve">
as above</t>
        </r>
      </text>
    </comment>
    <comment ref="N115" authorId="4">
      <text>
        <r>
          <rPr>
            <b/>
            <sz val="10"/>
            <color indexed="81"/>
            <rFont val="TimesNewRomanPSMT"/>
          </rPr>
          <t>Paul R. Elsen:</t>
        </r>
        <r>
          <rPr>
            <sz val="10"/>
            <color indexed="81"/>
            <rFont val="TimesNewRomanPSMT"/>
          </rPr>
          <t xml:space="preserve">
Study site is valley above Villar d'Arene in central French Alps; study reports area at 1292 ha</t>
        </r>
      </text>
    </comment>
    <comment ref="N117" authorId="4">
      <text>
        <r>
          <rPr>
            <b/>
            <sz val="10"/>
            <color indexed="81"/>
            <rFont val="TimesNewRomanPSMT"/>
          </rPr>
          <t>Paul R. Elsen:</t>
        </r>
        <r>
          <rPr>
            <sz val="10"/>
            <color indexed="81"/>
            <rFont val="TimesNewRomanPSMT"/>
          </rPr>
          <t xml:space="preserve">
Study conducted in Woods Lake Watershed, Herkimer County, NY. Methods references previous study of liming application in the region, forming the basis of this study (Driscoll et al. 1996; doi:10.1007/BF02187137). In that study, there is a map of the survey region and the area is given as 207 ha.</t>
        </r>
      </text>
    </comment>
    <comment ref="N123" authorId="0">
      <text>
        <r>
          <rPr>
            <b/>
            <sz val="9"/>
            <color indexed="81"/>
            <rFont val="Arial"/>
          </rPr>
          <t>Lyndon Estes:</t>
        </r>
        <r>
          <rPr>
            <sz val="9"/>
            <color indexed="81"/>
            <rFont val="Arial"/>
          </rPr>
          <t xml:space="preserve">
Only area of forest reserve was given. No sample map.  Assume whole area of forest. Overesitimate</t>
        </r>
      </text>
    </comment>
    <comment ref="R123" authorId="0">
      <text>
        <r>
          <rPr>
            <b/>
            <sz val="9"/>
            <color indexed="81"/>
            <rFont val="Arial"/>
          </rPr>
          <t>Lyndon Estes:</t>
        </r>
        <r>
          <rPr>
            <sz val="9"/>
            <color indexed="81"/>
            <rFont val="Arial"/>
          </rPr>
          <t xml:space="preserve">
assume mid-septemer to end Dec</t>
        </r>
      </text>
    </comment>
    <comment ref="N124" authorId="0">
      <text>
        <r>
          <rPr>
            <b/>
            <sz val="9"/>
            <color indexed="81"/>
            <rFont val="Arial"/>
          </rPr>
          <t>Lyndon Estes:</t>
        </r>
        <r>
          <rPr>
            <sz val="9"/>
            <color indexed="81"/>
            <rFont val="Arial"/>
          </rPr>
          <t xml:space="preserve">
Only area of forest reserve was given. No sample map.  Assume whole area of forest. Overesitimate</t>
        </r>
      </text>
    </comment>
    <comment ref="R124" authorId="0">
      <text>
        <r>
          <rPr>
            <b/>
            <sz val="9"/>
            <color indexed="81"/>
            <rFont val="Arial"/>
          </rPr>
          <t>Lyndon Estes:</t>
        </r>
        <r>
          <rPr>
            <sz val="9"/>
            <color indexed="81"/>
            <rFont val="Arial"/>
          </rPr>
          <t xml:space="preserve">
Assume each plot was done only once, thus 12 hours total max (morning through evening</t>
        </r>
      </text>
    </comment>
    <comment ref="N125" authorId="0">
      <text>
        <r>
          <rPr>
            <b/>
            <sz val="9"/>
            <color indexed="81"/>
            <rFont val="Arial"/>
          </rPr>
          <t>Lyndon Estes:</t>
        </r>
        <r>
          <rPr>
            <sz val="9"/>
            <color indexed="81"/>
            <rFont val="Arial"/>
          </rPr>
          <t xml:space="preserve">
All of Norway sampled. Almost certainly an over-estimate</t>
        </r>
      </text>
    </comment>
    <comment ref="Q125" authorId="0">
      <text>
        <r>
          <rPr>
            <b/>
            <sz val="9"/>
            <color indexed="81"/>
            <rFont val="Arial"/>
          </rPr>
          <t>Lyndon Estes:</t>
        </r>
        <r>
          <rPr>
            <sz val="9"/>
            <color indexed="81"/>
            <rFont val="Arial"/>
          </rPr>
          <t xml:space="preserve">
Assume lynx harvested by hunters, 1 per lynx per day over the study time period
LDE: 4/4/2016 - individual lynx should not be temporal replicates. Replaced 276 with 1</t>
        </r>
      </text>
    </comment>
    <comment ref="R125" authorId="0">
      <text>
        <r>
          <rPr>
            <b/>
            <sz val="9"/>
            <color indexed="81"/>
            <rFont val="Arial"/>
          </rPr>
          <t>Lyndon Estes:</t>
        </r>
        <r>
          <rPr>
            <sz val="9"/>
            <color indexed="81"/>
            <rFont val="Arial"/>
          </rPr>
          <t xml:space="preserve">
study from 1993-2009 (period in which individuals were sampled)
10/4/2017: With definitional change of effective duration, altered this</t>
        </r>
      </text>
    </comment>
    <comment ref="N126" authorId="0">
      <text>
        <r>
          <rPr>
            <b/>
            <sz val="9"/>
            <color indexed="81"/>
            <rFont val="Arial"/>
          </rPr>
          <t>Lyndon Estes:</t>
        </r>
        <r>
          <rPr>
            <sz val="9"/>
            <color indexed="81"/>
            <rFont val="Arial"/>
          </rPr>
          <t xml:space="preserve">
estimated polygon in google maps (my maps, gagic et al 2011)</t>
        </r>
      </text>
    </comment>
    <comment ref="N127" authorId="0">
      <text>
        <r>
          <rPr>
            <b/>
            <sz val="9"/>
            <color indexed="81"/>
            <rFont val="Arial"/>
          </rPr>
          <t>Lyndon Estes:</t>
        </r>
        <r>
          <rPr>
            <sz val="9"/>
            <color indexed="81"/>
            <rFont val="Arial"/>
          </rPr>
          <t xml:space="preserve">
measured in my maps, converted from sq. miles to ha
</t>
        </r>
      </text>
    </comment>
    <comment ref="N129" authorId="0">
      <text>
        <r>
          <rPr>
            <b/>
            <sz val="9"/>
            <color indexed="81"/>
            <rFont val="Arial"/>
          </rPr>
          <t>Lyndon Estes:</t>
        </r>
        <r>
          <rPr>
            <sz val="9"/>
            <color indexed="81"/>
            <rFont val="Arial"/>
          </rPr>
          <t xml:space="preserve">
Estimated from My Maps. </t>
        </r>
      </text>
    </comment>
    <comment ref="Q129" authorId="0">
      <text>
        <r>
          <rPr>
            <b/>
            <sz val="9"/>
            <color indexed="81"/>
            <rFont val="Arial"/>
          </rPr>
          <t>Lyndon Estes:</t>
        </r>
        <r>
          <rPr>
            <sz val="9"/>
            <color indexed="81"/>
            <rFont val="Arial"/>
          </rPr>
          <t xml:space="preserve">
Assume samples take place over day, one sample per year</t>
        </r>
      </text>
    </comment>
    <comment ref="Q137" authorId="0">
      <text>
        <r>
          <rPr>
            <b/>
            <sz val="9"/>
            <color indexed="81"/>
            <rFont val="Arial"/>
          </rPr>
          <t xml:space="preserve">Lyndon Estes:
</t>
        </r>
        <r>
          <rPr>
            <sz val="9"/>
            <color indexed="81"/>
            <rFont val="Arial"/>
          </rPr>
          <t xml:space="preserve">Changed this from 4800*365 as it was previously (before 8/1/17) because they seem to have done last 9000 years
</t>
        </r>
      </text>
    </comment>
    <comment ref="N139" authorId="0">
      <text>
        <r>
          <rPr>
            <b/>
            <sz val="9"/>
            <color indexed="81"/>
            <rFont val="Arial"/>
          </rPr>
          <t>Lyndon Estes:</t>
        </r>
        <r>
          <rPr>
            <sz val="9"/>
            <color indexed="81"/>
            <rFont val="Arial"/>
          </rPr>
          <t xml:space="preserve">
Outlined two polygons in Figure 1 of paper (my maps). Have to assume all plots were collected through range</t>
        </r>
      </text>
    </comment>
    <comment ref="R139" authorId="0">
      <text>
        <r>
          <rPr>
            <b/>
            <sz val="9"/>
            <color indexed="81"/>
            <rFont val="Arial"/>
          </rPr>
          <t>Lyndon Estes:</t>
        </r>
        <r>
          <rPr>
            <sz val="9"/>
            <color indexed="81"/>
            <rFont val="Arial"/>
          </rPr>
          <t xml:space="preserve">
Changed from DATE(2005, 8, 15)-DATE(2004, 6, 2)
to reflect new understanding of effective_duration</t>
        </r>
      </text>
    </comment>
    <comment ref="N140" authorId="0">
      <text>
        <r>
          <rPr>
            <b/>
            <sz val="9"/>
            <color indexed="81"/>
            <rFont val="Arial"/>
          </rPr>
          <t>Lyndon Estes:</t>
        </r>
        <r>
          <rPr>
            <sz val="9"/>
            <color indexed="81"/>
            <rFont val="Arial"/>
          </rPr>
          <t xml:space="preserve">
Outlined two polygons in Figure 1 of paper (my maps). Have to assume all plots were collected through range</t>
        </r>
      </text>
    </comment>
    <comment ref="R140" authorId="0">
      <text>
        <r>
          <rPr>
            <b/>
            <sz val="9"/>
            <color indexed="81"/>
            <rFont val="Arial"/>
          </rPr>
          <t>Lyndon Estes:</t>
        </r>
        <r>
          <rPr>
            <sz val="9"/>
            <color indexed="81"/>
            <rFont val="Arial"/>
          </rPr>
          <t xml:space="preserve">
Changed from DATE(2005, 8, 15)-DATE(2004, 6, 2)
to reflect new understanding of effective_duration</t>
        </r>
      </text>
    </comment>
    <comment ref="N141" authorId="0">
      <text>
        <r>
          <rPr>
            <b/>
            <sz val="9"/>
            <color indexed="81"/>
            <rFont val="Arial"/>
          </rPr>
          <t>Lyndon Estes:</t>
        </r>
        <r>
          <rPr>
            <sz val="9"/>
            <color indexed="81"/>
            <rFont val="Arial"/>
          </rPr>
          <t xml:space="preserve">
Outlined two polygons in Figure 1 of paper (my maps). Have to assume all plots were collected through range</t>
        </r>
      </text>
    </comment>
    <comment ref="R141" authorId="0">
      <text>
        <r>
          <rPr>
            <b/>
            <sz val="9"/>
            <color indexed="81"/>
            <rFont val="Arial"/>
          </rPr>
          <t>Lyndon Estes:</t>
        </r>
        <r>
          <rPr>
            <sz val="9"/>
            <color indexed="81"/>
            <rFont val="Arial"/>
          </rPr>
          <t xml:space="preserve">
Changed from DATE(2005, 6, 25)-DATE(2004, 6, 11) to reflect new understanding of effective_duration</t>
        </r>
      </text>
    </comment>
    <comment ref="N142" authorId="0">
      <text>
        <r>
          <rPr>
            <b/>
            <sz val="9"/>
            <color indexed="81"/>
            <rFont val="Arial"/>
          </rPr>
          <t>Lyndon Estes:</t>
        </r>
        <r>
          <rPr>
            <sz val="9"/>
            <color indexed="81"/>
            <rFont val="Arial"/>
          </rPr>
          <t xml:space="preserve">
Outlined two polygons in Figure 1 of paper (my maps). Have to assume all plots were collected through range</t>
        </r>
      </text>
    </comment>
    <comment ref="N145" authorId="0">
      <text>
        <r>
          <rPr>
            <b/>
            <sz val="9"/>
            <color indexed="81"/>
            <rFont val="Arial"/>
          </rPr>
          <t>Lyndon Estes:</t>
        </r>
        <r>
          <rPr>
            <sz val="9"/>
            <color indexed="81"/>
            <rFont val="Arial"/>
          </rPr>
          <t xml:space="preserve">
No maps given anywhere, so just have to estimate based on total study area value they give, which is certainly much larger</t>
        </r>
      </text>
    </comment>
    <comment ref="Q145" authorId="0">
      <text>
        <r>
          <rPr>
            <b/>
            <sz val="9"/>
            <color indexed="81"/>
            <rFont val="Arial"/>
          </rPr>
          <t>Lyndon Estes:</t>
        </r>
        <r>
          <rPr>
            <sz val="9"/>
            <color indexed="81"/>
            <rFont val="Arial"/>
          </rPr>
          <t xml:space="preserve">
assume may through september, 1 day per sample--they don't specify time period. 
10/4/2017:
Revisited and changed from original estimate of 5, because looks like I miscounted weeks, because they said sward height measured once a week in growing season.  Assume May 1- end September, 20 weeks, 20 minute effort</t>
        </r>
      </text>
    </comment>
    <comment ref="R145" authorId="0">
      <text>
        <r>
          <rPr>
            <b/>
            <sz val="9"/>
            <color indexed="81"/>
            <rFont val="Arial"/>
          </rPr>
          <t>Lyndon Estes:</t>
        </r>
        <r>
          <rPr>
            <sz val="9"/>
            <color indexed="81"/>
            <rFont val="Arial"/>
          </rPr>
          <t xml:space="preserve">
Assume May - September</t>
        </r>
      </text>
    </comment>
    <comment ref="N146" authorId="0">
      <text>
        <r>
          <rPr>
            <b/>
            <sz val="9"/>
            <color indexed="81"/>
            <rFont val="Arial"/>
          </rPr>
          <t>Lyndon Estes:</t>
        </r>
        <r>
          <rPr>
            <sz val="9"/>
            <color indexed="81"/>
            <rFont val="Arial"/>
          </rPr>
          <t xml:space="preserve">
No maps given anywhere, so just have to estimate based on total study area value they give, which is certainly much larger</t>
        </r>
      </text>
    </comment>
    <comment ref="N147" authorId="0">
      <text>
        <r>
          <rPr>
            <b/>
            <sz val="9"/>
            <color indexed="81"/>
            <rFont val="Arial"/>
          </rPr>
          <t>Lyndon Estes:</t>
        </r>
        <r>
          <rPr>
            <sz val="9"/>
            <color indexed="81"/>
            <rFont val="Arial"/>
          </rPr>
          <t xml:space="preserve">
No maps given anywhere, so just have to estimate based on total study area value they give, which is certainly much larger</t>
        </r>
      </text>
    </comment>
    <comment ref="N148" authorId="0">
      <text>
        <r>
          <rPr>
            <b/>
            <sz val="9"/>
            <color indexed="81"/>
            <rFont val="Arial"/>
          </rPr>
          <t>Lyndon Estes:</t>
        </r>
        <r>
          <rPr>
            <sz val="9"/>
            <color indexed="81"/>
            <rFont val="Arial"/>
          </rPr>
          <t xml:space="preserve">
No maps given anywhere, so just have to estimate based on total study area value they give, which is certainly much larger</t>
        </r>
      </text>
    </comment>
    <comment ref="N149" authorId="0">
      <text>
        <r>
          <rPr>
            <b/>
            <sz val="9"/>
            <color indexed="81"/>
            <rFont val="Arial"/>
          </rPr>
          <t>Lyndon Estes:</t>
        </r>
        <r>
          <rPr>
            <sz val="9"/>
            <color indexed="81"/>
            <rFont val="Arial"/>
          </rPr>
          <t xml:space="preserve">
Total watershed area from Table 2 in Driscoll et al 1996. No plot boundaries provided. Have to assume that full catchment was covered</t>
        </r>
      </text>
    </comment>
    <comment ref="N150" authorId="0">
      <text>
        <r>
          <rPr>
            <b/>
            <sz val="9"/>
            <color indexed="81"/>
            <rFont val="Arial"/>
          </rPr>
          <t>Lyndon Estes:</t>
        </r>
        <r>
          <rPr>
            <sz val="9"/>
            <color indexed="81"/>
            <rFont val="Arial"/>
          </rPr>
          <t xml:space="preserve">
Total watershed area from Table 2 in Driscoll et al 1996. No plot boundaries provided</t>
        </r>
      </text>
    </comment>
    <comment ref="N151" authorId="0">
      <text>
        <r>
          <rPr>
            <b/>
            <sz val="9"/>
            <color indexed="81"/>
            <rFont val="Arial"/>
          </rPr>
          <t>Lyndon Estes:</t>
        </r>
        <r>
          <rPr>
            <sz val="9"/>
            <color indexed="81"/>
            <rFont val="Arial"/>
          </rPr>
          <t xml:space="preserve">
Total watershed area from Table 2 in Driscoll et al 1996. No plot boundaries provided. Have to assume that full catchment was covered</t>
        </r>
      </text>
    </comment>
    <comment ref="N152" authorId="0">
      <text>
        <r>
          <rPr>
            <b/>
            <sz val="9"/>
            <color indexed="81"/>
            <rFont val="Arial"/>
          </rPr>
          <t>Lyndon Estes:</t>
        </r>
        <r>
          <rPr>
            <sz val="9"/>
            <color indexed="81"/>
            <rFont val="Arial"/>
          </rPr>
          <t xml:space="preserve">
Total watershed area from Table 2 in Driscoll et al 1996. No plot boundaries provided. Have to assume that full catchment was covered</t>
        </r>
      </text>
    </comment>
    <comment ref="N153" authorId="0">
      <text>
        <r>
          <rPr>
            <b/>
            <sz val="9"/>
            <color indexed="81"/>
            <rFont val="Arial"/>
          </rPr>
          <t>Lyndon Estes:</t>
        </r>
        <r>
          <rPr>
            <sz val="9"/>
            <color indexed="81"/>
            <rFont val="Arial"/>
          </rPr>
          <t xml:space="preserve">
Total watershed area from Table 2 in Driscoll et al 1996. No plot boundaries provided. Have to assume that full catchment was covered</t>
        </r>
      </text>
    </comment>
    <comment ref="N154" authorId="0">
      <text>
        <r>
          <rPr>
            <b/>
            <sz val="9"/>
            <color indexed="81"/>
            <rFont val="Arial"/>
          </rPr>
          <t>Lyndon Estes:</t>
        </r>
        <r>
          <rPr>
            <sz val="9"/>
            <color indexed="81"/>
            <rFont val="Arial"/>
          </rPr>
          <t xml:space="preserve">
Total watershed area from Table 2 in Driscoll et al 1996. No plot boundaries provided. Have to assume that full catchment was covered</t>
        </r>
      </text>
    </comment>
    <comment ref="N155" authorId="0">
      <text>
        <r>
          <rPr>
            <b/>
            <sz val="9"/>
            <color indexed="81"/>
            <rFont val="Arial"/>
          </rPr>
          <t>Lyndon Estes:</t>
        </r>
        <r>
          <rPr>
            <sz val="9"/>
            <color indexed="81"/>
            <rFont val="Arial"/>
          </rPr>
          <t xml:space="preserve">
Total watershed area from Table 2 in Driscoll et al 1996. No plot boundaries provided. Have to assume that full catchment was covered</t>
        </r>
      </text>
    </comment>
    <comment ref="R156" authorId="6">
      <text>
        <r>
          <rPr>
            <sz val="10"/>
            <color rgb="FF000000"/>
            <rFont val="Arial"/>
          </rPr>
          <t>"mid-September to December" assumed half of September and all of December.
	-Tim Treuer</t>
        </r>
      </text>
    </comment>
    <comment ref="R159" authorId="6">
      <text>
        <r>
          <rPr>
            <sz val="10"/>
            <color rgb="FF000000"/>
            <rFont val="Arial"/>
          </rPr>
          <t xml:space="preserve">June and July
</t>
        </r>
      </text>
    </comment>
    <comment ref="M162" authorId="6">
      <text>
        <r>
          <rPr>
            <sz val="10"/>
            <color rgb="FF000000"/>
            <rFont val="Arial"/>
          </rPr>
          <t>Lyndon Estes:
Note that I fixed this, because it seems you forgot to convert to ha.  It was 500*22 in the original sheet.  Please let me know if I am assuming incorrectly</t>
        </r>
      </text>
    </comment>
    <comment ref="M163" authorId="6">
      <text>
        <r>
          <rPr>
            <sz val="10"/>
            <color rgb="FF000000"/>
            <rFont val="Arial"/>
          </rPr>
          <t>Lyndon Estes:
Note that I fixed this, because it seems you forgot to convert to ha.  It was 500*22 in the original sheet.  Please let me know if I am assuming incorrectly</t>
        </r>
      </text>
    </comment>
    <comment ref="O163" authorId="6">
      <text>
        <r>
          <rPr>
            <sz val="10"/>
            <color rgb="FF000000"/>
            <rFont val="Arial"/>
          </rPr>
          <t>I added an entry for this paper since I realize upon rereading it that I was confused about their sampling design.
	-Tim Treuer</t>
        </r>
      </text>
    </comment>
    <comment ref="K171" authorId="6">
      <text>
        <r>
          <rPr>
            <sz val="10"/>
            <color rgb="FF000000"/>
            <rFont val="Arial"/>
          </rPr>
          <t>Lyndon Estes:
This looks as if you were trying to estimate effective area, rather than actually observed area. Is this correct, or is this because of this being one of the first you attemped?  If you did not continue to sample this way, can you re-evaluate and fix according to the approach you used in your main analysis?</t>
        </r>
      </text>
    </comment>
    <comment ref="R174" authorId="6">
      <text>
        <r>
          <rPr>
            <sz val="10"/>
            <color rgb="FF000000"/>
            <rFont val="Arial"/>
          </rPr>
          <t>study span not indicated; assumed same as beetle sampling.
	-Tim Treuer</t>
        </r>
      </text>
    </comment>
    <comment ref="R175" authorId="6">
      <text>
        <r>
          <rPr>
            <sz val="10"/>
            <color rgb="FF000000"/>
            <rFont val="Arial"/>
          </rPr>
          <t>study span not indicated; assumed same as beetle sampling.
	-Tim Treuer</t>
        </r>
      </text>
    </comment>
    <comment ref="R176" authorId="6">
      <text>
        <r>
          <rPr>
            <sz val="10"/>
            <color rgb="FF000000"/>
            <rFont val="Arial"/>
          </rPr>
          <t>study span not indicated; assumed same as beetle sampling.
	-Tim Treuer</t>
        </r>
      </text>
    </comment>
    <comment ref="O177" authorId="6">
      <text>
        <r>
          <rPr>
            <sz val="10"/>
            <color rgb="FF000000"/>
            <rFont val="Arial"/>
          </rPr>
          <t>poor description of beetle sampling. Assumed each pit fall or malaise trap was unreplicated and set up for 72 hours.
	-Tim Treuer</t>
        </r>
      </text>
    </comment>
    <comment ref="O183" authorId="6">
      <text>
        <r>
          <rPr>
            <sz val="10"/>
            <color rgb="FF000000"/>
            <rFont val="Arial"/>
          </rPr>
          <t>redid this paper, splitting into additional entry for leaf litter, forest floor collections, and then edited soil core entry heavily
	-Tim Treuer</t>
        </r>
      </text>
    </comment>
  </commentList>
</comments>
</file>

<file path=xl/sharedStrings.xml><?xml version="1.0" encoding="utf-8"?>
<sst xmlns="http://schemas.openxmlformats.org/spreadsheetml/2006/main" count="2357" uniqueCount="237">
  <si>
    <t>observer</t>
  </si>
  <si>
    <t>DOI</t>
  </si>
  <si>
    <t>inout</t>
  </si>
  <si>
    <t>study_year</t>
  </si>
  <si>
    <t>study_type</t>
  </si>
  <si>
    <t>country_region</t>
  </si>
  <si>
    <t>subject_matter</t>
  </si>
  <si>
    <t>plot_res</t>
  </si>
  <si>
    <t>n_sites</t>
  </si>
  <si>
    <t>t_btwn_samp</t>
  </si>
  <si>
    <t>comp1</t>
  </si>
  <si>
    <t>comp2</t>
  </si>
  <si>
    <t>comp3</t>
  </si>
  <si>
    <t>struc1</t>
  </si>
  <si>
    <t>struc2</t>
  </si>
  <si>
    <t>struc3</t>
  </si>
  <si>
    <t>func1</t>
  </si>
  <si>
    <t>func2</t>
  </si>
  <si>
    <t>func3</t>
  </si>
  <si>
    <t>tax_breadth</t>
  </si>
  <si>
    <t>DOI_data_source</t>
  </si>
  <si>
    <t>notes</t>
  </si>
  <si>
    <t>elsen</t>
  </si>
  <si>
    <t>10.1016/j.ecolecon.2012.02.027</t>
  </si>
  <si>
    <t>NA</t>
  </si>
  <si>
    <t>excluded</t>
  </si>
  <si>
    <t>10.1016/j.agee.2011.07.015</t>
  </si>
  <si>
    <t>field/direct observation</t>
  </si>
  <si>
    <t>Germany</t>
  </si>
  <si>
    <t>effects of flooding and land-use on orthoptera</t>
  </si>
  <si>
    <t>10.1016/j.ecolecon.2007.10.006</t>
  </si>
  <si>
    <t>10.1111/geb.12090</t>
  </si>
  <si>
    <t>paleo-reconstruction</t>
  </si>
  <si>
    <t>Europe</t>
  </si>
  <si>
    <t>spatio-temporal patterns and drivers of historic European fire activity</t>
  </si>
  <si>
    <t>10.1016/j.agee.2013.11.021</t>
  </si>
  <si>
    <t>10.1007/s00442-012-2366-0</t>
  </si>
  <si>
    <t>impacts of agricultural intensification on aphid-parasitoid food webs</t>
  </si>
  <si>
    <t>10.1016/j.biocon.2006.04.001</t>
  </si>
  <si>
    <t>New Zealand</t>
  </si>
  <si>
    <t>effects of protection on spiny lobster abundance</t>
  </si>
  <si>
    <t>10.1098/rspb.2004.2833</t>
  </si>
  <si>
    <t>10.1098/rspb.2006.3696</t>
  </si>
  <si>
    <t>10.1890/13-0274.1</t>
  </si>
  <si>
    <t>New York, US</t>
  </si>
  <si>
    <t>effects of liming on nutrients</t>
  </si>
  <si>
    <t>dbh measurements of trees</t>
  </si>
  <si>
    <t>litterfall sampling May 2009 - May 2010</t>
  </si>
  <si>
    <t>forest floor sampling 2007 and 2010</t>
  </si>
  <si>
    <t>soil sampling 2007</t>
  </si>
  <si>
    <t>soil sampling 2008</t>
  </si>
  <si>
    <t>depth probe september 2010</t>
  </si>
  <si>
    <t>10.1098/rsbl.2007.0388</t>
  </si>
  <si>
    <t>10.1111/j.1365-2745.2008.01387.x</t>
  </si>
  <si>
    <t>10.1111/j.1472-4642.2012.00927.x</t>
  </si>
  <si>
    <t>10.1890/06-0750.1</t>
  </si>
  <si>
    <t>France</t>
  </si>
  <si>
    <t>ecosystem services sensitivity to land-use change</t>
  </si>
  <si>
    <t>aboveground biomass</t>
  </si>
  <si>
    <t>sward height</t>
  </si>
  <si>
    <t>10.1093/beheco/arr109</t>
  </si>
  <si>
    <t>10.1111/j.1466-8238.2009.00454.x</t>
  </si>
  <si>
    <t>Quebec, Canada</t>
  </si>
  <si>
    <t>influence of fine-scale habitat on nestedness of beetle and bird assemblages</t>
  </si>
  <si>
    <t>flying beetles; trap size Schmitz 1984 A passive aerial barrier trap suitable for sampling flying bark beetles. USDA Intermountain Forest and Range Experiment Station</t>
  </si>
  <si>
    <t>ground-dwelling beetles</t>
  </si>
  <si>
    <t>breeding birds</t>
  </si>
  <si>
    <t>vegetation structure</t>
  </si>
  <si>
    <t>10.1007/s00442-005-0338-3</t>
  </si>
  <si>
    <t>Chile</t>
  </si>
  <si>
    <t>effects of fragmentation on insectivory</t>
  </si>
  <si>
    <t>foraging intensity of insectivorous birds</t>
  </si>
  <si>
    <t>10.1093/beheco/arh010</t>
  </si>
  <si>
    <t>10.1007/s00442-010-1713-2</t>
  </si>
  <si>
    <t>Norway</t>
  </si>
  <si>
    <t>costs associated with development in lynx</t>
  </si>
  <si>
    <t>treated individual lynx as plot, estimated size</t>
  </si>
  <si>
    <t>10.1111/j.1600-0706.2012.21044.x</t>
  </si>
  <si>
    <t>estes</t>
  </si>
  <si>
    <t>Commentary</t>
  </si>
  <si>
    <t>traits in relation to disturbance</t>
  </si>
  <si>
    <t>I included the environmental data here by noting the structural features that were sampled</t>
  </si>
  <si>
    <t>fire regime drivers</t>
  </si>
  <si>
    <t xml:space="preserve">Multiple data sources, not well-documented. Sufficiently derived from these to justify not treating published sources as providing main scale data. </t>
  </si>
  <si>
    <t>community structure under agricultural intensification</t>
  </si>
  <si>
    <t>lobster demography under different protection levels</t>
  </si>
  <si>
    <t>US (New York)</t>
  </si>
  <si>
    <t>functional effects of liming</t>
  </si>
  <si>
    <t>Study marginal for inclusion, because experimental. However, observational in nature because after long-term</t>
  </si>
  <si>
    <t>2007 and 2010 Organic layer treatment: 3 year separation of treatments for organic layer</t>
  </si>
  <si>
    <t>2008 Organic layer treatment: 30 day separation</t>
  </si>
  <si>
    <t>2007 mineral soil samples</t>
  </si>
  <si>
    <t>2008 mineral soil treatment: separated by 30 days</t>
  </si>
  <si>
    <t>2010 depth probe</t>
  </si>
  <si>
    <t>plant functional types in relation to land use and ecosystem service provision</t>
  </si>
  <si>
    <t>Sward height samples</t>
  </si>
  <si>
    <t>ISBN 3 7281 2940 2; Doi:10.1111/jvs.12022</t>
  </si>
  <si>
    <t>Point quadrat surveys</t>
  </si>
  <si>
    <t>biomass unmown</t>
  </si>
  <si>
    <t>biomass mown</t>
  </si>
  <si>
    <t>Canada (Quebec)</t>
  </si>
  <si>
    <t>community ecology and nestedness</t>
  </si>
  <si>
    <t>Flying beetle sample: note that each period sampling lasted nearly two months (2/6-17/8 &amp; 7/6-15/8)</t>
  </si>
  <si>
    <t>Ground beetle sample: note as above</t>
  </si>
  <si>
    <t>Bird counts: 2 replicates (2 weeks apart) included in each season for each plot, but it sounds as if each plot was only samples once (i.e. not in both seasons)</t>
  </si>
  <si>
    <t>Forest structure sample</t>
  </si>
  <si>
    <t>food web interactions in fragmented forests</t>
  </si>
  <si>
    <t>Avian diversity/richness counts</t>
  </si>
  <si>
    <t>Forgaing intensity samples</t>
  </si>
  <si>
    <t>fitness and maturity time for lynx</t>
  </si>
  <si>
    <t>Here I assumed the study unit is the lynx, so sample area is based on that.</t>
  </si>
  <si>
    <t>ahmed</t>
  </si>
  <si>
    <t>CÃ´te-Nord, QuÃ©bec, Canada</t>
  </si>
  <si>
    <t xml:space="preserve">Variation in nestedness and idosyncracies in birds and beetles communities </t>
  </si>
  <si>
    <t>-</t>
  </si>
  <si>
    <t>BEETLE ASSEMBLAGE. Usage of plot resolution unclear</t>
  </si>
  <si>
    <t>BIRD ASSEMBLAGE.</t>
  </si>
  <si>
    <t>VEGETATION ASSEMBLAGE: sample duration, t_btwn_samples and study span not clearly indicated, so I used values form beetle assemblage and manually defined where necessary. Multiple resolutions within these plots such as sapling count using two 40 m^2 subplots and thickness of ground lichen using four 1x1 m quadrats.</t>
  </si>
  <si>
    <t>Sapling count</t>
  </si>
  <si>
    <t>Thickness of ground lichens</t>
  </si>
  <si>
    <t>Sachsen-Anhalt,  Germany</t>
  </si>
  <si>
    <t>Study of Orthoptera traits along a land use and flood disturbance gradient</t>
  </si>
  <si>
    <t>Average plot resolution was used because in study 450 m^2 and 500 m^2 plots were used. It was not indicated which plots were 450 and 500. Time between samples was approximated to be 25 days. It took roughly 4 days to sample each site and sample was done roughly a month apart. Study span was not indicated, so I included the time it took for sampling i.e. two months (61 days). I believe there is no compositional information included but I am not certain if land use and flood disturbance gradients can be classified as composition.</t>
  </si>
  <si>
    <t>GÃ¶ttingen, Germany</t>
  </si>
  <si>
    <t>Study of agriculture intensification and ecosystem functioning</t>
  </si>
  <si>
    <t>Costal Maulino forest, Chile</t>
  </si>
  <si>
    <t>Effect on density of insectivorous predators triggered by forest fragmentation</t>
  </si>
  <si>
    <t>Avian richness &amp; abundance</t>
  </si>
  <si>
    <t>Avian foraging intensity.</t>
  </si>
  <si>
    <t>Avian insectivory</t>
  </si>
  <si>
    <t>South-east Germany</t>
  </si>
  <si>
    <t>Soil chemical properties, swardheight and plant species composition in three cut alluvial meadowafter decades-long fertilizer application</t>
  </si>
  <si>
    <t>Paleo-reconstruction</t>
  </si>
  <si>
    <t>Reconstruction of spatio-temporal patterns of fire activity in Europe during the Holocene and its potential drivers</t>
  </si>
  <si>
    <t xml:space="preserve">I used 4cm-radius after reviewing a few papers on extracting charcoal core samples. The paper does not include or mention sample area, time between sampling, &amp; study duration, so default 1 day values were used. </t>
  </si>
  <si>
    <t>Data about sample harvest sites not given, but duration of the harvest present. No supplemental material available either. Discuss need to include or exclude?</t>
  </si>
  <si>
    <t xml:space="preserve">Five observations included (two from an external source). Included in the article are: plot numbers for the observations, sampling dates and one unclear reference to a plot resolution.  </t>
  </si>
  <si>
    <t>North-east New Zealand (Tawharanui Marine Park and Mimiwahangata Marine Park)</t>
  </si>
  <si>
    <t>Lobster population trends in protected vs non-protected areas</t>
  </si>
  <si>
    <t>See Sheet 1 for calculations.</t>
  </si>
  <si>
    <t>Chang</t>
  </si>
  <si>
    <t>field</t>
  </si>
  <si>
    <t>Orthoptera disturbance response</t>
  </si>
  <si>
    <t>Charcol</t>
  </si>
  <si>
    <t>Aphids</t>
  </si>
  <si>
    <t>Long term lobster abundance</t>
  </si>
  <si>
    <t>Canada</t>
  </si>
  <si>
    <t>Ground Beetle assemblage</t>
  </si>
  <si>
    <t>Flying Beetle assemblage</t>
  </si>
  <si>
    <t>http://www.metla.fi/silvafennica/full/sf45/sf455937.pdf</t>
  </si>
  <si>
    <t>Bird assemblage</t>
  </si>
  <si>
    <t>Tree DBH/Tree Species &gt; 9cm</t>
  </si>
  <si>
    <t>Tree DBH/Tree Species &lt; 9cm</t>
  </si>
  <si>
    <t>Woody Debris &gt;10cm</t>
  </si>
  <si>
    <t>Ground Lichen Thickness</t>
  </si>
  <si>
    <t>Parus major social behavior</t>
  </si>
  <si>
    <t>Choi</t>
  </si>
  <si>
    <t>Model</t>
  </si>
  <si>
    <t>Paleo-Reconstruction</t>
  </si>
  <si>
    <t>Holocene Fire Activity</t>
  </si>
  <si>
    <t>Experiment</t>
  </si>
  <si>
    <t>Field Study</t>
  </si>
  <si>
    <t>Agriculture, parasite food webs</t>
  </si>
  <si>
    <t>Lab Experiment</t>
  </si>
  <si>
    <t>Lobster fisheries, Marine Protected zone</t>
  </si>
  <si>
    <t>USA</t>
  </si>
  <si>
    <t>Liming of forest soils</t>
  </si>
  <si>
    <t>Insectivorous birds and insects</t>
  </si>
  <si>
    <t>Direct Observation</t>
  </si>
  <si>
    <t>maturation and fitness</t>
  </si>
  <si>
    <t>Functional trait modeling</t>
  </si>
  <si>
    <t>Community assemblages</t>
  </si>
  <si>
    <t>Treur</t>
  </si>
  <si>
    <t>Holocene fire regimes</t>
  </si>
  <si>
    <t>wheat-aphid-parasitoids-hyperparasitoids</t>
  </si>
  <si>
    <t>Spiny lobsters</t>
  </si>
  <si>
    <t>New York</t>
  </si>
  <si>
    <t>soil depth; only control plots included</t>
  </si>
  <si>
    <t>Quebec</t>
  </si>
  <si>
    <t>birds</t>
  </si>
  <si>
    <t>lichens</t>
  </si>
  <si>
    <t>saplings</t>
  </si>
  <si>
    <t>assumed saplings were not identified to species</t>
  </si>
  <si>
    <t>woody vegetation</t>
  </si>
  <si>
    <t>trees &gt;9cm, coarse woody debris, canopy closure, canopy height</t>
  </si>
  <si>
    <t>ground beetles</t>
  </si>
  <si>
    <t>flying beetles</t>
  </si>
  <si>
    <t>birds, insectivory in fragments</t>
  </si>
  <si>
    <t>insectivory focal observations</t>
  </si>
  <si>
    <t>feature</t>
  </si>
  <si>
    <t>Avian richness and abundance in circular sampling plots</t>
  </si>
  <si>
    <t>Avian foraging intensity in 30 m circular plots</t>
  </si>
  <si>
    <t>Individual lynxes</t>
  </si>
  <si>
    <t>Measure individual wheat shoots</t>
  </si>
  <si>
    <t>Each permanent transect at the 19 sites</t>
  </si>
  <si>
    <t>It was difficult to judge temporal scale\measure charcoal cores</t>
  </si>
  <si>
    <t>multidirectional flight intercept trap</t>
  </si>
  <si>
    <t>Pitfall traps</t>
  </si>
  <si>
    <t>Bird point counts</t>
  </si>
  <si>
    <t>Stand characteristics in 400m^2 circular plots</t>
  </si>
  <si>
    <t>Sapling monitoring</t>
  </si>
  <si>
    <t>Canopy height with clinometer</t>
  </si>
  <si>
    <t>canopy closure with densiometer</t>
  </si>
  <si>
    <t>Sward height</t>
  </si>
  <si>
    <t>Spring litter</t>
  </si>
  <si>
    <t>Legume relative abundance</t>
  </si>
  <si>
    <t>vegetation plots with DBH measurements and other measures</t>
  </si>
  <si>
    <t>Littertraps</t>
  </si>
  <si>
    <t>Soil measurements for soil depth</t>
  </si>
  <si>
    <t>Soil cores</t>
  </si>
  <si>
    <t>Tulip bulb corer for N mineralization</t>
  </si>
  <si>
    <t>Random forest floor depth measurements.</t>
  </si>
  <si>
    <t>st</t>
  </si>
  <si>
    <t>Avian richness and abundance</t>
  </si>
  <si>
    <t>Avian Foraging Intensity</t>
  </si>
  <si>
    <t>n</t>
  </si>
  <si>
    <t>y</t>
  </si>
  <si>
    <t>Litter throughfall</t>
  </si>
  <si>
    <t xml:space="preserve">10.1016/j.biocon.2006.04.001 </t>
  </si>
  <si>
    <t>Forest trees</t>
  </si>
  <si>
    <t>leaf litter</t>
  </si>
  <si>
    <t>forest floor</t>
  </si>
  <si>
    <t>soil</t>
  </si>
  <si>
    <t>point-counts; eff_extent calculated by averaging fragment size and multiplying by number of fragments then adding area of Reserve, then assuming effective area of plantions sampled was equal to the area of intact forest sampled, proportional to the reduced number of plots in the plantations (15 as opposed to 20).</t>
  </si>
  <si>
    <t>eff_extent estimated off minimum convex polygon of all field sites</t>
  </si>
  <si>
    <t>assumed samp_duration = 1 hour; for eff_extent assumed 200m wide multiplied by path length between sites, two separate paths for two locations</t>
  </si>
  <si>
    <t>assumed samp_duration = 1 hour</t>
  </si>
  <si>
    <t>assumed 5cm radius cores</t>
  </si>
  <si>
    <t>eff_extent scaled by number of plots sampled divided by total number of plots</t>
  </si>
  <si>
    <t>trees; only control plots included</t>
  </si>
  <si>
    <t>leaf litter; only control plots included</t>
  </si>
  <si>
    <t>only control plots included</t>
  </si>
  <si>
    <t>act_ext</t>
  </si>
  <si>
    <t>eff_ext</t>
  </si>
  <si>
    <t>samp_dur</t>
  </si>
  <si>
    <t>act_dur</t>
  </si>
  <si>
    <t>eff_dur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</si>
</sst>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00"/>
    <numFmt numFmtId="165" formatCode="#,##0.0000000"/>
    <numFmt numFmtId="166" formatCode="#,##0.00000"/>
  </numFmts>
  <fonts count="29" x14ac:knownFonts="1">
    <font>
      <sz val="12"/>
      <color theme="1"/>
      <name val="Calibri"/>
      <family val="2"/>
      <scheme val="minor"/>
    </font>
    <font>
      <sz val="12"/>
      <color rgb="FFFF0000"/>
      <name val="Calibri"/>
      <family val="2"/>
      <scheme val="minor"/>
    </font>
    <font>
      <sz val="12"/>
      <color theme="6"/>
      <name val="Calibri"/>
      <scheme val="minor"/>
    </font>
    <font>
      <sz val="12"/>
      <color theme="5" tint="0.39997558519241921"/>
      <name val="Calibri"/>
      <scheme val="minor"/>
    </font>
    <font>
      <sz val="12"/>
      <color theme="3" tint="0.59999389629810485"/>
      <name val="Calibri"/>
      <scheme val="minor"/>
    </font>
    <font>
      <sz val="12"/>
      <color theme="2" tint="-0.499984740745262"/>
      <name val="Calibri"/>
      <scheme val="minor"/>
    </font>
    <font>
      <sz val="12"/>
      <color theme="3" tint="-0.249977111117893"/>
      <name val="Calibri"/>
      <scheme val="minor"/>
    </font>
    <font>
      <sz val="12"/>
      <color theme="7" tint="-0.249977111117893"/>
      <name val="Calibri"/>
      <scheme val="minor"/>
    </font>
    <font>
      <sz val="12"/>
      <color theme="3" tint="0.39997558519241921"/>
      <name val="Calibri"/>
      <scheme val="minor"/>
    </font>
    <font>
      <sz val="12"/>
      <color theme="9" tint="0.39997558519241921"/>
      <name val="Calibri"/>
      <scheme val="minor"/>
    </font>
    <font>
      <sz val="12"/>
      <color theme="6" tint="-0.499984740745262"/>
      <name val="Calibri"/>
      <scheme val="minor"/>
    </font>
    <font>
      <sz val="9"/>
      <color indexed="81"/>
      <name val="Calibri"/>
      <family val="2"/>
    </font>
    <font>
      <b/>
      <sz val="9"/>
      <color indexed="81"/>
      <name val="Calibri"/>
      <family val="2"/>
    </font>
    <font>
      <u/>
      <sz val="12"/>
      <color theme="10"/>
      <name val="Calibri"/>
      <family val="2"/>
      <scheme val="minor"/>
    </font>
    <font>
      <u/>
      <sz val="12"/>
      <color theme="11"/>
      <name val="Calibri"/>
      <family val="2"/>
      <scheme val="minor"/>
    </font>
    <font>
      <b/>
      <sz val="12"/>
      <color rgb="FF0000FF"/>
      <name val="Calibri"/>
      <scheme val="minor"/>
    </font>
    <font>
      <sz val="10"/>
      <color rgb="FF000000"/>
      <name val="Arial"/>
    </font>
    <font>
      <u/>
      <sz val="10"/>
      <color rgb="FF000000"/>
      <name val="Arial"/>
    </font>
    <font>
      <sz val="11"/>
      <name val="Calibri"/>
    </font>
    <font>
      <b/>
      <sz val="9"/>
      <color indexed="81"/>
      <name val="Tahoma"/>
      <charset val="1"/>
    </font>
    <font>
      <sz val="9"/>
      <color indexed="81"/>
      <name val="Tahoma"/>
      <charset val="1"/>
    </font>
    <font>
      <b/>
      <sz val="9"/>
      <color indexed="81"/>
      <name val="Arial"/>
    </font>
    <font>
      <sz val="9"/>
      <color indexed="81"/>
      <name val="Arial"/>
    </font>
    <font>
      <sz val="10"/>
      <name val="Arial"/>
    </font>
    <font>
      <sz val="10"/>
      <color indexed="8"/>
      <name val="Arial"/>
      <family val="2"/>
    </font>
    <font>
      <sz val="10"/>
      <color rgb="FFFFFF00"/>
      <name val="Arial"/>
    </font>
    <font>
      <b/>
      <sz val="10"/>
      <color indexed="81"/>
      <name val="TimesNewRomanPSMT"/>
    </font>
    <font>
      <sz val="10"/>
      <color indexed="81"/>
      <name val="TimesNewRomanPSMT"/>
    </font>
    <font>
      <sz val="12"/>
      <color rgb="FFFFFF00"/>
      <name val="Calibri"/>
      <scheme val="minor"/>
    </font>
  </fonts>
  <fills count="1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249977111117893"/>
        <bgColor indexed="64"/>
      </patternFill>
    </fill>
    <fill>
      <patternFill patternType="solid">
        <fgColor rgb="FFFF6600"/>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00B0F0"/>
        <bgColor indexed="64"/>
      </patternFill>
    </fill>
    <fill>
      <patternFill patternType="solid">
        <fgColor rgb="FFFF0000"/>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rgb="FFFFFF00"/>
      </patternFill>
    </fill>
    <fill>
      <patternFill patternType="solid">
        <fgColor theme="8" tint="-0.249977111117893"/>
        <bgColor indexed="64"/>
      </patternFill>
    </fill>
    <fill>
      <patternFill patternType="solid">
        <fgColor rgb="FF93C47D"/>
        <bgColor rgb="FF93C47D"/>
      </patternFill>
    </fill>
  </fills>
  <borders count="6">
    <border>
      <left/>
      <right/>
      <top/>
      <bottom/>
      <diagonal/>
    </border>
    <border>
      <left/>
      <right/>
      <top style="thin">
        <color rgb="FF000000"/>
      </top>
      <bottom style="thin">
        <color rgb="FF000000"/>
      </bottom>
      <diagonal/>
    </border>
    <border>
      <left/>
      <right/>
      <top style="thin">
        <color rgb="FF000000"/>
      </top>
      <bottom/>
      <diagonal/>
    </border>
    <border>
      <left/>
      <right/>
      <top/>
      <bottom style="thin">
        <color rgb="FF000000"/>
      </bottom>
      <diagonal/>
    </border>
    <border>
      <left style="thin">
        <color auto="1"/>
      </left>
      <right style="thin">
        <color auto="1"/>
      </right>
      <top/>
      <bottom style="thin">
        <color auto="1"/>
      </bottom>
      <diagonal/>
    </border>
    <border>
      <left/>
      <right/>
      <top style="medium">
        <color auto="1"/>
      </top>
      <bottom/>
      <diagonal/>
    </border>
  </borders>
  <cellStyleXfs count="101">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24"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cellStyleXfs>
  <cellXfs count="87">
    <xf numFmtId="0" fontId="0" fillId="0" borderId="0" xfId="0"/>
    <xf numFmtId="11" fontId="0" fillId="0" borderId="0" xfId="0" applyNumberForma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 fillId="0" borderId="0" xfId="0" applyFont="1"/>
    <xf numFmtId="1" fontId="0" fillId="0" borderId="0" xfId="0" applyNumberFormat="1"/>
    <xf numFmtId="0" fontId="15" fillId="0" borderId="0" xfId="0" applyFont="1"/>
    <xf numFmtId="0" fontId="16" fillId="0" borderId="0" xfId="0" applyFont="1" applyFill="1" applyBorder="1" applyAlignment="1">
      <alignment wrapText="1"/>
    </xf>
    <xf numFmtId="0" fontId="0" fillId="0" borderId="1" xfId="0" applyBorder="1"/>
    <xf numFmtId="0" fontId="16" fillId="0" borderId="1" xfId="0" applyFont="1" applyFill="1" applyBorder="1" applyAlignment="1">
      <alignment wrapText="1"/>
    </xf>
    <xf numFmtId="0" fontId="16" fillId="0" borderId="2" xfId="0" applyFont="1" applyFill="1" applyBorder="1"/>
    <xf numFmtId="0" fontId="16" fillId="0" borderId="0" xfId="0" applyFont="1" applyFill="1" applyBorder="1" applyAlignment="1"/>
    <xf numFmtId="0" fontId="16" fillId="0" borderId="0" xfId="0" applyFont="1" applyFill="1" applyBorder="1"/>
    <xf numFmtId="0" fontId="16" fillId="0" borderId="3" xfId="0" applyFont="1" applyFill="1" applyBorder="1"/>
    <xf numFmtId="0" fontId="16" fillId="0" borderId="3" xfId="0" applyFont="1" applyFill="1" applyBorder="1" applyAlignment="1"/>
    <xf numFmtId="0" fontId="0" fillId="0" borderId="0" xfId="0" applyFont="1" applyFill="1"/>
    <xf numFmtId="0" fontId="16" fillId="0" borderId="1" xfId="0" applyFont="1" applyFill="1" applyBorder="1"/>
    <xf numFmtId="0" fontId="16" fillId="0" borderId="1" xfId="0" applyFont="1" applyFill="1" applyBorder="1" applyAlignment="1"/>
    <xf numFmtId="0" fontId="0" fillId="0" borderId="1" xfId="0" applyFont="1" applyFill="1" applyBorder="1"/>
    <xf numFmtId="0" fontId="16" fillId="0" borderId="0" xfId="0" applyFont="1" applyFill="1"/>
    <xf numFmtId="164" fontId="16" fillId="0" borderId="0" xfId="0" applyNumberFormat="1" applyFont="1" applyFill="1"/>
    <xf numFmtId="0" fontId="16" fillId="0" borderId="0" xfId="0" applyFont="1" applyFill="1" applyAlignment="1"/>
    <xf numFmtId="0" fontId="16" fillId="0" borderId="0" xfId="0" applyFont="1" applyFill="1" applyAlignment="1">
      <alignment horizontal="left"/>
    </xf>
    <xf numFmtId="0" fontId="16" fillId="0" borderId="0" xfId="0" applyFont="1" applyFill="1" applyAlignment="1">
      <alignment wrapText="1"/>
    </xf>
    <xf numFmtId="0" fontId="16" fillId="0" borderId="2" xfId="0" applyFont="1" applyFill="1" applyBorder="1" applyAlignment="1">
      <alignment wrapText="1"/>
    </xf>
    <xf numFmtId="0" fontId="0" fillId="0" borderId="0" xfId="0" applyFont="1" applyFill="1" applyAlignment="1">
      <alignment wrapText="1"/>
    </xf>
    <xf numFmtId="0" fontId="17" fillId="0" borderId="0" xfId="0" applyFont="1" applyFill="1" applyAlignment="1">
      <alignment wrapText="1"/>
    </xf>
    <xf numFmtId="0" fontId="16" fillId="0" borderId="3" xfId="0" applyFont="1" applyFill="1" applyBorder="1" applyAlignment="1">
      <alignment wrapText="1"/>
    </xf>
    <xf numFmtId="0" fontId="18" fillId="0" borderId="0" xfId="0" applyFont="1" applyFill="1" applyBorder="1"/>
    <xf numFmtId="0" fontId="0" fillId="0" borderId="0" xfId="0" applyFont="1" applyFill="1" applyAlignment="1"/>
    <xf numFmtId="0" fontId="0" fillId="2" borderId="0" xfId="0" applyFill="1"/>
    <xf numFmtId="0" fontId="23" fillId="2" borderId="0" xfId="0" applyFont="1" applyFill="1" applyBorder="1"/>
    <xf numFmtId="0" fontId="0" fillId="0" borderId="0" xfId="0" applyFont="1" applyFill="1" applyBorder="1" applyAlignment="1"/>
    <xf numFmtId="0" fontId="23" fillId="3" borderId="0" xfId="0" applyFont="1" applyFill="1" applyBorder="1" applyAlignment="1"/>
    <xf numFmtId="0" fontId="23" fillId="4" borderId="0" xfId="0" applyFont="1" applyFill="1" applyBorder="1" applyAlignment="1"/>
    <xf numFmtId="0" fontId="0" fillId="2" borderId="0" xfId="0" applyFill="1" applyAlignment="1"/>
    <xf numFmtId="0" fontId="0" fillId="2" borderId="0" xfId="0" applyFont="1" applyFill="1" applyBorder="1" applyAlignment="1"/>
    <xf numFmtId="1" fontId="0" fillId="5" borderId="0" xfId="0" applyNumberFormat="1" applyFill="1"/>
    <xf numFmtId="0" fontId="16" fillId="0" borderId="2" xfId="0" applyFont="1" applyFill="1" applyBorder="1" applyAlignment="1"/>
    <xf numFmtId="0" fontId="16" fillId="6" borderId="2" xfId="0" applyFont="1" applyFill="1" applyBorder="1" applyAlignment="1"/>
    <xf numFmtId="0" fontId="0" fillId="0" borderId="0" xfId="0" applyFill="1" applyBorder="1" applyAlignment="1">
      <alignment horizontal="center" vertical="center"/>
    </xf>
    <xf numFmtId="0" fontId="16" fillId="7" borderId="2" xfId="0" applyFont="1" applyFill="1" applyBorder="1"/>
    <xf numFmtId="0" fontId="25" fillId="8" borderId="2" xfId="0" applyFont="1" applyFill="1" applyBorder="1"/>
    <xf numFmtId="0" fontId="0" fillId="9" borderId="0" xfId="0" applyFill="1"/>
    <xf numFmtId="0" fontId="0" fillId="0" borderId="4" xfId="0" applyFill="1" applyBorder="1" applyAlignment="1">
      <alignment horizontal="left" vertical="center"/>
    </xf>
    <xf numFmtId="0" fontId="0" fillId="10" borderId="0" xfId="0" applyFill="1"/>
    <xf numFmtId="0" fontId="0" fillId="0" borderId="5" xfId="0" applyBorder="1"/>
    <xf numFmtId="0" fontId="0" fillId="0" borderId="0" xfId="0" applyBorder="1"/>
    <xf numFmtId="0" fontId="0" fillId="9" borderId="0" xfId="0" applyFill="1" applyBorder="1"/>
    <xf numFmtId="0" fontId="0" fillId="2" borderId="0" xfId="0" applyFill="1" applyBorder="1"/>
    <xf numFmtId="0" fontId="23" fillId="11" borderId="0" xfId="0" applyFont="1" applyFill="1" applyBorder="1" applyAlignment="1"/>
    <xf numFmtId="0" fontId="0" fillId="11" borderId="0" xfId="0" applyFont="1" applyFill="1" applyBorder="1" applyAlignment="1"/>
    <xf numFmtId="0" fontId="23" fillId="2" borderId="0" xfId="0" applyFont="1" applyFill="1" applyBorder="1" applyAlignment="1"/>
    <xf numFmtId="0" fontId="0" fillId="12" borderId="0" xfId="0" applyFont="1" applyFill="1" applyBorder="1" applyAlignment="1"/>
    <xf numFmtId="166" fontId="0" fillId="2" borderId="0" xfId="0" applyNumberFormat="1" applyFont="1" applyFill="1" applyBorder="1" applyAlignment="1"/>
    <xf numFmtId="3" fontId="0" fillId="2" borderId="0" xfId="0" applyNumberFormat="1" applyFont="1" applyFill="1" applyBorder="1" applyAlignment="1"/>
    <xf numFmtId="0" fontId="0" fillId="0" borderId="0" xfId="0" applyFont="1" applyAlignment="1"/>
    <xf numFmtId="3" fontId="0" fillId="0" borderId="0" xfId="0" applyNumberFormat="1" applyFont="1" applyFill="1" applyBorder="1" applyAlignment="1"/>
    <xf numFmtId="3" fontId="23" fillId="0" borderId="0" xfId="0" applyNumberFormat="1" applyFont="1" applyFill="1" applyBorder="1" applyAlignment="1"/>
    <xf numFmtId="164" fontId="0" fillId="11" borderId="0" xfId="0" applyNumberFormat="1" applyFont="1" applyFill="1" applyBorder="1" applyAlignment="1"/>
    <xf numFmtId="0" fontId="0" fillId="0" borderId="0" xfId="0" applyFont="1" applyFill="1" applyBorder="1"/>
    <xf numFmtId="0" fontId="23" fillId="0" borderId="0" xfId="0" applyFont="1" applyFill="1" applyBorder="1"/>
    <xf numFmtId="0" fontId="23" fillId="12" borderId="0" xfId="0" applyFont="1" applyFill="1" applyBorder="1"/>
    <xf numFmtId="0" fontId="23" fillId="12" borderId="0" xfId="0" applyFont="1" applyFill="1" applyBorder="1" applyAlignment="1">
      <alignment wrapText="1"/>
    </xf>
    <xf numFmtId="0" fontId="0" fillId="12" borderId="0" xfId="0" applyFill="1" applyBorder="1"/>
    <xf numFmtId="0" fontId="23" fillId="0" borderId="0" xfId="0" applyFont="1" applyAlignment="1">
      <alignment wrapText="1"/>
    </xf>
    <xf numFmtId="164" fontId="23" fillId="0" borderId="0" xfId="0" applyNumberFormat="1" applyFont="1" applyAlignment="1">
      <alignment wrapText="1"/>
    </xf>
    <xf numFmtId="0" fontId="23" fillId="13" borderId="0" xfId="0" applyFont="1" applyFill="1" applyAlignment="1">
      <alignment wrapText="1"/>
    </xf>
    <xf numFmtId="165" fontId="23" fillId="0" borderId="0" xfId="0" applyNumberFormat="1" applyFont="1" applyAlignment="1">
      <alignment wrapText="1"/>
    </xf>
    <xf numFmtId="0" fontId="23" fillId="0" borderId="0" xfId="0" applyFont="1"/>
    <xf numFmtId="3" fontId="23" fillId="0" borderId="0" xfId="0" applyNumberFormat="1" applyFont="1" applyAlignment="1">
      <alignment wrapText="1"/>
    </xf>
    <xf numFmtId="0" fontId="23" fillId="0" borderId="0" xfId="0" applyFont="1" applyAlignment="1"/>
    <xf numFmtId="0" fontId="23" fillId="13" borderId="0" xfId="0" applyFont="1" applyFill="1" applyAlignment="1"/>
    <xf numFmtId="0" fontId="23" fillId="0" borderId="0" xfId="0" applyFont="1" applyFill="1" applyBorder="1" applyAlignment="1">
      <alignment wrapText="1"/>
    </xf>
    <xf numFmtId="0" fontId="23" fillId="0" borderId="0" xfId="0" applyFont="1" applyFill="1" applyAlignment="1">
      <alignment wrapText="1"/>
    </xf>
    <xf numFmtId="0" fontId="25" fillId="14" borderId="0" xfId="0" applyFont="1" applyFill="1" applyBorder="1" applyAlignment="1"/>
    <xf numFmtId="0" fontId="25" fillId="14" borderId="0" xfId="0" applyFont="1" applyFill="1" applyBorder="1"/>
    <xf numFmtId="0" fontId="25" fillId="15" borderId="0" xfId="0" applyFont="1" applyFill="1" applyAlignment="1">
      <alignment wrapText="1"/>
    </xf>
    <xf numFmtId="0" fontId="25" fillId="15" borderId="0" xfId="0" applyFont="1" applyFill="1" applyBorder="1" applyAlignment="1">
      <alignment wrapText="1"/>
    </xf>
    <xf numFmtId="0" fontId="28" fillId="14" borderId="0" xfId="0" applyFont="1" applyFill="1"/>
  </cellXfs>
  <cellStyles count="101">
    <cellStyle name="Excel Built-in Normal" xfId="4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9" builtinId="9" hidden="1"/>
    <cellStyle name="Followed Hyperlink" xfId="51"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8" builtinId="8" hidden="1"/>
    <cellStyle name="Hyperlink" xfId="50" builtinId="8" hidden="1"/>
    <cellStyle name="Hyperlink" xfId="52"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metla.fi/silvafennica/full/sf45/sf455937.pdf" TargetMode="Externa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85"/>
  <sheetViews>
    <sheetView tabSelected="1" topLeftCell="A41" workbookViewId="0">
      <pane ySplit="6580" topLeftCell="A109"/>
      <selection activeCell="F56" sqref="F56"/>
      <selection pane="bottomLeft" activeCell="F123" sqref="F123"/>
    </sheetView>
  </sheetViews>
  <sheetFormatPr baseColWidth="10" defaultRowHeight="15" x14ac:dyDescent="0"/>
  <cols>
    <col min="2" max="2" width="8.5" customWidth="1"/>
    <col min="3" max="3" width="26.6640625" customWidth="1"/>
    <col min="4" max="4" width="7.1640625" customWidth="1"/>
    <col min="5" max="5" width="8.83203125" customWidth="1"/>
    <col min="7" max="7" width="5.83203125" customWidth="1"/>
    <col min="8" max="8" width="19.5" customWidth="1"/>
    <col min="10" max="10" width="13.83203125" customWidth="1"/>
    <col min="11" max="11" width="11.6640625" customWidth="1"/>
    <col min="12" max="12" width="9.83203125" customWidth="1"/>
    <col min="13" max="13" width="13.5" customWidth="1"/>
    <col min="14" max="14" width="11.83203125" customWidth="1"/>
    <col min="15" max="15" width="12" customWidth="1"/>
    <col min="16" max="16" width="13" customWidth="1"/>
    <col min="17" max="17" width="11.33203125" customWidth="1"/>
    <col min="18" max="18" width="16.1640625" customWidth="1"/>
  </cols>
  <sheetData>
    <row r="1" spans="1:30">
      <c r="B1" t="s">
        <v>0</v>
      </c>
      <c r="C1" t="s">
        <v>1</v>
      </c>
      <c r="D1" t="s">
        <v>2</v>
      </c>
      <c r="E1" t="s">
        <v>189</v>
      </c>
      <c r="F1" t="s">
        <v>3</v>
      </c>
      <c r="G1" t="s">
        <v>212</v>
      </c>
      <c r="H1" t="s">
        <v>4</v>
      </c>
      <c r="I1" t="s">
        <v>5</v>
      </c>
      <c r="J1" t="s">
        <v>6</v>
      </c>
      <c r="K1" t="s">
        <v>7</v>
      </c>
      <c r="L1" t="s">
        <v>8</v>
      </c>
      <c r="M1" t="s">
        <v>232</v>
      </c>
      <c r="N1" t="s">
        <v>233</v>
      </c>
      <c r="O1" t="s">
        <v>234</v>
      </c>
      <c r="P1" t="s">
        <v>9</v>
      </c>
      <c r="Q1" t="s">
        <v>235</v>
      </c>
      <c r="R1" t="s">
        <v>236</v>
      </c>
      <c r="S1" t="s">
        <v>10</v>
      </c>
      <c r="T1" t="s">
        <v>11</v>
      </c>
      <c r="U1" t="s">
        <v>12</v>
      </c>
      <c r="V1" t="s">
        <v>13</v>
      </c>
      <c r="W1" t="s">
        <v>14</v>
      </c>
      <c r="X1" t="s">
        <v>15</v>
      </c>
      <c r="Y1" t="s">
        <v>16</v>
      </c>
      <c r="Z1" t="s">
        <v>17</v>
      </c>
      <c r="AA1" t="s">
        <v>18</v>
      </c>
      <c r="AB1" t="s">
        <v>19</v>
      </c>
      <c r="AC1" t="s">
        <v>20</v>
      </c>
      <c r="AD1" t="s">
        <v>21</v>
      </c>
    </row>
    <row r="2" spans="1:30">
      <c r="A2">
        <v>75</v>
      </c>
      <c r="B2" t="s">
        <v>111</v>
      </c>
      <c r="C2" s="2" t="s">
        <v>68</v>
      </c>
      <c r="D2">
        <v>1</v>
      </c>
      <c r="E2" s="12">
        <v>1</v>
      </c>
      <c r="F2" s="86">
        <v>2006</v>
      </c>
      <c r="G2">
        <v>1</v>
      </c>
      <c r="H2" t="s">
        <v>27</v>
      </c>
      <c r="I2" t="s">
        <v>125</v>
      </c>
      <c r="J2" t="s">
        <v>126</v>
      </c>
      <c r="K2" s="47">
        <f>(PI()*(50)^2)</f>
        <v>7853.981633974483</v>
      </c>
      <c r="L2">
        <f>20+15+15</f>
        <v>50</v>
      </c>
      <c r="M2">
        <f>(K2*L2)/10000</f>
        <v>39.269908169872416</v>
      </c>
      <c r="O2" s="50">
        <f>5/(60*24)</f>
        <v>3.472222222222222E-3</v>
      </c>
      <c r="P2">
        <f>77/3</f>
        <v>25.666666666666668</v>
      </c>
      <c r="Q2" s="50">
        <f>O2*(3*2)</f>
        <v>2.0833333333333332E-2</v>
      </c>
      <c r="R2">
        <v>77</v>
      </c>
      <c r="T2" s="51"/>
      <c r="U2" s="51">
        <v>1</v>
      </c>
      <c r="V2" s="51"/>
      <c r="W2" s="51">
        <v>1</v>
      </c>
      <c r="X2" s="51"/>
      <c r="Y2" s="51"/>
      <c r="Z2" s="51">
        <v>1</v>
      </c>
      <c r="AA2" s="51"/>
      <c r="AB2">
        <v>2</v>
      </c>
      <c r="AC2" t="s">
        <v>24</v>
      </c>
      <c r="AD2" t="s">
        <v>127</v>
      </c>
    </row>
    <row r="3" spans="1:30">
      <c r="A3">
        <v>76</v>
      </c>
      <c r="B3" t="s">
        <v>111</v>
      </c>
      <c r="C3" s="2" t="s">
        <v>68</v>
      </c>
      <c r="D3">
        <v>1</v>
      </c>
      <c r="E3" s="12">
        <v>2</v>
      </c>
      <c r="F3" s="86">
        <v>2006</v>
      </c>
      <c r="G3">
        <v>1</v>
      </c>
      <c r="H3" t="s">
        <v>27</v>
      </c>
      <c r="I3" t="s">
        <v>125</v>
      </c>
      <c r="J3" t="s">
        <v>126</v>
      </c>
      <c r="K3">
        <f>(PI()*(30)^2)</f>
        <v>2827.4333882308138</v>
      </c>
      <c r="L3">
        <f>240+180+180</f>
        <v>600</v>
      </c>
      <c r="M3">
        <f>(K3*L3)/10000</f>
        <v>169.64600329384882</v>
      </c>
      <c r="O3">
        <f>5/(60*24)</f>
        <v>3.472222222222222E-3</v>
      </c>
      <c r="P3" s="50">
        <f>AVERAGE((14/6)+(14/6))</f>
        <v>4.666666666666667</v>
      </c>
      <c r="Q3">
        <f>(3000/60)/24</f>
        <v>2.0833333333333335</v>
      </c>
      <c r="R3">
        <v>77</v>
      </c>
      <c r="U3">
        <v>1</v>
      </c>
      <c r="Y3">
        <v>1</v>
      </c>
      <c r="AB3">
        <v>2</v>
      </c>
      <c r="AC3" t="s">
        <v>24</v>
      </c>
      <c r="AD3" t="s">
        <v>128</v>
      </c>
    </row>
    <row r="4" spans="1:30">
      <c r="A4">
        <v>77</v>
      </c>
      <c r="B4" t="s">
        <v>111</v>
      </c>
      <c r="C4" s="2" t="s">
        <v>68</v>
      </c>
      <c r="D4">
        <v>1</v>
      </c>
      <c r="E4" s="12">
        <v>3</v>
      </c>
      <c r="F4" s="86">
        <v>2006</v>
      </c>
      <c r="G4">
        <v>1</v>
      </c>
      <c r="H4" t="s">
        <v>27</v>
      </c>
      <c r="I4" t="s">
        <v>125</v>
      </c>
      <c r="J4" t="s">
        <v>126</v>
      </c>
      <c r="K4" s="50">
        <f>(PI()*(0.02)^2)</f>
        <v>1.2566370614359172E-3</v>
      </c>
      <c r="L4">
        <f>(40*3)/15</f>
        <v>8</v>
      </c>
      <c r="M4">
        <f>(K4*L4)/10000</f>
        <v>1.0053096491487338E-6</v>
      </c>
      <c r="O4">
        <v>1</v>
      </c>
      <c r="P4">
        <v>0</v>
      </c>
      <c r="Q4">
        <v>1</v>
      </c>
      <c r="R4">
        <v>77</v>
      </c>
      <c r="S4">
        <v>1</v>
      </c>
      <c r="V4">
        <v>1</v>
      </c>
      <c r="Y4">
        <v>1</v>
      </c>
      <c r="AB4">
        <v>1</v>
      </c>
      <c r="AC4" t="s">
        <v>24</v>
      </c>
      <c r="AD4" t="s">
        <v>129</v>
      </c>
    </row>
    <row r="5" spans="1:30">
      <c r="A5">
        <v>84</v>
      </c>
      <c r="B5" t="s">
        <v>111</v>
      </c>
      <c r="C5" s="3" t="s">
        <v>73</v>
      </c>
      <c r="D5">
        <v>0</v>
      </c>
      <c r="E5" s="12">
        <v>99</v>
      </c>
      <c r="F5" t="s">
        <v>24</v>
      </c>
      <c r="H5" t="s">
        <v>24</v>
      </c>
      <c r="I5" t="s">
        <v>24</v>
      </c>
      <c r="J5" t="s">
        <v>24</v>
      </c>
      <c r="K5" s="52"/>
      <c r="L5" s="52"/>
      <c r="M5" s="52"/>
      <c r="N5" s="52"/>
      <c r="O5" s="52"/>
      <c r="P5" s="52"/>
      <c r="Q5" s="52"/>
      <c r="R5" s="52"/>
      <c r="S5" s="52"/>
      <c r="T5" s="52"/>
      <c r="U5" s="52"/>
      <c r="V5" s="52"/>
      <c r="W5" s="52"/>
      <c r="X5" s="52"/>
      <c r="Y5" s="52"/>
      <c r="Z5" s="52"/>
      <c r="AA5" s="52"/>
      <c r="AB5" t="s">
        <v>24</v>
      </c>
      <c r="AC5" t="s">
        <v>24</v>
      </c>
      <c r="AD5" t="s">
        <v>135</v>
      </c>
    </row>
    <row r="6" spans="1:30">
      <c r="A6">
        <v>74</v>
      </c>
      <c r="B6" t="s">
        <v>111</v>
      </c>
      <c r="C6" s="4" t="s">
        <v>36</v>
      </c>
      <c r="D6">
        <v>1</v>
      </c>
      <c r="E6" s="12">
        <v>1</v>
      </c>
      <c r="F6" s="86">
        <v>2012</v>
      </c>
      <c r="G6">
        <v>1</v>
      </c>
      <c r="H6" t="s">
        <v>27</v>
      </c>
      <c r="I6" t="s">
        <v>123</v>
      </c>
      <c r="J6" t="s">
        <v>124</v>
      </c>
      <c r="K6" s="50">
        <f>(0.782*0.0254)</f>
        <v>1.98628E-2</v>
      </c>
      <c r="L6" s="50">
        <f>4*(100)</f>
        <v>400</v>
      </c>
      <c r="M6" s="50">
        <f>(K6*L6)/10000</f>
        <v>7.9451200000000004E-4</v>
      </c>
      <c r="N6" s="50"/>
      <c r="O6" s="50">
        <f>10/(60*24)</f>
        <v>6.9444444444444441E-3</v>
      </c>
      <c r="P6">
        <v>7</v>
      </c>
      <c r="Q6" s="50">
        <f>O6*((30+31)/7)</f>
        <v>6.0515873015873009E-2</v>
      </c>
      <c r="R6" s="50">
        <f>30+31</f>
        <v>61</v>
      </c>
      <c r="T6">
        <v>1</v>
      </c>
      <c r="V6">
        <v>1</v>
      </c>
      <c r="Z6">
        <v>1</v>
      </c>
      <c r="AB6">
        <v>2</v>
      </c>
      <c r="AC6" t="s">
        <v>24</v>
      </c>
      <c r="AD6" t="s">
        <v>24</v>
      </c>
    </row>
    <row r="7" spans="1:30">
      <c r="A7">
        <v>74</v>
      </c>
      <c r="B7" t="s">
        <v>111</v>
      </c>
      <c r="C7" s="4" t="s">
        <v>36</v>
      </c>
      <c r="D7">
        <v>1</v>
      </c>
      <c r="E7" s="12">
        <v>2</v>
      </c>
      <c r="F7" s="86">
        <v>2012</v>
      </c>
      <c r="G7">
        <v>1</v>
      </c>
      <c r="H7" t="s">
        <v>27</v>
      </c>
      <c r="I7" t="s">
        <v>123</v>
      </c>
      <c r="J7" t="s">
        <v>124</v>
      </c>
      <c r="K7" s="50">
        <f>0.0004*0.00015</f>
        <v>5.9999999999999995E-8</v>
      </c>
      <c r="L7" s="50">
        <f>4*(100)</f>
        <v>400</v>
      </c>
      <c r="M7" s="50">
        <f>(K7*L7)/10000</f>
        <v>2.3999999999999996E-9</v>
      </c>
      <c r="N7" s="50"/>
      <c r="O7" s="50">
        <f>20/(60*24)</f>
        <v>1.3888888888888888E-2</v>
      </c>
      <c r="P7">
        <v>7</v>
      </c>
      <c r="Q7" s="50">
        <f>O7*((30+31)/7)</f>
        <v>0.12103174603174602</v>
      </c>
      <c r="R7" s="50">
        <f>30+31</f>
        <v>61</v>
      </c>
      <c r="T7">
        <v>1</v>
      </c>
      <c r="V7">
        <v>1</v>
      </c>
      <c r="Z7">
        <v>1</v>
      </c>
    </row>
    <row r="8" spans="1:30" ht="16" thickBot="1">
      <c r="A8">
        <v>73</v>
      </c>
      <c r="B8" t="s">
        <v>111</v>
      </c>
      <c r="C8" s="5" t="s">
        <v>26</v>
      </c>
      <c r="D8">
        <v>1</v>
      </c>
      <c r="E8" s="12">
        <v>1</v>
      </c>
      <c r="F8" s="86">
        <v>2011</v>
      </c>
      <c r="G8">
        <v>1</v>
      </c>
      <c r="H8" t="s">
        <v>27</v>
      </c>
      <c r="I8" t="s">
        <v>120</v>
      </c>
      <c r="J8" t="s">
        <v>121</v>
      </c>
      <c r="K8">
        <v>475</v>
      </c>
      <c r="L8">
        <v>34</v>
      </c>
      <c r="M8">
        <f>(K8*L8)/10000</f>
        <v>1.615</v>
      </c>
      <c r="O8" s="50">
        <f>0.5/24</f>
        <v>2.0833333333333332E-2</v>
      </c>
      <c r="P8" s="50">
        <v>31</v>
      </c>
      <c r="Q8" s="50">
        <f>O8*2</f>
        <v>4.1666666666666664E-2</v>
      </c>
      <c r="R8">
        <v>61</v>
      </c>
      <c r="S8">
        <v>1</v>
      </c>
      <c r="AB8">
        <v>2</v>
      </c>
      <c r="AC8" t="s">
        <v>114</v>
      </c>
      <c r="AD8" t="s">
        <v>122</v>
      </c>
    </row>
    <row r="9" spans="1:30">
      <c r="A9">
        <v>80</v>
      </c>
      <c r="B9" t="s">
        <v>111</v>
      </c>
      <c r="C9" s="6" t="s">
        <v>35</v>
      </c>
      <c r="D9">
        <v>1</v>
      </c>
      <c r="E9" s="12">
        <v>1</v>
      </c>
      <c r="F9" s="86">
        <v>2014</v>
      </c>
      <c r="G9">
        <v>1</v>
      </c>
      <c r="H9" t="s">
        <v>27</v>
      </c>
      <c r="I9" t="s">
        <v>130</v>
      </c>
      <c r="J9" t="s">
        <v>131</v>
      </c>
      <c r="K9" s="53">
        <f>2.5*5</f>
        <v>12.5</v>
      </c>
      <c r="L9" s="53">
        <v>6</v>
      </c>
      <c r="M9" s="53">
        <f>(K9*L9)/10000</f>
        <v>7.4999999999999997E-3</v>
      </c>
      <c r="N9" s="54"/>
      <c r="O9" s="56">
        <f>(30/60)/(60*24)</f>
        <v>3.4722222222222224E-4</v>
      </c>
      <c r="P9" s="56">
        <v>0</v>
      </c>
      <c r="Q9" s="56">
        <f>O9*10</f>
        <v>3.4722222222222225E-3</v>
      </c>
      <c r="R9" s="53">
        <v>27393</v>
      </c>
      <c r="S9" s="53"/>
      <c r="T9" s="53"/>
      <c r="U9" s="53">
        <v>1</v>
      </c>
      <c r="V9" s="53"/>
      <c r="W9" s="53">
        <v>1</v>
      </c>
      <c r="X9" s="53"/>
      <c r="Y9" s="53"/>
      <c r="Z9" s="53"/>
      <c r="AA9" s="53"/>
      <c r="AB9">
        <v>2</v>
      </c>
      <c r="AC9" t="s">
        <v>24</v>
      </c>
      <c r="AD9" t="s">
        <v>24</v>
      </c>
    </row>
    <row r="10" spans="1:30">
      <c r="A10">
        <v>88</v>
      </c>
      <c r="B10" t="s">
        <v>111</v>
      </c>
      <c r="C10" s="8" t="s">
        <v>38</v>
      </c>
      <c r="D10">
        <v>1</v>
      </c>
      <c r="E10" s="12">
        <v>1</v>
      </c>
      <c r="F10" s="86">
        <v>2006</v>
      </c>
      <c r="G10">
        <v>1</v>
      </c>
      <c r="H10" t="s">
        <v>27</v>
      </c>
      <c r="I10" t="s">
        <v>137</v>
      </c>
      <c r="J10" t="s">
        <v>138</v>
      </c>
      <c r="K10" s="54">
        <v>500</v>
      </c>
      <c r="L10" s="54">
        <v>19</v>
      </c>
      <c r="M10" s="54">
        <f>(K10*L10)/10000</f>
        <v>0.95</v>
      </c>
      <c r="N10" s="54"/>
      <c r="O10" s="54">
        <f>3/24</f>
        <v>0.125</v>
      </c>
      <c r="P10" s="54">
        <v>769.77499999999998</v>
      </c>
      <c r="Q10" s="55">
        <f>O10*(25)</f>
        <v>3.125</v>
      </c>
      <c r="R10" s="54">
        <v>10346</v>
      </c>
      <c r="S10" s="54"/>
      <c r="T10" s="54"/>
      <c r="U10" s="54">
        <v>1</v>
      </c>
      <c r="V10" s="54">
        <v>1</v>
      </c>
      <c r="W10" s="54"/>
      <c r="X10" s="54"/>
      <c r="Y10" s="54"/>
      <c r="Z10" s="54"/>
      <c r="AA10" s="54"/>
      <c r="AB10">
        <v>0</v>
      </c>
      <c r="AC10" t="s">
        <v>24</v>
      </c>
      <c r="AD10" t="s">
        <v>139</v>
      </c>
    </row>
    <row r="11" spans="1:30">
      <c r="A11">
        <v>87</v>
      </c>
      <c r="B11" t="s">
        <v>111</v>
      </c>
      <c r="C11" s="9" t="s">
        <v>30</v>
      </c>
      <c r="D11">
        <v>0</v>
      </c>
      <c r="E11" s="12">
        <v>99</v>
      </c>
      <c r="F11" t="s">
        <v>24</v>
      </c>
      <c r="H11" t="s">
        <v>24</v>
      </c>
      <c r="I11" t="s">
        <v>24</v>
      </c>
      <c r="J11" t="s">
        <v>24</v>
      </c>
      <c r="K11" s="52"/>
      <c r="L11" s="52"/>
      <c r="M11" s="52"/>
      <c r="N11" s="52"/>
      <c r="O11" s="52"/>
      <c r="P11" s="52"/>
      <c r="Q11" s="52"/>
      <c r="R11" s="52"/>
      <c r="S11" s="52"/>
      <c r="T11" s="52"/>
      <c r="U11" s="52"/>
      <c r="V11" s="52"/>
      <c r="W11" s="52"/>
      <c r="X11" s="52"/>
      <c r="Y11" s="52"/>
      <c r="Z11" s="52"/>
      <c r="AA11" s="52"/>
      <c r="AB11" t="s">
        <v>24</v>
      </c>
      <c r="AC11" t="s">
        <v>24</v>
      </c>
      <c r="AD11" t="s">
        <v>24</v>
      </c>
    </row>
    <row r="12" spans="1:30">
      <c r="A12">
        <v>63</v>
      </c>
      <c r="B12" t="s">
        <v>111</v>
      </c>
      <c r="C12" s="7" t="s">
        <v>23</v>
      </c>
      <c r="D12">
        <v>0</v>
      </c>
      <c r="E12" s="12">
        <v>99</v>
      </c>
      <c r="F12" t="s">
        <v>24</v>
      </c>
      <c r="H12" t="s">
        <v>24</v>
      </c>
      <c r="I12" t="s">
        <v>24</v>
      </c>
      <c r="J12" t="s">
        <v>24</v>
      </c>
      <c r="K12" s="52"/>
      <c r="L12" s="52"/>
      <c r="M12" s="52"/>
      <c r="N12" s="52"/>
      <c r="O12" s="52"/>
      <c r="P12" s="52"/>
      <c r="Q12" s="52"/>
      <c r="R12" s="52"/>
      <c r="S12" s="52"/>
      <c r="T12" s="52"/>
      <c r="U12" s="52"/>
      <c r="V12" s="52"/>
      <c r="W12" s="52"/>
      <c r="X12" s="52"/>
      <c r="Y12" s="52"/>
      <c r="Z12" s="52"/>
      <c r="AA12" s="52"/>
      <c r="AB12" t="s">
        <v>24</v>
      </c>
      <c r="AC12" t="s">
        <v>24</v>
      </c>
      <c r="AD12" t="s">
        <v>24</v>
      </c>
    </row>
    <row r="13" spans="1:30">
      <c r="A13">
        <v>79</v>
      </c>
      <c r="B13" t="s">
        <v>111</v>
      </c>
      <c r="C13" s="10" t="s">
        <v>72</v>
      </c>
      <c r="D13">
        <v>0</v>
      </c>
      <c r="E13" s="12">
        <v>99</v>
      </c>
      <c r="F13" t="s">
        <v>114</v>
      </c>
      <c r="H13" t="s">
        <v>114</v>
      </c>
      <c r="I13" t="s">
        <v>114</v>
      </c>
      <c r="J13" t="s">
        <v>114</v>
      </c>
      <c r="K13" s="52" t="s">
        <v>114</v>
      </c>
      <c r="L13" s="52" t="s">
        <v>114</v>
      </c>
      <c r="M13" s="52" t="s">
        <v>114</v>
      </c>
      <c r="N13" s="52"/>
      <c r="O13" s="52" t="s">
        <v>114</v>
      </c>
      <c r="P13" s="52" t="s">
        <v>114</v>
      </c>
      <c r="Q13" s="52" t="s">
        <v>114</v>
      </c>
      <c r="R13" s="52" t="s">
        <v>114</v>
      </c>
      <c r="S13" s="52"/>
      <c r="T13" s="52"/>
      <c r="U13" s="52"/>
      <c r="V13" s="52"/>
      <c r="W13" s="52"/>
      <c r="X13" s="52"/>
      <c r="Y13" s="52"/>
      <c r="Z13" s="52"/>
      <c r="AA13" s="52"/>
      <c r="AB13" t="s">
        <v>24</v>
      </c>
      <c r="AC13" t="s">
        <v>114</v>
      </c>
      <c r="AD13" t="s">
        <v>114</v>
      </c>
    </row>
    <row r="14" spans="1:30">
      <c r="A14">
        <v>65</v>
      </c>
      <c r="B14" t="s">
        <v>111</v>
      </c>
      <c r="C14" s="11" t="s">
        <v>60</v>
      </c>
      <c r="D14">
        <v>0</v>
      </c>
      <c r="E14" s="12">
        <v>99</v>
      </c>
      <c r="F14" t="s">
        <v>24</v>
      </c>
      <c r="H14" t="s">
        <v>24</v>
      </c>
      <c r="I14" t="s">
        <v>24</v>
      </c>
      <c r="J14" t="s">
        <v>24</v>
      </c>
      <c r="K14" s="52"/>
      <c r="L14" s="52"/>
      <c r="M14" s="52"/>
      <c r="N14" s="52"/>
      <c r="O14" s="52"/>
      <c r="P14" s="52"/>
      <c r="Q14" s="52"/>
      <c r="R14" s="52"/>
      <c r="S14" s="52"/>
      <c r="T14" s="52"/>
      <c r="U14" s="52"/>
      <c r="V14" s="52"/>
      <c r="W14" s="52"/>
      <c r="X14" s="52"/>
      <c r="Y14" s="52"/>
      <c r="Z14" s="52"/>
      <c r="AA14" s="52"/>
      <c r="AB14" t="s">
        <v>24</v>
      </c>
      <c r="AC14" t="s">
        <v>24</v>
      </c>
      <c r="AD14" t="s">
        <v>24</v>
      </c>
    </row>
    <row r="15" spans="1:30">
      <c r="A15">
        <v>64</v>
      </c>
      <c r="B15" t="s">
        <v>111</v>
      </c>
      <c r="C15" t="s">
        <v>52</v>
      </c>
      <c r="D15">
        <v>0</v>
      </c>
      <c r="E15" s="12">
        <v>99</v>
      </c>
      <c r="F15" t="s">
        <v>24</v>
      </c>
      <c r="H15" t="s">
        <v>24</v>
      </c>
      <c r="I15" t="s">
        <v>24</v>
      </c>
      <c r="J15" t="s">
        <v>24</v>
      </c>
      <c r="K15" s="52"/>
      <c r="L15" s="52"/>
      <c r="M15" s="52"/>
      <c r="N15" s="52"/>
      <c r="O15" s="52"/>
      <c r="P15" s="52"/>
      <c r="Q15" s="52"/>
      <c r="R15" s="52"/>
      <c r="S15" s="52"/>
      <c r="T15" s="52"/>
      <c r="U15" s="52"/>
      <c r="V15" s="52"/>
      <c r="W15" s="52"/>
      <c r="X15" s="52"/>
      <c r="Y15" s="52"/>
      <c r="Z15" s="52"/>
      <c r="AA15" s="52"/>
      <c r="AB15" t="s">
        <v>24</v>
      </c>
      <c r="AC15" t="s">
        <v>24</v>
      </c>
      <c r="AD15" t="s">
        <v>24</v>
      </c>
    </row>
    <row r="16" spans="1:30">
      <c r="A16">
        <v>72</v>
      </c>
      <c r="B16" t="s">
        <v>111</v>
      </c>
      <c r="C16" s="11" t="s">
        <v>41</v>
      </c>
      <c r="D16">
        <v>0</v>
      </c>
      <c r="E16" s="12">
        <v>99</v>
      </c>
      <c r="F16" t="s">
        <v>24</v>
      </c>
      <c r="H16" t="s">
        <v>24</v>
      </c>
      <c r="I16" t="s">
        <v>24</v>
      </c>
      <c r="J16" t="s">
        <v>24</v>
      </c>
      <c r="K16" s="52"/>
      <c r="L16" s="52"/>
      <c r="M16" s="52"/>
      <c r="N16" s="52"/>
      <c r="O16" s="52"/>
      <c r="P16" s="52"/>
      <c r="Q16" s="52"/>
      <c r="R16" s="52"/>
      <c r="S16" s="52"/>
      <c r="T16" s="52"/>
      <c r="U16" s="52"/>
      <c r="V16" s="52"/>
      <c r="W16" s="52"/>
      <c r="X16" s="52"/>
      <c r="Y16" s="52"/>
      <c r="Z16" s="52"/>
      <c r="AA16" s="52"/>
      <c r="AB16" t="s">
        <v>24</v>
      </c>
      <c r="AC16" t="s">
        <v>24</v>
      </c>
      <c r="AD16" t="s">
        <v>24</v>
      </c>
    </row>
    <row r="17" spans="1:30">
      <c r="A17">
        <v>86</v>
      </c>
      <c r="B17" t="s">
        <v>111</v>
      </c>
      <c r="C17" t="s">
        <v>42</v>
      </c>
      <c r="D17">
        <v>0</v>
      </c>
      <c r="E17" s="12">
        <v>99</v>
      </c>
      <c r="F17" t="s">
        <v>24</v>
      </c>
      <c r="H17" t="s">
        <v>24</v>
      </c>
      <c r="I17" t="s">
        <v>24</v>
      </c>
      <c r="J17" t="s">
        <v>24</v>
      </c>
      <c r="K17" s="52"/>
      <c r="L17" s="52"/>
      <c r="M17" s="52"/>
      <c r="N17" s="52"/>
      <c r="O17" s="52"/>
      <c r="P17" s="52"/>
      <c r="Q17" s="52"/>
      <c r="R17" s="52"/>
      <c r="S17" s="52"/>
      <c r="T17" s="52"/>
      <c r="U17" s="52"/>
      <c r="V17" s="52"/>
      <c r="W17" s="52"/>
      <c r="X17" s="52"/>
      <c r="Y17" s="52"/>
      <c r="Z17" s="52"/>
      <c r="AA17" s="52"/>
      <c r="AB17" t="s">
        <v>24</v>
      </c>
      <c r="AC17" t="s">
        <v>24</v>
      </c>
      <c r="AD17" t="s">
        <v>24</v>
      </c>
    </row>
    <row r="18" spans="1:30">
      <c r="A18">
        <v>83</v>
      </c>
      <c r="B18" t="s">
        <v>111</v>
      </c>
      <c r="C18" s="11" t="s">
        <v>31</v>
      </c>
      <c r="D18">
        <v>1</v>
      </c>
      <c r="E18" s="12">
        <v>1</v>
      </c>
      <c r="F18" s="86">
        <v>2013</v>
      </c>
      <c r="G18">
        <v>2</v>
      </c>
      <c r="H18" t="s">
        <v>132</v>
      </c>
      <c r="I18" t="s">
        <v>33</v>
      </c>
      <c r="J18" t="s">
        <v>133</v>
      </c>
      <c r="K18">
        <f>PI()*(0.04^2)</f>
        <v>5.0265482457436689E-3</v>
      </c>
      <c r="L18">
        <v>156</v>
      </c>
      <c r="M18">
        <f>(K18*L18)/10000</f>
        <v>7.8414152633601232E-5</v>
      </c>
      <c r="O18">
        <v>1</v>
      </c>
      <c r="P18" s="50">
        <f>(AVERAGE(250,500)*365)</f>
        <v>136875</v>
      </c>
      <c r="Q18" s="50">
        <f>9000*365</f>
        <v>3285000</v>
      </c>
      <c r="R18">
        <v>3285000</v>
      </c>
      <c r="T18">
        <v>1</v>
      </c>
      <c r="W18">
        <v>1</v>
      </c>
      <c r="Y18">
        <v>1</v>
      </c>
      <c r="AB18">
        <v>0</v>
      </c>
      <c r="AC18" t="s">
        <v>24</v>
      </c>
      <c r="AD18" t="s">
        <v>134</v>
      </c>
    </row>
    <row r="19" spans="1:30">
      <c r="A19">
        <v>81</v>
      </c>
      <c r="B19" t="s">
        <v>111</v>
      </c>
      <c r="C19" t="s">
        <v>53</v>
      </c>
      <c r="D19">
        <v>0</v>
      </c>
      <c r="E19" s="12">
        <v>99</v>
      </c>
      <c r="F19" t="s">
        <v>24</v>
      </c>
      <c r="H19" t="s">
        <v>24</v>
      </c>
      <c r="I19" t="s">
        <v>24</v>
      </c>
      <c r="J19" t="s">
        <v>24</v>
      </c>
      <c r="K19" s="52"/>
      <c r="L19" s="52"/>
      <c r="M19" s="52"/>
      <c r="N19" s="52"/>
      <c r="O19" s="52"/>
      <c r="P19" s="52"/>
      <c r="Q19" s="52"/>
      <c r="R19" s="52"/>
      <c r="S19" s="52"/>
      <c r="T19" s="52"/>
      <c r="U19" s="52"/>
      <c r="V19" s="52"/>
      <c r="W19" s="52"/>
      <c r="X19" s="52"/>
      <c r="Y19" s="52"/>
      <c r="Z19" s="52"/>
      <c r="AA19" s="52"/>
      <c r="AB19" t="s">
        <v>24</v>
      </c>
      <c r="AC19" t="s">
        <v>24</v>
      </c>
      <c r="AD19" t="s">
        <v>24</v>
      </c>
    </row>
    <row r="20" spans="1:30">
      <c r="A20">
        <v>66</v>
      </c>
      <c r="B20" t="s">
        <v>111</v>
      </c>
      <c r="C20" t="s">
        <v>61</v>
      </c>
      <c r="D20">
        <v>1</v>
      </c>
      <c r="E20" s="12">
        <v>1</v>
      </c>
      <c r="F20" s="86">
        <v>2009</v>
      </c>
      <c r="G20">
        <v>1</v>
      </c>
      <c r="H20" t="s">
        <v>27</v>
      </c>
      <c r="I20" t="s">
        <v>112</v>
      </c>
      <c r="J20" t="s">
        <v>113</v>
      </c>
      <c r="K20" s="50">
        <f>(PI()*(100)^2)</f>
        <v>31415.926535897932</v>
      </c>
      <c r="L20">
        <f>44+43</f>
        <v>87</v>
      </c>
      <c r="M20">
        <f>(K20*L20)/10000</f>
        <v>273.31856086231198</v>
      </c>
      <c r="O20" s="50">
        <f>15/(60*24)</f>
        <v>1.0416666666666666E-2</v>
      </c>
      <c r="P20">
        <v>292</v>
      </c>
      <c r="Q20" s="50">
        <f>O20*2</f>
        <v>2.0833333333333332E-2</v>
      </c>
      <c r="R20">
        <v>439</v>
      </c>
      <c r="U20">
        <v>1</v>
      </c>
      <c r="W20">
        <v>1</v>
      </c>
      <c r="AB20">
        <v>2</v>
      </c>
      <c r="AC20" t="s">
        <v>114</v>
      </c>
      <c r="AD20" t="s">
        <v>115</v>
      </c>
    </row>
    <row r="21" spans="1:30">
      <c r="A21">
        <v>67</v>
      </c>
      <c r="B21" t="s">
        <v>111</v>
      </c>
      <c r="C21" t="s">
        <v>61</v>
      </c>
      <c r="D21">
        <v>1</v>
      </c>
      <c r="E21" s="12">
        <v>3</v>
      </c>
      <c r="F21" s="86">
        <v>2009</v>
      </c>
      <c r="G21">
        <v>1</v>
      </c>
      <c r="H21" t="s">
        <v>27</v>
      </c>
      <c r="I21" t="s">
        <v>112</v>
      </c>
      <c r="J21" t="s">
        <v>113</v>
      </c>
      <c r="K21">
        <v>31416</v>
      </c>
      <c r="L21">
        <v>104</v>
      </c>
      <c r="M21">
        <f>(K21*L21)/10000</f>
        <v>326.72640000000001</v>
      </c>
      <c r="O21" s="50">
        <f>10/(60*24)</f>
        <v>6.9444444444444441E-3</v>
      </c>
      <c r="P21">
        <v>326</v>
      </c>
      <c r="Q21" s="50">
        <f>O21*(4*8)</f>
        <v>0.22222222222222221</v>
      </c>
      <c r="R21">
        <v>379</v>
      </c>
      <c r="U21">
        <v>1</v>
      </c>
      <c r="W21">
        <v>1</v>
      </c>
      <c r="AB21">
        <v>2</v>
      </c>
      <c r="AC21" t="s">
        <v>114</v>
      </c>
      <c r="AD21" t="s">
        <v>116</v>
      </c>
    </row>
    <row r="22" spans="1:30">
      <c r="A22">
        <v>68</v>
      </c>
      <c r="B22" t="s">
        <v>111</v>
      </c>
      <c r="C22" t="s">
        <v>61</v>
      </c>
      <c r="D22">
        <v>1</v>
      </c>
      <c r="E22" s="12">
        <v>4</v>
      </c>
      <c r="F22" s="86">
        <v>2009</v>
      </c>
      <c r="G22">
        <v>1</v>
      </c>
      <c r="H22" t="s">
        <v>27</v>
      </c>
      <c r="I22" t="s">
        <v>112</v>
      </c>
      <c r="J22" t="s">
        <v>113</v>
      </c>
      <c r="K22">
        <v>400</v>
      </c>
      <c r="L22" s="50">
        <f>108*3</f>
        <v>324</v>
      </c>
      <c r="M22">
        <f>(K22*L22)/10000</f>
        <v>12.96</v>
      </c>
      <c r="O22" s="50">
        <f>1/24</f>
        <v>4.1666666666666664E-2</v>
      </c>
      <c r="P22">
        <v>0</v>
      </c>
      <c r="Q22" s="50">
        <f>O22*1</f>
        <v>4.1666666666666664E-2</v>
      </c>
      <c r="R22">
        <f>365*2</f>
        <v>730</v>
      </c>
      <c r="T22">
        <v>1</v>
      </c>
      <c r="X22">
        <v>1</v>
      </c>
      <c r="AB22">
        <v>1</v>
      </c>
      <c r="AC22" t="s">
        <v>114</v>
      </c>
      <c r="AD22" t="s">
        <v>117</v>
      </c>
    </row>
    <row r="23" spans="1:30">
      <c r="A23">
        <v>69</v>
      </c>
      <c r="B23" t="s">
        <v>111</v>
      </c>
      <c r="C23" t="s">
        <v>61</v>
      </c>
      <c r="D23">
        <v>1</v>
      </c>
      <c r="E23" s="12">
        <v>5</v>
      </c>
      <c r="F23" s="86">
        <v>2009</v>
      </c>
      <c r="G23">
        <v>1</v>
      </c>
      <c r="H23" t="s">
        <v>27</v>
      </c>
      <c r="I23" t="s">
        <v>112</v>
      </c>
      <c r="J23" t="s">
        <v>113</v>
      </c>
      <c r="K23">
        <f>2*20</f>
        <v>40</v>
      </c>
      <c r="L23" s="50">
        <f>108*6</f>
        <v>648</v>
      </c>
      <c r="M23">
        <f>(K23*L23)/10000</f>
        <v>2.5920000000000001</v>
      </c>
      <c r="O23" s="50">
        <f>15/(60*24)</f>
        <v>1.0416666666666666E-2</v>
      </c>
      <c r="P23">
        <v>0</v>
      </c>
      <c r="Q23" s="50">
        <f>O23*1</f>
        <v>1.0416666666666666E-2</v>
      </c>
      <c r="R23">
        <f>730</f>
        <v>730</v>
      </c>
      <c r="T23">
        <v>1</v>
      </c>
      <c r="W23">
        <v>1</v>
      </c>
      <c r="AB23">
        <v>0</v>
      </c>
      <c r="AC23" t="s">
        <v>114</v>
      </c>
      <c r="AD23" t="s">
        <v>118</v>
      </c>
    </row>
    <row r="24" spans="1:30">
      <c r="A24">
        <v>70</v>
      </c>
      <c r="B24" t="s">
        <v>111</v>
      </c>
      <c r="C24" t="s">
        <v>61</v>
      </c>
      <c r="D24">
        <v>1</v>
      </c>
      <c r="E24" s="12">
        <v>6</v>
      </c>
      <c r="F24" s="86">
        <v>2009</v>
      </c>
      <c r="G24">
        <v>1</v>
      </c>
      <c r="H24" t="s">
        <v>27</v>
      </c>
      <c r="I24" t="s">
        <v>112</v>
      </c>
      <c r="J24" t="s">
        <v>113</v>
      </c>
      <c r="K24">
        <v>1</v>
      </c>
      <c r="L24">
        <f>4*108</f>
        <v>432</v>
      </c>
      <c r="M24">
        <f>(K24*L24)/10000</f>
        <v>4.3200000000000002E-2</v>
      </c>
      <c r="O24" s="50">
        <f>10/(60*24)</f>
        <v>6.9444444444444441E-3</v>
      </c>
      <c r="P24">
        <v>0</v>
      </c>
      <c r="Q24" s="50">
        <f>O24*1</f>
        <v>6.9444444444444441E-3</v>
      </c>
      <c r="R24">
        <f>730</f>
        <v>730</v>
      </c>
      <c r="V24">
        <v>1</v>
      </c>
      <c r="AB24">
        <v>0</v>
      </c>
      <c r="AC24" t="s">
        <v>114</v>
      </c>
      <c r="AD24" t="s">
        <v>119</v>
      </c>
    </row>
    <row r="25" spans="1:30">
      <c r="A25">
        <v>71</v>
      </c>
      <c r="B25" t="s">
        <v>111</v>
      </c>
      <c r="C25" s="11" t="s">
        <v>54</v>
      </c>
      <c r="D25">
        <v>0</v>
      </c>
      <c r="E25" s="12">
        <v>99</v>
      </c>
      <c r="F25" t="s">
        <v>24</v>
      </c>
      <c r="H25" t="s">
        <v>24</v>
      </c>
      <c r="I25" t="s">
        <v>24</v>
      </c>
      <c r="J25" t="s">
        <v>24</v>
      </c>
      <c r="K25" s="52"/>
      <c r="L25" s="52"/>
      <c r="M25" s="52"/>
      <c r="N25" s="52"/>
      <c r="O25" s="52"/>
      <c r="P25" s="52"/>
      <c r="Q25" s="52"/>
      <c r="R25" s="52"/>
      <c r="S25" s="52"/>
      <c r="T25" s="52"/>
      <c r="U25" s="52"/>
      <c r="V25" s="52"/>
      <c r="W25" s="52"/>
      <c r="X25" s="52"/>
      <c r="Y25" s="52"/>
      <c r="Z25" s="52"/>
      <c r="AA25" s="52"/>
      <c r="AB25" t="s">
        <v>24</v>
      </c>
      <c r="AC25" t="s">
        <v>24</v>
      </c>
      <c r="AD25" t="s">
        <v>24</v>
      </c>
    </row>
    <row r="26" spans="1:30">
      <c r="A26">
        <v>78</v>
      </c>
      <c r="B26" t="s">
        <v>111</v>
      </c>
      <c r="C26" t="s">
        <v>77</v>
      </c>
      <c r="D26">
        <v>0</v>
      </c>
      <c r="E26" s="12">
        <v>99</v>
      </c>
      <c r="F26" t="s">
        <v>114</v>
      </c>
      <c r="H26" t="s">
        <v>114</v>
      </c>
      <c r="I26" t="s">
        <v>114</v>
      </c>
      <c r="J26" t="s">
        <v>114</v>
      </c>
      <c r="K26" s="52" t="s">
        <v>114</v>
      </c>
      <c r="L26" s="52" t="s">
        <v>114</v>
      </c>
      <c r="M26" s="52" t="s">
        <v>114</v>
      </c>
      <c r="N26" s="52"/>
      <c r="O26" s="52" t="s">
        <v>114</v>
      </c>
      <c r="P26" s="52" t="s">
        <v>114</v>
      </c>
      <c r="Q26" s="52"/>
      <c r="R26" s="52" t="s">
        <v>114</v>
      </c>
      <c r="S26" s="52"/>
      <c r="T26" s="52"/>
      <c r="U26" s="52"/>
      <c r="V26" s="52"/>
      <c r="W26" s="52"/>
      <c r="X26" s="52"/>
      <c r="Y26" s="52"/>
      <c r="Z26" s="52"/>
      <c r="AA26" s="52"/>
      <c r="AB26" t="s">
        <v>24</v>
      </c>
      <c r="AC26" t="s">
        <v>114</v>
      </c>
      <c r="AD26" t="s">
        <v>114</v>
      </c>
    </row>
    <row r="27" spans="1:30">
      <c r="A27">
        <v>85</v>
      </c>
      <c r="B27" t="s">
        <v>111</v>
      </c>
      <c r="C27" s="11" t="s">
        <v>55</v>
      </c>
      <c r="D27">
        <v>0</v>
      </c>
      <c r="E27" s="12">
        <v>99</v>
      </c>
      <c r="F27" t="s">
        <v>24</v>
      </c>
      <c r="H27" t="s">
        <v>24</v>
      </c>
      <c r="I27" t="s">
        <v>24</v>
      </c>
      <c r="J27" t="s">
        <v>24</v>
      </c>
      <c r="K27" s="52"/>
      <c r="L27" s="52"/>
      <c r="M27" s="52"/>
      <c r="N27" s="52"/>
      <c r="O27" s="52"/>
      <c r="P27" s="52"/>
      <c r="Q27" s="52"/>
      <c r="R27" s="52"/>
      <c r="S27" s="52"/>
      <c r="T27" s="52"/>
      <c r="U27" s="52"/>
      <c r="V27" s="52"/>
      <c r="W27" s="52"/>
      <c r="X27" s="52"/>
      <c r="Y27" s="52"/>
      <c r="Z27" s="52"/>
      <c r="AA27" s="52"/>
      <c r="AB27" t="s">
        <v>24</v>
      </c>
      <c r="AC27" t="s">
        <v>24</v>
      </c>
      <c r="AD27" t="s">
        <v>136</v>
      </c>
    </row>
    <row r="28" spans="1:30">
      <c r="A28">
        <v>82</v>
      </c>
      <c r="B28" t="s">
        <v>111</v>
      </c>
      <c r="C28" t="s">
        <v>43</v>
      </c>
      <c r="D28">
        <v>0</v>
      </c>
      <c r="E28" s="12">
        <v>99</v>
      </c>
      <c r="F28" s="86">
        <v>2013</v>
      </c>
      <c r="H28" t="s">
        <v>24</v>
      </c>
      <c r="I28" t="s">
        <v>24</v>
      </c>
      <c r="J28" t="s">
        <v>24</v>
      </c>
      <c r="K28" s="52"/>
      <c r="L28" s="52"/>
      <c r="M28" s="52"/>
      <c r="N28" s="52"/>
      <c r="O28" s="52"/>
      <c r="P28" s="52"/>
      <c r="Q28" s="52"/>
      <c r="R28" s="52"/>
      <c r="S28" s="52"/>
      <c r="T28" s="52"/>
      <c r="U28" s="52"/>
      <c r="V28" s="52"/>
      <c r="W28" s="52"/>
      <c r="X28" s="52"/>
      <c r="Y28" s="52"/>
      <c r="Z28" s="52"/>
      <c r="AA28" s="52"/>
      <c r="AB28" t="s">
        <v>24</v>
      </c>
      <c r="AC28" t="s">
        <v>24</v>
      </c>
      <c r="AD28" t="s">
        <v>24</v>
      </c>
    </row>
    <row r="29" spans="1:30">
      <c r="A29">
        <v>115</v>
      </c>
      <c r="B29" t="s">
        <v>140</v>
      </c>
      <c r="C29" s="2" t="s">
        <v>68</v>
      </c>
      <c r="D29">
        <v>1</v>
      </c>
      <c r="E29" s="12">
        <v>1</v>
      </c>
      <c r="F29" s="86">
        <v>2006</v>
      </c>
      <c r="G29">
        <v>1</v>
      </c>
      <c r="H29" t="s">
        <v>141</v>
      </c>
      <c r="I29" t="s">
        <v>69</v>
      </c>
      <c r="J29" t="s">
        <v>213</v>
      </c>
      <c r="K29">
        <v>7853.98</v>
      </c>
      <c r="L29">
        <v>50</v>
      </c>
      <c r="M29">
        <f>(K29*L29)/10000</f>
        <v>39.2699</v>
      </c>
      <c r="O29">
        <v>2.0833299999999999E-2</v>
      </c>
      <c r="P29">
        <f>(30*4)/3</f>
        <v>40</v>
      </c>
      <c r="Q29">
        <f>(((30*30)+(20*30))/60)/24</f>
        <v>1.0416666666666667</v>
      </c>
      <c r="R29">
        <f>30*4</f>
        <v>120</v>
      </c>
      <c r="U29">
        <v>1</v>
      </c>
      <c r="Y29">
        <v>1</v>
      </c>
      <c r="AB29">
        <v>3</v>
      </c>
      <c r="AD29" s="14"/>
    </row>
    <row r="30" spans="1:30">
      <c r="A30">
        <v>116</v>
      </c>
      <c r="B30" t="s">
        <v>140</v>
      </c>
      <c r="C30" s="2" t="s">
        <v>68</v>
      </c>
      <c r="D30">
        <v>1</v>
      </c>
      <c r="E30" s="44">
        <v>2</v>
      </c>
      <c r="F30" s="86">
        <v>2006</v>
      </c>
      <c r="G30" s="15">
        <v>1</v>
      </c>
      <c r="H30" s="15" t="s">
        <v>141</v>
      </c>
      <c r="I30" s="15" t="s">
        <v>69</v>
      </c>
      <c r="J30" s="15" t="s">
        <v>214</v>
      </c>
      <c r="K30" s="15">
        <v>2827.43</v>
      </c>
      <c r="L30" s="15">
        <f>240+180+180</f>
        <v>600</v>
      </c>
      <c r="M30" s="15">
        <f>(K30*L30)/10000</f>
        <v>169.64580000000001</v>
      </c>
      <c r="N30" s="15"/>
      <c r="O30" s="24">
        <f>((3000/60)/24)/(240+180+180)</f>
        <v>3.4722222222222225E-3</v>
      </c>
      <c r="P30" s="15">
        <f>(30*4)/3</f>
        <v>40</v>
      </c>
      <c r="Q30" s="15">
        <f>(3000/60)/24</f>
        <v>2.0833333333333335</v>
      </c>
      <c r="R30" s="15">
        <v>120</v>
      </c>
      <c r="S30" s="15"/>
      <c r="T30" s="15"/>
      <c r="U30" s="15">
        <v>1</v>
      </c>
      <c r="V30" s="15"/>
      <c r="W30" s="15"/>
      <c r="X30" s="15"/>
      <c r="Y30" s="15">
        <v>1</v>
      </c>
      <c r="Z30" s="15"/>
      <c r="AA30" s="15"/>
      <c r="AB30" s="15">
        <v>3</v>
      </c>
      <c r="AC30" s="15"/>
      <c r="AD30" s="16"/>
    </row>
    <row r="31" spans="1:30">
      <c r="A31">
        <v>119</v>
      </c>
      <c r="B31" t="s">
        <v>140</v>
      </c>
      <c r="C31" s="3" t="s">
        <v>73</v>
      </c>
      <c r="D31">
        <v>0</v>
      </c>
      <c r="E31" s="12">
        <v>99</v>
      </c>
      <c r="F31" s="17"/>
      <c r="G31" s="17"/>
      <c r="H31" s="17"/>
      <c r="I31" s="17"/>
      <c r="J31" s="17"/>
      <c r="K31" s="26"/>
      <c r="L31" s="26"/>
      <c r="M31" s="26"/>
      <c r="N31" s="26"/>
      <c r="O31" s="26"/>
      <c r="P31" s="26"/>
      <c r="Q31" s="26"/>
      <c r="R31" s="26"/>
      <c r="S31" s="26"/>
      <c r="T31" s="26"/>
      <c r="U31" s="26"/>
      <c r="V31" s="26"/>
      <c r="W31" s="26"/>
      <c r="X31" s="26"/>
      <c r="Y31" s="26"/>
      <c r="Z31" s="26"/>
      <c r="AA31" s="26"/>
      <c r="AB31" s="26"/>
      <c r="AC31" s="17"/>
      <c r="AD31" s="17"/>
    </row>
    <row r="32" spans="1:30">
      <c r="A32">
        <v>96</v>
      </c>
      <c r="B32" t="s">
        <v>140</v>
      </c>
      <c r="C32" s="4" t="s">
        <v>36</v>
      </c>
      <c r="D32">
        <v>1</v>
      </c>
      <c r="E32" s="12">
        <v>1</v>
      </c>
      <c r="F32" s="18">
        <v>2012</v>
      </c>
      <c r="G32" s="18">
        <v>1</v>
      </c>
      <c r="H32" s="18" t="s">
        <v>141</v>
      </c>
      <c r="I32" s="18" t="s">
        <v>28</v>
      </c>
      <c r="J32" s="18" t="s">
        <v>144</v>
      </c>
      <c r="K32" s="48">
        <v>5.7988225000000001E-3</v>
      </c>
      <c r="L32" s="46">
        <v>800</v>
      </c>
      <c r="M32" s="49">
        <f>K32*800/10000</f>
        <v>4.6390580000000003E-4</v>
      </c>
      <c r="N32" s="49"/>
      <c r="O32" s="45">
        <v>0.5</v>
      </c>
      <c r="P32" s="45">
        <v>7</v>
      </c>
      <c r="Q32" s="45">
        <v>400</v>
      </c>
      <c r="R32" s="45">
        <v>30</v>
      </c>
      <c r="S32" s="45"/>
      <c r="T32" s="45"/>
      <c r="U32" s="45">
        <v>1</v>
      </c>
      <c r="V32" s="45">
        <v>1</v>
      </c>
      <c r="W32" s="45"/>
      <c r="X32" s="45"/>
      <c r="Y32" s="45"/>
      <c r="Z32" s="45"/>
      <c r="AA32" s="45"/>
      <c r="AB32" s="45">
        <v>3</v>
      </c>
      <c r="AC32" s="19"/>
      <c r="AD32" s="19"/>
    </row>
    <row r="33" spans="1:30">
      <c r="A33">
        <v>90</v>
      </c>
      <c r="B33" t="s">
        <v>140</v>
      </c>
      <c r="C33" s="5" t="s">
        <v>26</v>
      </c>
      <c r="D33">
        <v>1</v>
      </c>
      <c r="E33" s="12">
        <v>1</v>
      </c>
      <c r="F33" s="20">
        <v>2011</v>
      </c>
      <c r="G33" s="20">
        <v>1</v>
      </c>
      <c r="H33" s="20" t="s">
        <v>141</v>
      </c>
      <c r="I33" s="20" t="s">
        <v>28</v>
      </c>
      <c r="J33" s="20" t="s">
        <v>142</v>
      </c>
      <c r="K33" s="19">
        <v>475</v>
      </c>
      <c r="L33" s="19">
        <v>34</v>
      </c>
      <c r="M33" s="18">
        <v>1.1615</v>
      </c>
      <c r="N33" s="18"/>
      <c r="O33" s="18">
        <v>0.5</v>
      </c>
      <c r="P33" s="18">
        <v>15</v>
      </c>
      <c r="Q33" s="18" t="str">
        <f>(O33&amp;L33)</f>
        <v>0.534</v>
      </c>
      <c r="R33" s="18">
        <v>60</v>
      </c>
      <c r="S33" s="18"/>
      <c r="T33" s="18"/>
      <c r="U33" s="18">
        <v>1</v>
      </c>
      <c r="V33" s="18"/>
      <c r="W33" s="18"/>
      <c r="X33" s="18"/>
      <c r="Y33" s="18">
        <v>1</v>
      </c>
      <c r="Z33" s="18"/>
      <c r="AA33" s="18"/>
      <c r="AB33" s="18">
        <v>3</v>
      </c>
      <c r="AC33" s="20"/>
      <c r="AD33" s="20"/>
    </row>
    <row r="34" spans="1:30">
      <c r="A34">
        <v>95</v>
      </c>
      <c r="B34" t="s">
        <v>140</v>
      </c>
      <c r="C34" s="6" t="s">
        <v>35</v>
      </c>
      <c r="D34">
        <v>0</v>
      </c>
      <c r="E34" s="12">
        <v>99</v>
      </c>
      <c r="F34" s="22"/>
      <c r="G34" s="22"/>
      <c r="H34" s="22"/>
      <c r="I34" s="22"/>
      <c r="J34" s="22"/>
      <c r="K34" s="20"/>
      <c r="L34" s="20"/>
      <c r="M34" s="20"/>
      <c r="N34" s="20"/>
      <c r="O34" s="20"/>
      <c r="P34" s="20"/>
      <c r="Q34" s="20"/>
      <c r="R34" s="20"/>
      <c r="S34" s="20"/>
      <c r="T34" s="20"/>
      <c r="U34" s="20"/>
      <c r="V34" s="20"/>
      <c r="W34" s="20"/>
      <c r="X34" s="20"/>
      <c r="Y34" s="20"/>
      <c r="Z34" s="20"/>
      <c r="AA34" s="20"/>
      <c r="AB34" s="20"/>
      <c r="AC34" s="22"/>
      <c r="AD34" s="22"/>
    </row>
    <row r="35" spans="1:30">
      <c r="A35">
        <v>97</v>
      </c>
      <c r="B35" t="s">
        <v>140</v>
      </c>
      <c r="C35" s="8" t="s">
        <v>38</v>
      </c>
      <c r="D35">
        <v>1</v>
      </c>
      <c r="E35" s="12">
        <v>1</v>
      </c>
      <c r="F35" s="23">
        <v>2006</v>
      </c>
      <c r="G35" s="23">
        <v>1</v>
      </c>
      <c r="H35" s="23" t="s">
        <v>141</v>
      </c>
      <c r="I35" s="23" t="s">
        <v>39</v>
      </c>
      <c r="J35" s="23" t="s">
        <v>145</v>
      </c>
      <c r="K35" s="19">
        <v>500</v>
      </c>
      <c r="L35" s="19">
        <v>19</v>
      </c>
      <c r="M35" s="19">
        <v>0.95</v>
      </c>
      <c r="N35" s="19"/>
      <c r="O35" s="19">
        <v>1</v>
      </c>
      <c r="P35" s="19">
        <v>365</v>
      </c>
      <c r="Q35" s="19">
        <v>19</v>
      </c>
      <c r="R35" s="19">
        <v>10220</v>
      </c>
      <c r="S35" s="19"/>
      <c r="T35" s="19"/>
      <c r="U35" s="19">
        <v>1</v>
      </c>
      <c r="V35" s="19">
        <v>1</v>
      </c>
      <c r="W35" s="19"/>
      <c r="X35" s="19"/>
      <c r="Y35" s="19">
        <v>1</v>
      </c>
      <c r="Z35" s="19"/>
      <c r="AA35" s="19"/>
      <c r="AB35" s="18">
        <v>3</v>
      </c>
      <c r="AC35" s="23"/>
      <c r="AD35" s="23"/>
    </row>
    <row r="36" spans="1:30">
      <c r="A36">
        <v>91</v>
      </c>
      <c r="B36" t="s">
        <v>140</v>
      </c>
      <c r="C36" s="9" t="s">
        <v>30</v>
      </c>
      <c r="D36">
        <v>0</v>
      </c>
      <c r="E36" s="12">
        <v>99</v>
      </c>
      <c r="F36" s="25"/>
      <c r="G36" s="25"/>
      <c r="H36" s="25"/>
      <c r="I36" s="25"/>
      <c r="J36" s="25"/>
      <c r="K36" s="23"/>
      <c r="L36" s="23"/>
      <c r="M36" s="23"/>
      <c r="N36" s="23"/>
      <c r="O36" s="23"/>
      <c r="P36" s="23"/>
      <c r="Q36" s="23"/>
      <c r="R36" s="23"/>
      <c r="S36" s="23"/>
      <c r="T36" s="23"/>
      <c r="U36" s="23"/>
      <c r="V36" s="23"/>
      <c r="W36" s="23"/>
      <c r="X36" s="23"/>
      <c r="Y36" s="23"/>
      <c r="Z36" s="23"/>
      <c r="AA36" s="23"/>
      <c r="AB36" s="23"/>
      <c r="AC36" s="25"/>
      <c r="AD36" s="25"/>
    </row>
    <row r="37" spans="1:30">
      <c r="A37">
        <v>89</v>
      </c>
      <c r="B37" t="s">
        <v>140</v>
      </c>
      <c r="C37" s="7" t="s">
        <v>23</v>
      </c>
      <c r="D37">
        <v>0</v>
      </c>
      <c r="E37" s="12">
        <v>99</v>
      </c>
      <c r="F37" s="26"/>
      <c r="G37" s="26"/>
      <c r="H37" s="26"/>
      <c r="I37" s="27"/>
      <c r="J37" s="26"/>
      <c r="K37" s="23"/>
      <c r="L37" s="23"/>
      <c r="M37" s="23"/>
      <c r="N37" s="23"/>
      <c r="O37" s="23"/>
      <c r="P37" s="23"/>
      <c r="Q37" s="23"/>
      <c r="R37" s="23"/>
      <c r="S37" s="23"/>
      <c r="T37" s="23"/>
      <c r="U37" s="23"/>
      <c r="V37" s="23"/>
      <c r="W37" s="23"/>
      <c r="X37" s="23"/>
      <c r="Y37" s="23"/>
      <c r="Z37" s="23"/>
      <c r="AA37" s="23"/>
      <c r="AB37" s="23"/>
      <c r="AC37" s="26"/>
      <c r="AD37" s="26"/>
    </row>
    <row r="38" spans="1:30">
      <c r="A38">
        <v>118</v>
      </c>
      <c r="B38" t="s">
        <v>140</v>
      </c>
      <c r="C38" s="10" t="s">
        <v>72</v>
      </c>
      <c r="D38">
        <v>0</v>
      </c>
      <c r="E38" s="12">
        <v>99</v>
      </c>
      <c r="F38" s="28">
        <v>2004</v>
      </c>
      <c r="G38" s="28">
        <v>1</v>
      </c>
      <c r="H38" s="28" t="s">
        <v>141</v>
      </c>
      <c r="I38" s="28" t="s">
        <v>74</v>
      </c>
      <c r="J38" s="29" t="s">
        <v>155</v>
      </c>
      <c r="K38" s="19"/>
      <c r="L38" s="19"/>
      <c r="M38" s="19"/>
      <c r="N38" s="19"/>
      <c r="O38" s="19"/>
      <c r="P38" s="19"/>
      <c r="Q38" s="19"/>
      <c r="R38" s="19"/>
      <c r="S38" s="19"/>
      <c r="T38" s="19"/>
      <c r="U38" s="19"/>
      <c r="V38" s="19"/>
      <c r="W38" s="19"/>
      <c r="X38" s="19"/>
      <c r="Y38" s="19"/>
      <c r="Z38" s="19"/>
      <c r="AA38" s="19"/>
      <c r="AB38" s="19"/>
      <c r="AC38" s="26"/>
      <c r="AD38" s="28"/>
    </row>
    <row r="39" spans="1:30">
      <c r="A39">
        <v>105</v>
      </c>
      <c r="B39" t="s">
        <v>140</v>
      </c>
      <c r="C39" s="11" t="s">
        <v>60</v>
      </c>
      <c r="D39">
        <v>0</v>
      </c>
      <c r="E39" s="12">
        <v>99</v>
      </c>
      <c r="F39" s="22"/>
      <c r="G39" s="22"/>
      <c r="H39" s="22"/>
      <c r="I39" s="22"/>
      <c r="J39" s="22"/>
      <c r="K39" s="26"/>
      <c r="L39" s="26"/>
      <c r="M39" s="26"/>
      <c r="N39" s="26"/>
      <c r="O39" s="26"/>
      <c r="P39" s="26"/>
      <c r="Q39" s="26"/>
      <c r="R39" s="26"/>
      <c r="S39" s="26"/>
      <c r="T39" s="26"/>
      <c r="U39" s="26"/>
      <c r="V39" s="26"/>
      <c r="W39" s="26"/>
      <c r="X39" s="26"/>
      <c r="Y39" s="26"/>
      <c r="Z39" s="26"/>
      <c r="AA39" s="26"/>
      <c r="AB39" s="26"/>
      <c r="AC39" s="22"/>
      <c r="AD39" s="22"/>
    </row>
    <row r="40" spans="1:30">
      <c r="A40">
        <v>101</v>
      </c>
      <c r="B40" t="s">
        <v>140</v>
      </c>
      <c r="C40" t="s">
        <v>52</v>
      </c>
      <c r="D40">
        <v>0</v>
      </c>
      <c r="E40" s="12">
        <v>99</v>
      </c>
      <c r="F40" s="22"/>
      <c r="G40" s="22"/>
      <c r="H40" s="22"/>
      <c r="I40" s="22"/>
      <c r="J40" s="22"/>
      <c r="K40" s="19"/>
      <c r="L40" s="19"/>
      <c r="M40" s="19"/>
      <c r="N40" s="19"/>
      <c r="O40" s="26"/>
      <c r="P40" s="19"/>
      <c r="Q40" s="19"/>
      <c r="R40" s="26"/>
      <c r="S40" s="19"/>
      <c r="T40" s="19"/>
      <c r="U40" s="19"/>
      <c r="V40" s="19"/>
      <c r="W40" s="19"/>
      <c r="X40" s="19"/>
      <c r="Y40" s="19"/>
      <c r="Z40" s="19"/>
      <c r="AA40" s="19"/>
      <c r="AB40" s="19"/>
      <c r="AC40" s="22"/>
      <c r="AD40" s="22"/>
    </row>
    <row r="41" spans="1:30">
      <c r="A41">
        <v>98</v>
      </c>
      <c r="B41" t="s">
        <v>140</v>
      </c>
      <c r="C41" s="11" t="s">
        <v>41</v>
      </c>
      <c r="D41">
        <v>0</v>
      </c>
      <c r="E41" s="12">
        <v>99</v>
      </c>
      <c r="F41" s="22"/>
      <c r="G41" s="22"/>
      <c r="H41" s="22"/>
      <c r="I41" s="22"/>
      <c r="J41" s="22"/>
      <c r="K41" s="26"/>
      <c r="L41" s="26"/>
      <c r="M41" s="26"/>
      <c r="N41" s="26"/>
      <c r="O41" s="26"/>
      <c r="P41" s="26"/>
      <c r="Q41" s="26"/>
      <c r="R41" s="26"/>
      <c r="S41" s="26"/>
      <c r="T41" s="26"/>
      <c r="U41" s="26"/>
      <c r="V41" s="26"/>
      <c r="W41" s="26"/>
      <c r="X41" s="26"/>
      <c r="Y41" s="26"/>
      <c r="Z41" s="26"/>
      <c r="AA41" s="26"/>
      <c r="AB41" s="26"/>
      <c r="AC41" s="22"/>
      <c r="AD41" s="22"/>
    </row>
    <row r="42" spans="1:30">
      <c r="A42">
        <v>99</v>
      </c>
      <c r="B42" t="s">
        <v>140</v>
      </c>
      <c r="C42" t="s">
        <v>42</v>
      </c>
      <c r="D42">
        <v>0</v>
      </c>
      <c r="E42" s="12">
        <v>99</v>
      </c>
      <c r="F42" s="22"/>
      <c r="G42" s="22"/>
      <c r="H42" s="22"/>
      <c r="I42" s="22"/>
      <c r="J42" s="22"/>
      <c r="K42" s="26"/>
      <c r="L42" s="26"/>
      <c r="M42" s="26"/>
      <c r="N42" s="26"/>
      <c r="O42" s="26"/>
      <c r="P42" s="26"/>
      <c r="Q42" s="26"/>
      <c r="R42" s="26"/>
      <c r="S42" s="26"/>
      <c r="T42" s="26"/>
      <c r="U42" s="26"/>
      <c r="V42" s="26"/>
      <c r="W42" s="26"/>
      <c r="X42" s="26"/>
      <c r="Y42" s="26"/>
      <c r="Z42" s="26"/>
      <c r="AA42" s="26"/>
      <c r="AB42" s="26"/>
      <c r="AC42" s="22"/>
      <c r="AD42" s="22"/>
    </row>
    <row r="43" spans="1:30">
      <c r="A43">
        <v>92</v>
      </c>
      <c r="B43" t="s">
        <v>140</v>
      </c>
      <c r="C43" s="11" t="s">
        <v>31</v>
      </c>
      <c r="D43">
        <v>1</v>
      </c>
      <c r="E43" s="12">
        <v>1</v>
      </c>
      <c r="F43" s="14">
        <v>2013</v>
      </c>
      <c r="G43" s="14">
        <v>2</v>
      </c>
      <c r="H43" s="14" t="s">
        <v>32</v>
      </c>
      <c r="I43" s="14" t="s">
        <v>33</v>
      </c>
      <c r="J43" s="14" t="s">
        <v>143</v>
      </c>
      <c r="K43" s="14">
        <v>0.05</v>
      </c>
      <c r="L43" s="14">
        <v>156</v>
      </c>
      <c r="M43" s="14">
        <f>0.05*156/10000</f>
        <v>7.8000000000000009E-4</v>
      </c>
      <c r="N43" s="14"/>
      <c r="O43" s="14">
        <v>7</v>
      </c>
      <c r="P43" s="14">
        <v>7300</v>
      </c>
      <c r="Q43" s="14">
        <f>7*156</f>
        <v>1092</v>
      </c>
      <c r="R43" s="14">
        <f>365*9000</f>
        <v>3285000</v>
      </c>
      <c r="S43" s="14"/>
      <c r="T43" s="14"/>
      <c r="U43" s="14"/>
      <c r="V43" s="14">
        <v>1</v>
      </c>
      <c r="W43" s="14"/>
      <c r="X43" s="14"/>
      <c r="Y43" s="14">
        <v>1</v>
      </c>
      <c r="Z43" s="14"/>
      <c r="AA43" s="14"/>
      <c r="AB43" s="14">
        <v>0</v>
      </c>
      <c r="AC43" s="14"/>
      <c r="AD43" s="19"/>
    </row>
    <row r="44" spans="1:30">
      <c r="A44">
        <v>93</v>
      </c>
      <c r="B44" t="s">
        <v>140</v>
      </c>
      <c r="C44" s="11" t="s">
        <v>31</v>
      </c>
      <c r="D44">
        <v>1</v>
      </c>
      <c r="E44" s="12">
        <v>1</v>
      </c>
      <c r="F44" s="30">
        <v>2013</v>
      </c>
      <c r="G44" s="30">
        <v>2</v>
      </c>
      <c r="H44" s="30" t="s">
        <v>32</v>
      </c>
      <c r="I44" s="30" t="s">
        <v>33</v>
      </c>
      <c r="J44" s="30" t="s">
        <v>143</v>
      </c>
      <c r="K44" s="14">
        <v>0.05</v>
      </c>
      <c r="L44" s="14">
        <v>156</v>
      </c>
      <c r="M44" s="14">
        <f>0.05*156/10000</f>
        <v>7.8000000000000009E-4</v>
      </c>
      <c r="N44" s="14"/>
      <c r="O44" s="14">
        <v>7</v>
      </c>
      <c r="P44" s="14">
        <v>91250</v>
      </c>
      <c r="Q44" s="14">
        <f>7*156</f>
        <v>1092</v>
      </c>
      <c r="R44" s="14">
        <f>365*9000</f>
        <v>3285000</v>
      </c>
      <c r="S44" s="14"/>
      <c r="T44" s="14"/>
      <c r="U44" s="14"/>
      <c r="V44" s="14">
        <v>1</v>
      </c>
      <c r="W44" s="14"/>
      <c r="X44" s="14"/>
      <c r="Y44" s="14">
        <v>1</v>
      </c>
      <c r="Z44" s="14"/>
      <c r="AA44" s="14"/>
      <c r="AB44" s="14">
        <v>0</v>
      </c>
      <c r="AC44" s="30"/>
      <c r="AD44" s="26"/>
    </row>
    <row r="45" spans="1:30">
      <c r="A45">
        <v>94</v>
      </c>
      <c r="B45" t="s">
        <v>140</v>
      </c>
      <c r="C45" s="11" t="s">
        <v>31</v>
      </c>
      <c r="D45">
        <v>1</v>
      </c>
      <c r="E45" s="12">
        <v>1</v>
      </c>
      <c r="F45" s="31">
        <v>2013</v>
      </c>
      <c r="G45" s="31">
        <v>2</v>
      </c>
      <c r="H45" s="31" t="s">
        <v>32</v>
      </c>
      <c r="I45" s="31" t="s">
        <v>33</v>
      </c>
      <c r="J45" s="31" t="s">
        <v>143</v>
      </c>
      <c r="K45" s="14">
        <v>0.05</v>
      </c>
      <c r="L45" s="14">
        <v>156</v>
      </c>
      <c r="M45" s="14">
        <f>0.05*156/10000</f>
        <v>7.8000000000000009E-4</v>
      </c>
      <c r="N45" s="14"/>
      <c r="O45" s="14">
        <v>7</v>
      </c>
      <c r="P45" s="14">
        <v>182500</v>
      </c>
      <c r="Q45" s="14">
        <f>7*156</f>
        <v>1092</v>
      </c>
      <c r="R45" s="14">
        <f>365*9000</f>
        <v>3285000</v>
      </c>
      <c r="S45" s="14"/>
      <c r="T45" s="14"/>
      <c r="U45" s="14"/>
      <c r="V45" s="14">
        <v>1</v>
      </c>
      <c r="W45" s="14"/>
      <c r="X45" s="14"/>
      <c r="Y45" s="14">
        <v>1</v>
      </c>
      <c r="Z45" s="14"/>
      <c r="AA45" s="14"/>
      <c r="AB45" s="14">
        <v>0</v>
      </c>
      <c r="AC45" s="31"/>
      <c r="AD45" s="31"/>
    </row>
    <row r="46" spans="1:30">
      <c r="A46">
        <v>102</v>
      </c>
      <c r="B46" t="s">
        <v>140</v>
      </c>
      <c r="C46" t="s">
        <v>53</v>
      </c>
      <c r="D46">
        <v>0</v>
      </c>
      <c r="E46" s="12">
        <v>99</v>
      </c>
      <c r="F46" s="22"/>
      <c r="G46" s="22"/>
      <c r="H46" s="22"/>
      <c r="I46" s="22"/>
      <c r="J46" s="22"/>
      <c r="K46" s="26"/>
      <c r="L46" s="26"/>
      <c r="M46" s="26"/>
      <c r="N46" s="26"/>
      <c r="O46" s="26"/>
      <c r="P46" s="26"/>
      <c r="Q46" s="26"/>
      <c r="R46" s="26"/>
      <c r="S46" s="17"/>
      <c r="T46" s="17"/>
      <c r="U46" s="17"/>
      <c r="V46" s="17"/>
      <c r="W46" s="17"/>
      <c r="X46" s="17"/>
      <c r="Y46" s="17"/>
      <c r="Z46" s="17"/>
      <c r="AA46" s="17"/>
      <c r="AB46" s="17"/>
      <c r="AC46" s="22"/>
      <c r="AD46" s="32"/>
    </row>
    <row r="47" spans="1:30">
      <c r="A47">
        <v>106</v>
      </c>
      <c r="B47" t="s">
        <v>140</v>
      </c>
      <c r="C47" t="s">
        <v>61</v>
      </c>
      <c r="D47">
        <v>1</v>
      </c>
      <c r="E47" s="12">
        <v>1</v>
      </c>
      <c r="F47" s="18">
        <v>2009</v>
      </c>
      <c r="G47" s="18">
        <v>1</v>
      </c>
      <c r="H47" s="18" t="s">
        <v>141</v>
      </c>
      <c r="I47" s="18" t="s">
        <v>146</v>
      </c>
      <c r="J47" s="18" t="s">
        <v>147</v>
      </c>
      <c r="K47" s="22">
        <v>1</v>
      </c>
      <c r="L47" s="22">
        <v>87</v>
      </c>
      <c r="M47" s="22">
        <f>(K47*L47)/10000</f>
        <v>8.6999999999999994E-3</v>
      </c>
      <c r="N47" s="22"/>
      <c r="O47" s="22">
        <f>8/24</f>
        <v>0.33333333333333331</v>
      </c>
      <c r="P47" s="22">
        <v>292</v>
      </c>
      <c r="Q47" s="22">
        <f>O47*L47</f>
        <v>29</v>
      </c>
      <c r="R47" s="22">
        <v>145</v>
      </c>
      <c r="S47" s="18"/>
      <c r="T47" s="18"/>
      <c r="U47" s="18">
        <v>1</v>
      </c>
      <c r="V47" s="18">
        <v>1</v>
      </c>
      <c r="W47" s="18"/>
      <c r="X47" s="18"/>
      <c r="Y47" s="18"/>
      <c r="Z47" s="18"/>
      <c r="AA47" s="18"/>
      <c r="AB47" s="18">
        <v>3</v>
      </c>
      <c r="AC47" s="19"/>
      <c r="AD47" s="14"/>
    </row>
    <row r="48" spans="1:30" ht="15" customHeight="1">
      <c r="A48">
        <v>108</v>
      </c>
      <c r="B48" t="s">
        <v>140</v>
      </c>
      <c r="C48" t="s">
        <v>61</v>
      </c>
      <c r="D48">
        <v>1</v>
      </c>
      <c r="E48" s="12">
        <v>2</v>
      </c>
      <c r="F48" s="28">
        <v>2009</v>
      </c>
      <c r="G48" s="28">
        <v>1</v>
      </c>
      <c r="H48" s="28" t="s">
        <v>141</v>
      </c>
      <c r="I48" s="28" t="s">
        <v>146</v>
      </c>
      <c r="J48" s="28" t="s">
        <v>148</v>
      </c>
      <c r="K48" s="22">
        <v>0.25</v>
      </c>
      <c r="L48">
        <v>348</v>
      </c>
      <c r="M48">
        <f>(K48*L48)/10000</f>
        <v>8.6999999999999994E-3</v>
      </c>
      <c r="O48">
        <f>8/24</f>
        <v>0.33333333333333331</v>
      </c>
      <c r="P48">
        <v>292</v>
      </c>
      <c r="Q48">
        <f>O48*L48</f>
        <v>116</v>
      </c>
      <c r="R48">
        <v>145</v>
      </c>
      <c r="S48" s="28"/>
      <c r="T48" s="28"/>
      <c r="U48" s="28">
        <v>1</v>
      </c>
      <c r="V48" s="28">
        <v>1</v>
      </c>
      <c r="W48" s="28"/>
      <c r="X48" s="28"/>
      <c r="Y48" s="28"/>
      <c r="Z48" s="28"/>
      <c r="AA48" s="28"/>
      <c r="AB48" s="28">
        <v>3</v>
      </c>
      <c r="AC48" s="26"/>
      <c r="AD48" s="33" t="s">
        <v>149</v>
      </c>
    </row>
    <row r="49" spans="1:31">
      <c r="A49">
        <v>110</v>
      </c>
      <c r="B49" t="s">
        <v>140</v>
      </c>
      <c r="C49" t="s">
        <v>61</v>
      </c>
      <c r="D49">
        <v>1</v>
      </c>
      <c r="E49" s="12">
        <v>3</v>
      </c>
      <c r="F49" s="28">
        <v>2009</v>
      </c>
      <c r="G49" s="28">
        <v>1</v>
      </c>
      <c r="H49" s="28" t="s">
        <v>141</v>
      </c>
      <c r="I49" s="28" t="s">
        <v>146</v>
      </c>
      <c r="J49" s="28" t="s">
        <v>150</v>
      </c>
      <c r="K49" s="28">
        <v>23.938991999999999</v>
      </c>
      <c r="L49" s="28">
        <v>104</v>
      </c>
      <c r="M49" s="26">
        <f>(K49*L49)/10000</f>
        <v>0.24896551679999998</v>
      </c>
      <c r="N49" s="26"/>
      <c r="O49" s="28">
        <f>6/24</f>
        <v>0.25</v>
      </c>
      <c r="P49" s="28">
        <v>326</v>
      </c>
      <c r="Q49" s="26">
        <f>O49*L49</f>
        <v>26</v>
      </c>
      <c r="R49" s="26">
        <v>379</v>
      </c>
      <c r="S49" s="26"/>
      <c r="T49" s="26"/>
      <c r="U49" s="26">
        <v>1</v>
      </c>
      <c r="V49" s="26">
        <v>1</v>
      </c>
      <c r="W49" s="26"/>
      <c r="X49" s="26"/>
      <c r="Y49" s="26"/>
      <c r="Z49" s="26"/>
      <c r="AA49" s="26"/>
      <c r="AB49" s="28">
        <v>3</v>
      </c>
      <c r="AC49" s="26"/>
      <c r="AD49" s="30"/>
    </row>
    <row r="50" spans="1:31">
      <c r="A50">
        <v>111</v>
      </c>
      <c r="B50" t="s">
        <v>140</v>
      </c>
      <c r="C50" t="s">
        <v>61</v>
      </c>
      <c r="D50">
        <v>1</v>
      </c>
      <c r="E50" s="12">
        <v>4</v>
      </c>
      <c r="F50" s="28">
        <v>2009</v>
      </c>
      <c r="G50" s="28">
        <v>1</v>
      </c>
      <c r="H50" s="28" t="s">
        <v>141</v>
      </c>
      <c r="I50" s="28" t="s">
        <v>146</v>
      </c>
      <c r="J50" s="28" t="s">
        <v>151</v>
      </c>
      <c r="K50" s="28">
        <v>400</v>
      </c>
      <c r="L50" s="26">
        <f>3*108</f>
        <v>324</v>
      </c>
      <c r="M50" s="26">
        <f>(L50*K50)/10000</f>
        <v>12.96</v>
      </c>
      <c r="N50" s="26"/>
      <c r="O50" s="28">
        <f>8/24</f>
        <v>0.33333333333333331</v>
      </c>
      <c r="P50" s="28">
        <v>0</v>
      </c>
      <c r="Q50" s="26">
        <f>O50*L50</f>
        <v>108</v>
      </c>
      <c r="R50" s="28">
        <v>400</v>
      </c>
      <c r="S50" s="28"/>
      <c r="T50" s="28"/>
      <c r="U50" s="28">
        <v>1</v>
      </c>
      <c r="V50" s="28">
        <v>1</v>
      </c>
      <c r="W50" s="28"/>
      <c r="X50" s="28"/>
      <c r="Y50" s="28"/>
      <c r="Z50" s="28"/>
      <c r="AA50" s="28"/>
      <c r="AB50" s="28">
        <v>3</v>
      </c>
      <c r="AC50" s="26"/>
      <c r="AD50" s="30"/>
    </row>
    <row r="51" spans="1:31">
      <c r="A51">
        <v>112</v>
      </c>
      <c r="B51" t="s">
        <v>140</v>
      </c>
      <c r="C51" t="s">
        <v>61</v>
      </c>
      <c r="D51">
        <v>1</v>
      </c>
      <c r="E51" s="12">
        <v>5</v>
      </c>
      <c r="F51" s="21">
        <v>2009</v>
      </c>
      <c r="G51" s="21">
        <v>1</v>
      </c>
      <c r="H51" s="21" t="s">
        <v>141</v>
      </c>
      <c r="I51" s="21" t="s">
        <v>146</v>
      </c>
      <c r="J51" s="21" t="s">
        <v>152</v>
      </c>
      <c r="K51" s="28">
        <v>40</v>
      </c>
      <c r="L51" s="28">
        <f>6*108</f>
        <v>648</v>
      </c>
      <c r="M51" s="26">
        <f>(L51*K51)/10000</f>
        <v>2.5920000000000001</v>
      </c>
      <c r="N51" s="26"/>
      <c r="O51" s="28">
        <f>8/24</f>
        <v>0.33333333333333331</v>
      </c>
      <c r="P51" s="28">
        <v>0</v>
      </c>
      <c r="Q51" s="26">
        <f>O51*L51</f>
        <v>216</v>
      </c>
      <c r="R51" s="28">
        <v>400</v>
      </c>
      <c r="S51" s="28"/>
      <c r="T51" s="28"/>
      <c r="U51" s="28">
        <v>1</v>
      </c>
      <c r="V51" s="28">
        <v>1</v>
      </c>
      <c r="W51" s="28"/>
      <c r="X51" s="28"/>
      <c r="Y51" s="28"/>
      <c r="Z51" s="28"/>
      <c r="AA51" s="28"/>
      <c r="AB51" s="28">
        <v>3</v>
      </c>
      <c r="AC51" s="20"/>
      <c r="AD51" s="34"/>
    </row>
    <row r="52" spans="1:31">
      <c r="A52">
        <v>113</v>
      </c>
      <c r="B52" t="s">
        <v>140</v>
      </c>
      <c r="C52" t="s">
        <v>61</v>
      </c>
      <c r="D52">
        <v>1</v>
      </c>
      <c r="E52" s="12">
        <v>7</v>
      </c>
      <c r="F52" s="28">
        <v>2009</v>
      </c>
      <c r="G52" s="28">
        <v>1</v>
      </c>
      <c r="H52" s="28" t="s">
        <v>141</v>
      </c>
      <c r="I52" s="28" t="s">
        <v>146</v>
      </c>
      <c r="J52" s="28" t="s">
        <v>153</v>
      </c>
      <c r="K52" s="21">
        <v>10</v>
      </c>
      <c r="L52" s="21">
        <v>324</v>
      </c>
      <c r="M52" s="20">
        <f>(L52*K52)/10000</f>
        <v>0.32400000000000001</v>
      </c>
      <c r="N52" s="19"/>
      <c r="O52" s="28">
        <f>8/24</f>
        <v>0.33333333333333331</v>
      </c>
      <c r="P52" s="21">
        <v>0</v>
      </c>
      <c r="Q52" s="20">
        <f>(O52*L52)</f>
        <v>108</v>
      </c>
      <c r="R52" s="28">
        <v>400</v>
      </c>
      <c r="S52" s="21"/>
      <c r="T52" s="21"/>
      <c r="U52" s="21">
        <v>1</v>
      </c>
      <c r="V52" s="21">
        <v>1</v>
      </c>
      <c r="W52" s="21"/>
      <c r="X52" s="21"/>
      <c r="Y52" s="21"/>
      <c r="Z52" s="21"/>
      <c r="AA52" s="21"/>
      <c r="AB52" s="21">
        <v>3</v>
      </c>
      <c r="AC52" s="26"/>
      <c r="AD52" s="31"/>
    </row>
    <row r="53" spans="1:31">
      <c r="A53">
        <v>114</v>
      </c>
      <c r="B53" t="s">
        <v>140</v>
      </c>
      <c r="C53" t="s">
        <v>61</v>
      </c>
      <c r="D53">
        <v>1</v>
      </c>
      <c r="E53" s="12">
        <v>6</v>
      </c>
      <c r="F53" s="18">
        <v>2009</v>
      </c>
      <c r="G53" s="18">
        <v>1</v>
      </c>
      <c r="H53" s="18" t="s">
        <v>141</v>
      </c>
      <c r="I53" s="18" t="s">
        <v>146</v>
      </c>
      <c r="J53" s="18" t="s">
        <v>154</v>
      </c>
      <c r="K53" s="18">
        <v>1</v>
      </c>
      <c r="L53" s="18">
        <f>4*108</f>
        <v>432</v>
      </c>
      <c r="M53" s="19">
        <f>(L53*K53)/10000</f>
        <v>4.3200000000000002E-2</v>
      </c>
      <c r="N53" s="19"/>
      <c r="O53" s="28">
        <f>8/24</f>
        <v>0.33333333333333331</v>
      </c>
      <c r="P53" s="18">
        <v>0</v>
      </c>
      <c r="Q53" s="35">
        <f>(O53*L53)</f>
        <v>144</v>
      </c>
      <c r="R53" s="28">
        <v>400</v>
      </c>
      <c r="S53" s="18"/>
      <c r="T53" s="18"/>
      <c r="U53" s="18">
        <v>1</v>
      </c>
      <c r="V53" s="18">
        <v>1</v>
      </c>
      <c r="W53" s="18"/>
      <c r="X53" s="18"/>
      <c r="Y53" s="18"/>
      <c r="Z53" s="18"/>
      <c r="AA53" s="18"/>
      <c r="AB53" s="18">
        <v>3</v>
      </c>
      <c r="AC53" s="19"/>
      <c r="AD53" s="14"/>
    </row>
    <row r="54" spans="1:31">
      <c r="A54">
        <v>103</v>
      </c>
      <c r="B54" t="s">
        <v>140</v>
      </c>
      <c r="C54" s="11" t="s">
        <v>54</v>
      </c>
      <c r="D54">
        <v>0</v>
      </c>
      <c r="E54" s="12">
        <v>99</v>
      </c>
      <c r="F54" s="36"/>
      <c r="G54" s="36"/>
      <c r="H54" s="36"/>
      <c r="I54" s="36"/>
      <c r="J54" s="36"/>
      <c r="K54" s="26"/>
      <c r="L54" s="26"/>
      <c r="M54" s="26"/>
      <c r="N54" s="26"/>
      <c r="O54" s="26"/>
      <c r="P54" s="26"/>
      <c r="Q54" s="26"/>
      <c r="R54" s="26"/>
      <c r="S54" s="26"/>
      <c r="T54" s="26"/>
      <c r="U54" s="26"/>
      <c r="V54" s="26"/>
      <c r="W54" s="26"/>
      <c r="X54" s="26"/>
      <c r="Y54" s="26"/>
      <c r="Z54" s="26"/>
      <c r="AA54" s="26"/>
      <c r="AB54" s="26"/>
      <c r="AC54" s="36"/>
      <c r="AD54" s="36"/>
      <c r="AE54" s="36"/>
    </row>
    <row r="55" spans="1:31">
      <c r="A55">
        <v>120</v>
      </c>
      <c r="B55" t="s">
        <v>140</v>
      </c>
      <c r="C55" t="s">
        <v>77</v>
      </c>
      <c r="D55">
        <v>0</v>
      </c>
      <c r="E55" s="12">
        <v>99</v>
      </c>
      <c r="F55" s="36"/>
      <c r="G55" s="36"/>
      <c r="H55" s="36"/>
      <c r="I55" s="36"/>
      <c r="J55" s="36"/>
      <c r="K55" s="26"/>
      <c r="L55" s="26"/>
      <c r="M55" s="26"/>
      <c r="N55" s="26"/>
      <c r="O55" s="26"/>
      <c r="P55" s="26"/>
      <c r="Q55" s="26"/>
      <c r="R55" s="26"/>
      <c r="S55" s="26"/>
      <c r="T55" s="26"/>
      <c r="U55" s="26"/>
      <c r="V55" s="26"/>
      <c r="W55" s="26"/>
      <c r="X55" s="26"/>
      <c r="Y55" s="26"/>
      <c r="Z55" s="26"/>
      <c r="AA55" s="26"/>
      <c r="AB55" s="26"/>
      <c r="AC55" s="36"/>
      <c r="AD55" s="36"/>
      <c r="AE55" s="26"/>
    </row>
    <row r="56" spans="1:31">
      <c r="A56">
        <v>104</v>
      </c>
      <c r="B56" t="s">
        <v>140</v>
      </c>
      <c r="C56" s="11" t="s">
        <v>55</v>
      </c>
      <c r="D56">
        <v>0</v>
      </c>
      <c r="E56" s="12">
        <v>99</v>
      </c>
      <c r="F56" s="28">
        <v>2007</v>
      </c>
      <c r="G56" s="28">
        <v>1</v>
      </c>
      <c r="H56" s="28" t="s">
        <v>141</v>
      </c>
      <c r="I56" s="28" t="s">
        <v>56</v>
      </c>
      <c r="J56" s="26"/>
      <c r="K56" s="26"/>
      <c r="L56" s="26"/>
      <c r="M56" s="26"/>
      <c r="N56" s="26"/>
      <c r="O56" s="26"/>
      <c r="P56" s="26"/>
      <c r="Q56" s="26"/>
      <c r="R56" s="26"/>
      <c r="S56" s="26"/>
      <c r="T56" s="26"/>
      <c r="U56" s="26"/>
      <c r="V56" s="26"/>
      <c r="W56" s="26"/>
      <c r="X56" s="26"/>
      <c r="Y56" s="26"/>
      <c r="Z56" s="26"/>
      <c r="AA56" s="26"/>
      <c r="AB56" s="26"/>
      <c r="AC56" s="26"/>
      <c r="AD56" s="26"/>
      <c r="AE56" s="28"/>
    </row>
    <row r="57" spans="1:31">
      <c r="A57">
        <v>100</v>
      </c>
      <c r="B57" t="s">
        <v>140</v>
      </c>
      <c r="C57" t="s">
        <v>43</v>
      </c>
      <c r="D57">
        <v>0</v>
      </c>
      <c r="E57" s="12">
        <v>99</v>
      </c>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row>
    <row r="58" spans="1:31">
      <c r="A58">
        <v>137</v>
      </c>
      <c r="B58" t="s">
        <v>156</v>
      </c>
      <c r="C58" s="2" t="s">
        <v>68</v>
      </c>
      <c r="D58">
        <v>1</v>
      </c>
      <c r="E58" s="12">
        <v>1</v>
      </c>
      <c r="F58">
        <v>2006</v>
      </c>
      <c r="G58">
        <v>1</v>
      </c>
      <c r="H58" t="s">
        <v>161</v>
      </c>
      <c r="I58" t="s">
        <v>69</v>
      </c>
      <c r="J58" t="s">
        <v>167</v>
      </c>
      <c r="K58">
        <v>7853.9816339744802</v>
      </c>
      <c r="L58">
        <v>50</v>
      </c>
      <c r="M58">
        <v>39.269908169872402</v>
      </c>
      <c r="O58" t="s">
        <v>24</v>
      </c>
      <c r="P58">
        <v>30</v>
      </c>
      <c r="Q58">
        <v>6.25E-2</v>
      </c>
      <c r="R58" t="s">
        <v>24</v>
      </c>
      <c r="S58" t="s">
        <v>24</v>
      </c>
      <c r="T58" t="s">
        <v>24</v>
      </c>
      <c r="U58" t="s">
        <v>24</v>
      </c>
      <c r="V58" t="s">
        <v>24</v>
      </c>
      <c r="W58" t="s">
        <v>24</v>
      </c>
      <c r="X58" t="s">
        <v>24</v>
      </c>
      <c r="Y58" t="s">
        <v>24</v>
      </c>
      <c r="Z58" t="s">
        <v>24</v>
      </c>
      <c r="AA58" t="s">
        <v>24</v>
      </c>
      <c r="AB58">
        <v>2</v>
      </c>
      <c r="AC58" t="s">
        <v>24</v>
      </c>
      <c r="AD58" s="39" t="s">
        <v>190</v>
      </c>
    </row>
    <row r="59" spans="1:31">
      <c r="A59">
        <v>138</v>
      </c>
      <c r="B59" t="s">
        <v>156</v>
      </c>
      <c r="C59" s="2" t="s">
        <v>68</v>
      </c>
      <c r="D59">
        <v>1</v>
      </c>
      <c r="E59" s="12">
        <v>2</v>
      </c>
      <c r="F59">
        <v>2006</v>
      </c>
      <c r="G59">
        <v>1</v>
      </c>
      <c r="H59" t="s">
        <v>161</v>
      </c>
      <c r="I59" t="s">
        <v>69</v>
      </c>
      <c r="J59" t="s">
        <v>167</v>
      </c>
      <c r="K59">
        <v>2827.4333882308101</v>
      </c>
      <c r="L59">
        <v>600</v>
      </c>
      <c r="M59">
        <v>169.64600329384899</v>
      </c>
      <c r="O59" t="s">
        <v>24</v>
      </c>
      <c r="P59">
        <v>1</v>
      </c>
      <c r="Q59">
        <v>3.125E-2</v>
      </c>
      <c r="R59" t="s">
        <v>24</v>
      </c>
      <c r="S59" t="s">
        <v>24</v>
      </c>
      <c r="T59" t="s">
        <v>24</v>
      </c>
      <c r="U59" t="s">
        <v>24</v>
      </c>
      <c r="V59" t="s">
        <v>24</v>
      </c>
      <c r="W59" t="s">
        <v>24</v>
      </c>
      <c r="X59" t="s">
        <v>24</v>
      </c>
      <c r="Y59" t="s">
        <v>24</v>
      </c>
      <c r="Z59" t="s">
        <v>24</v>
      </c>
      <c r="AA59" t="s">
        <v>24</v>
      </c>
      <c r="AB59">
        <v>1</v>
      </c>
      <c r="AC59" t="s">
        <v>24</v>
      </c>
      <c r="AD59" s="39" t="s">
        <v>191</v>
      </c>
    </row>
    <row r="60" spans="1:31">
      <c r="A60">
        <v>139</v>
      </c>
      <c r="B60" t="s">
        <v>156</v>
      </c>
      <c r="C60" s="3" t="s">
        <v>73</v>
      </c>
      <c r="D60">
        <v>1</v>
      </c>
      <c r="E60" s="12">
        <v>1</v>
      </c>
      <c r="F60">
        <v>2010</v>
      </c>
      <c r="G60">
        <v>1</v>
      </c>
      <c r="H60" t="s">
        <v>168</v>
      </c>
      <c r="I60" t="s">
        <v>74</v>
      </c>
      <c r="J60" t="s">
        <v>169</v>
      </c>
      <c r="K60">
        <v>1</v>
      </c>
      <c r="L60">
        <v>276</v>
      </c>
      <c r="M60">
        <v>2.76E-2</v>
      </c>
      <c r="O60" t="s">
        <v>24</v>
      </c>
      <c r="P60">
        <v>0</v>
      </c>
      <c r="Q60">
        <v>138</v>
      </c>
      <c r="R60" t="s">
        <v>24</v>
      </c>
      <c r="S60" t="s">
        <v>24</v>
      </c>
      <c r="T60" t="s">
        <v>24</v>
      </c>
      <c r="U60" t="s">
        <v>24</v>
      </c>
      <c r="V60" t="s">
        <v>24</v>
      </c>
      <c r="W60" t="s">
        <v>24</v>
      </c>
      <c r="X60" t="s">
        <v>24</v>
      </c>
      <c r="Y60" t="s">
        <v>24</v>
      </c>
      <c r="Z60" t="s">
        <v>24</v>
      </c>
      <c r="AA60" t="s">
        <v>24</v>
      </c>
      <c r="AB60">
        <v>0</v>
      </c>
      <c r="AC60" t="s">
        <v>24</v>
      </c>
      <c r="AD60" s="39" t="s">
        <v>192</v>
      </c>
    </row>
    <row r="61" spans="1:31">
      <c r="A61">
        <v>126</v>
      </c>
      <c r="B61" t="s">
        <v>156</v>
      </c>
      <c r="C61" s="4" t="s">
        <v>36</v>
      </c>
      <c r="D61">
        <v>1</v>
      </c>
      <c r="E61" s="12">
        <v>1</v>
      </c>
      <c r="F61">
        <v>2012</v>
      </c>
      <c r="G61">
        <v>1</v>
      </c>
      <c r="H61" t="s">
        <v>161</v>
      </c>
      <c r="I61" t="s">
        <v>28</v>
      </c>
      <c r="J61" t="s">
        <v>162</v>
      </c>
      <c r="K61">
        <v>0.01</v>
      </c>
      <c r="L61">
        <v>100</v>
      </c>
      <c r="M61" s="1">
        <v>1E-4</v>
      </c>
      <c r="N61" s="1"/>
      <c r="O61" t="s">
        <v>24</v>
      </c>
      <c r="P61">
        <v>7</v>
      </c>
      <c r="Q61">
        <v>28</v>
      </c>
      <c r="R61" t="s">
        <v>24</v>
      </c>
      <c r="S61" t="s">
        <v>24</v>
      </c>
      <c r="T61" t="s">
        <v>24</v>
      </c>
      <c r="U61" t="s">
        <v>24</v>
      </c>
      <c r="V61" t="s">
        <v>24</v>
      </c>
      <c r="W61" t="s">
        <v>24</v>
      </c>
      <c r="X61" t="s">
        <v>24</v>
      </c>
      <c r="Y61" t="s">
        <v>24</v>
      </c>
      <c r="Z61" t="s">
        <v>24</v>
      </c>
      <c r="AA61" t="s">
        <v>24</v>
      </c>
      <c r="AB61">
        <v>2</v>
      </c>
      <c r="AC61" t="s">
        <v>24</v>
      </c>
      <c r="AD61" s="39" t="s">
        <v>193</v>
      </c>
    </row>
    <row r="62" spans="1:31">
      <c r="A62">
        <v>122</v>
      </c>
      <c r="B62" t="s">
        <v>156</v>
      </c>
      <c r="C62" s="5" t="s">
        <v>26</v>
      </c>
      <c r="D62">
        <v>0</v>
      </c>
      <c r="E62" s="12">
        <v>99</v>
      </c>
      <c r="F62">
        <v>2011</v>
      </c>
      <c r="H62" t="s">
        <v>157</v>
      </c>
      <c r="I62" t="s">
        <v>24</v>
      </c>
      <c r="J62" t="s">
        <v>24</v>
      </c>
      <c r="K62" t="s">
        <v>24</v>
      </c>
      <c r="L62" t="s">
        <v>24</v>
      </c>
      <c r="M62" t="s">
        <v>24</v>
      </c>
      <c r="O62" t="s">
        <v>24</v>
      </c>
      <c r="P62" t="s">
        <v>24</v>
      </c>
      <c r="Q62" t="s">
        <v>24</v>
      </c>
      <c r="R62" t="s">
        <v>24</v>
      </c>
      <c r="S62" t="s">
        <v>24</v>
      </c>
      <c r="T62" t="s">
        <v>24</v>
      </c>
      <c r="U62" t="s">
        <v>24</v>
      </c>
      <c r="V62" t="s">
        <v>24</v>
      </c>
      <c r="W62" t="s">
        <v>24</v>
      </c>
      <c r="X62" t="s">
        <v>24</v>
      </c>
      <c r="Y62" t="s">
        <v>24</v>
      </c>
      <c r="Z62" t="s">
        <v>24</v>
      </c>
      <c r="AA62" t="s">
        <v>24</v>
      </c>
      <c r="AB62" t="s">
        <v>24</v>
      </c>
      <c r="AC62" t="s">
        <v>24</v>
      </c>
      <c r="AD62" s="40"/>
    </row>
    <row r="63" spans="1:31">
      <c r="A63">
        <v>125</v>
      </c>
      <c r="B63" t="s">
        <v>156</v>
      </c>
      <c r="C63" s="6" t="s">
        <v>35</v>
      </c>
      <c r="D63">
        <v>0</v>
      </c>
      <c r="E63" s="12">
        <v>99</v>
      </c>
      <c r="F63">
        <v>2014</v>
      </c>
      <c r="H63" t="s">
        <v>160</v>
      </c>
      <c r="I63" t="s">
        <v>24</v>
      </c>
      <c r="J63" t="s">
        <v>24</v>
      </c>
      <c r="K63" t="s">
        <v>24</v>
      </c>
      <c r="L63" t="s">
        <v>24</v>
      </c>
      <c r="M63" t="s">
        <v>24</v>
      </c>
      <c r="O63" t="s">
        <v>24</v>
      </c>
      <c r="P63" t="s">
        <v>24</v>
      </c>
      <c r="Q63" t="s">
        <v>24</v>
      </c>
      <c r="R63" t="s">
        <v>24</v>
      </c>
      <c r="S63" t="s">
        <v>24</v>
      </c>
      <c r="T63" t="s">
        <v>24</v>
      </c>
      <c r="U63" t="s">
        <v>24</v>
      </c>
      <c r="V63" t="s">
        <v>24</v>
      </c>
      <c r="W63" t="s">
        <v>24</v>
      </c>
      <c r="X63" t="s">
        <v>24</v>
      </c>
      <c r="Y63" t="s">
        <v>24</v>
      </c>
      <c r="Z63" t="s">
        <v>24</v>
      </c>
      <c r="AA63" t="s">
        <v>24</v>
      </c>
      <c r="AB63" t="s">
        <v>24</v>
      </c>
      <c r="AC63" t="s">
        <v>24</v>
      </c>
      <c r="AD63" s="41"/>
    </row>
    <row r="64" spans="1:31">
      <c r="A64">
        <v>129</v>
      </c>
      <c r="B64" t="s">
        <v>156</v>
      </c>
      <c r="C64" s="8" t="s">
        <v>38</v>
      </c>
      <c r="D64">
        <v>1</v>
      </c>
      <c r="E64" s="12">
        <v>1</v>
      </c>
      <c r="F64">
        <v>2006</v>
      </c>
      <c r="G64">
        <v>1</v>
      </c>
      <c r="H64" t="s">
        <v>161</v>
      </c>
      <c r="I64" t="s">
        <v>39</v>
      </c>
      <c r="J64" t="s">
        <v>164</v>
      </c>
      <c r="K64">
        <v>500</v>
      </c>
      <c r="L64">
        <v>19</v>
      </c>
      <c r="M64">
        <v>0.95</v>
      </c>
      <c r="O64" t="s">
        <v>24</v>
      </c>
      <c r="P64">
        <v>714</v>
      </c>
      <c r="Q64">
        <v>25</v>
      </c>
      <c r="R64" t="s">
        <v>24</v>
      </c>
      <c r="S64" t="s">
        <v>24</v>
      </c>
      <c r="T64" t="s">
        <v>24</v>
      </c>
      <c r="U64" t="s">
        <v>24</v>
      </c>
      <c r="V64" t="s">
        <v>24</v>
      </c>
      <c r="W64" t="s">
        <v>24</v>
      </c>
      <c r="X64" t="s">
        <v>24</v>
      </c>
      <c r="Y64" t="s">
        <v>24</v>
      </c>
      <c r="Z64" t="s">
        <v>24</v>
      </c>
      <c r="AA64" t="s">
        <v>24</v>
      </c>
      <c r="AB64">
        <v>0</v>
      </c>
      <c r="AC64" t="s">
        <v>24</v>
      </c>
      <c r="AD64" s="39" t="s">
        <v>194</v>
      </c>
    </row>
    <row r="65" spans="1:30">
      <c r="A65">
        <v>123</v>
      </c>
      <c r="B65" t="s">
        <v>156</v>
      </c>
      <c r="C65" s="9" t="s">
        <v>30</v>
      </c>
      <c r="D65">
        <v>0</v>
      </c>
      <c r="E65" s="12">
        <v>99</v>
      </c>
      <c r="F65">
        <v>2008</v>
      </c>
      <c r="H65" t="s">
        <v>79</v>
      </c>
      <c r="I65" t="s">
        <v>24</v>
      </c>
      <c r="J65" t="s">
        <v>24</v>
      </c>
      <c r="K65" t="s">
        <v>24</v>
      </c>
      <c r="L65" t="s">
        <v>24</v>
      </c>
      <c r="M65" t="s">
        <v>24</v>
      </c>
      <c r="O65" t="s">
        <v>24</v>
      </c>
      <c r="P65" t="s">
        <v>24</v>
      </c>
      <c r="Q65" t="s">
        <v>24</v>
      </c>
      <c r="R65" t="s">
        <v>24</v>
      </c>
      <c r="S65" t="s">
        <v>24</v>
      </c>
      <c r="T65" t="s">
        <v>24</v>
      </c>
      <c r="U65" t="s">
        <v>24</v>
      </c>
      <c r="V65" t="s">
        <v>24</v>
      </c>
      <c r="W65" t="s">
        <v>24</v>
      </c>
      <c r="X65" t="s">
        <v>24</v>
      </c>
      <c r="Y65" t="s">
        <v>24</v>
      </c>
      <c r="Z65" t="s">
        <v>24</v>
      </c>
      <c r="AA65" t="s">
        <v>24</v>
      </c>
      <c r="AB65" t="s">
        <v>24</v>
      </c>
      <c r="AC65" t="s">
        <v>24</v>
      </c>
      <c r="AD65" s="41"/>
    </row>
    <row r="66" spans="1:30">
      <c r="A66">
        <v>121</v>
      </c>
      <c r="B66" t="s">
        <v>156</v>
      </c>
      <c r="C66" s="7" t="s">
        <v>23</v>
      </c>
      <c r="D66">
        <v>0</v>
      </c>
      <c r="E66" s="12">
        <v>99</v>
      </c>
      <c r="F66">
        <v>2012</v>
      </c>
      <c r="H66" t="s">
        <v>79</v>
      </c>
      <c r="I66" t="s">
        <v>24</v>
      </c>
      <c r="J66" t="s">
        <v>24</v>
      </c>
      <c r="K66" t="s">
        <v>24</v>
      </c>
      <c r="L66" t="s">
        <v>24</v>
      </c>
      <c r="M66" t="s">
        <v>24</v>
      </c>
      <c r="O66" t="s">
        <v>24</v>
      </c>
      <c r="P66" t="s">
        <v>24</v>
      </c>
      <c r="Q66" t="s">
        <v>24</v>
      </c>
      <c r="R66" t="s">
        <v>24</v>
      </c>
      <c r="S66" t="s">
        <v>24</v>
      </c>
      <c r="T66" t="s">
        <v>24</v>
      </c>
      <c r="U66" t="s">
        <v>24</v>
      </c>
      <c r="V66" t="s">
        <v>24</v>
      </c>
      <c r="W66" t="s">
        <v>24</v>
      </c>
      <c r="X66" t="s">
        <v>24</v>
      </c>
      <c r="Y66" t="s">
        <v>24</v>
      </c>
      <c r="Z66" t="s">
        <v>24</v>
      </c>
      <c r="AA66" t="s">
        <v>24</v>
      </c>
      <c r="AB66" t="s">
        <v>24</v>
      </c>
      <c r="AC66" t="s">
        <v>24</v>
      </c>
      <c r="AD66" s="41"/>
    </row>
    <row r="67" spans="1:30">
      <c r="A67">
        <v>140</v>
      </c>
      <c r="B67" t="s">
        <v>156</v>
      </c>
      <c r="C67" s="10" t="s">
        <v>72</v>
      </c>
      <c r="D67">
        <v>0</v>
      </c>
      <c r="E67" s="12">
        <v>99</v>
      </c>
      <c r="F67">
        <v>2004</v>
      </c>
      <c r="H67" t="s">
        <v>160</v>
      </c>
      <c r="I67" t="s">
        <v>24</v>
      </c>
      <c r="J67" t="s">
        <v>24</v>
      </c>
      <c r="K67" t="s">
        <v>24</v>
      </c>
      <c r="L67" t="s">
        <v>24</v>
      </c>
      <c r="M67" t="s">
        <v>24</v>
      </c>
      <c r="O67" t="s">
        <v>24</v>
      </c>
      <c r="P67" t="s">
        <v>24</v>
      </c>
      <c r="Q67" t="s">
        <v>24</v>
      </c>
      <c r="R67" t="s">
        <v>24</v>
      </c>
      <c r="S67" t="s">
        <v>24</v>
      </c>
      <c r="T67" t="s">
        <v>24</v>
      </c>
      <c r="U67" t="s">
        <v>24</v>
      </c>
      <c r="V67" t="s">
        <v>24</v>
      </c>
      <c r="W67" t="s">
        <v>24</v>
      </c>
      <c r="X67" t="s">
        <v>24</v>
      </c>
      <c r="Y67" t="s">
        <v>24</v>
      </c>
      <c r="Z67" t="s">
        <v>24</v>
      </c>
      <c r="AA67" t="s">
        <v>24</v>
      </c>
      <c r="AB67" t="s">
        <v>24</v>
      </c>
      <c r="AC67" t="s">
        <v>24</v>
      </c>
      <c r="AD67" s="41"/>
    </row>
    <row r="68" spans="1:30">
      <c r="A68">
        <v>142</v>
      </c>
      <c r="B68" t="s">
        <v>156</v>
      </c>
      <c r="C68" s="11" t="s">
        <v>60</v>
      </c>
      <c r="D68">
        <v>0</v>
      </c>
      <c r="E68" s="12">
        <v>99</v>
      </c>
      <c r="F68">
        <v>2011</v>
      </c>
      <c r="H68" t="s">
        <v>79</v>
      </c>
      <c r="I68" t="s">
        <v>24</v>
      </c>
      <c r="J68" t="s">
        <v>24</v>
      </c>
      <c r="K68" t="s">
        <v>24</v>
      </c>
      <c r="L68" t="s">
        <v>24</v>
      </c>
      <c r="M68" t="s">
        <v>24</v>
      </c>
      <c r="O68" t="s">
        <v>24</v>
      </c>
      <c r="P68" t="s">
        <v>24</v>
      </c>
      <c r="Q68" t="s">
        <v>24</v>
      </c>
      <c r="R68" t="s">
        <v>24</v>
      </c>
      <c r="S68" t="s">
        <v>24</v>
      </c>
      <c r="T68" t="s">
        <v>24</v>
      </c>
      <c r="U68" t="s">
        <v>24</v>
      </c>
      <c r="V68" t="s">
        <v>24</v>
      </c>
      <c r="W68" t="s">
        <v>24</v>
      </c>
      <c r="X68" t="s">
        <v>24</v>
      </c>
      <c r="Y68" t="s">
        <v>24</v>
      </c>
      <c r="Z68" t="s">
        <v>24</v>
      </c>
      <c r="AA68" t="s">
        <v>24</v>
      </c>
      <c r="AB68" t="s">
        <v>24</v>
      </c>
      <c r="AC68" t="s">
        <v>24</v>
      </c>
      <c r="AD68" s="41"/>
    </row>
    <row r="69" spans="1:30">
      <c r="A69">
        <v>136</v>
      </c>
      <c r="B69" t="s">
        <v>156</v>
      </c>
      <c r="C69" t="s">
        <v>52</v>
      </c>
      <c r="D69">
        <v>0</v>
      </c>
      <c r="E69" s="12">
        <v>99</v>
      </c>
      <c r="F69">
        <v>2007</v>
      </c>
      <c r="H69" t="s">
        <v>160</v>
      </c>
      <c r="I69" t="s">
        <v>24</v>
      </c>
      <c r="J69" t="s">
        <v>24</v>
      </c>
      <c r="K69" t="s">
        <v>24</v>
      </c>
      <c r="L69" t="s">
        <v>24</v>
      </c>
      <c r="M69" t="s">
        <v>24</v>
      </c>
      <c r="O69" t="s">
        <v>24</v>
      </c>
      <c r="P69" t="s">
        <v>24</v>
      </c>
      <c r="Q69" t="s">
        <v>24</v>
      </c>
      <c r="R69" t="s">
        <v>24</v>
      </c>
      <c r="S69" t="s">
        <v>24</v>
      </c>
      <c r="T69" t="s">
        <v>24</v>
      </c>
      <c r="U69" t="s">
        <v>24</v>
      </c>
      <c r="V69" t="s">
        <v>24</v>
      </c>
      <c r="W69" t="s">
        <v>24</v>
      </c>
      <c r="X69" t="s">
        <v>24</v>
      </c>
      <c r="Y69" t="s">
        <v>24</v>
      </c>
      <c r="Z69" t="s">
        <v>24</v>
      </c>
      <c r="AA69" t="s">
        <v>24</v>
      </c>
      <c r="AB69" t="s">
        <v>24</v>
      </c>
      <c r="AC69" t="s">
        <v>24</v>
      </c>
      <c r="AD69" s="41"/>
    </row>
    <row r="70" spans="1:30">
      <c r="A70">
        <v>127</v>
      </c>
      <c r="B70" t="s">
        <v>156</v>
      </c>
      <c r="C70" s="11" t="s">
        <v>41</v>
      </c>
      <c r="D70">
        <v>0</v>
      </c>
      <c r="E70" s="12">
        <v>99</v>
      </c>
      <c r="F70">
        <v>2004</v>
      </c>
      <c r="H70" t="s">
        <v>163</v>
      </c>
      <c r="I70" t="s">
        <v>24</v>
      </c>
      <c r="J70" t="s">
        <v>24</v>
      </c>
      <c r="K70" t="s">
        <v>24</v>
      </c>
      <c r="L70" t="s">
        <v>24</v>
      </c>
      <c r="M70" t="s">
        <v>24</v>
      </c>
      <c r="O70" t="s">
        <v>24</v>
      </c>
      <c r="P70" t="s">
        <v>24</v>
      </c>
      <c r="Q70" t="s">
        <v>24</v>
      </c>
      <c r="R70" t="s">
        <v>24</v>
      </c>
      <c r="S70" t="s">
        <v>24</v>
      </c>
      <c r="T70" t="s">
        <v>24</v>
      </c>
      <c r="U70" t="s">
        <v>24</v>
      </c>
      <c r="V70" t="s">
        <v>24</v>
      </c>
      <c r="W70" t="s">
        <v>24</v>
      </c>
      <c r="X70" t="s">
        <v>24</v>
      </c>
      <c r="Y70" t="s">
        <v>24</v>
      </c>
      <c r="Z70" t="s">
        <v>24</v>
      </c>
      <c r="AA70" t="s">
        <v>24</v>
      </c>
      <c r="AB70" t="s">
        <v>24</v>
      </c>
      <c r="AC70" t="s">
        <v>24</v>
      </c>
      <c r="AD70" s="41"/>
    </row>
    <row r="71" spans="1:30">
      <c r="A71">
        <v>128</v>
      </c>
      <c r="B71" t="s">
        <v>156</v>
      </c>
      <c r="C71" t="s">
        <v>42</v>
      </c>
      <c r="D71">
        <v>0</v>
      </c>
      <c r="E71" s="12">
        <v>99</v>
      </c>
      <c r="F71">
        <v>2007</v>
      </c>
      <c r="H71" t="s">
        <v>163</v>
      </c>
      <c r="I71" t="s">
        <v>24</v>
      </c>
      <c r="J71" t="s">
        <v>24</v>
      </c>
      <c r="K71" t="s">
        <v>24</v>
      </c>
      <c r="L71" t="s">
        <v>24</v>
      </c>
      <c r="M71" t="s">
        <v>24</v>
      </c>
      <c r="O71" t="s">
        <v>24</v>
      </c>
      <c r="P71" t="s">
        <v>24</v>
      </c>
      <c r="Q71" t="s">
        <v>24</v>
      </c>
      <c r="R71" t="s">
        <v>24</v>
      </c>
      <c r="S71" t="s">
        <v>24</v>
      </c>
      <c r="T71" t="s">
        <v>24</v>
      </c>
      <c r="U71" t="s">
        <v>24</v>
      </c>
      <c r="V71" t="s">
        <v>24</v>
      </c>
      <c r="W71" t="s">
        <v>24</v>
      </c>
      <c r="X71" t="s">
        <v>24</v>
      </c>
      <c r="Y71" t="s">
        <v>24</v>
      </c>
      <c r="Z71" t="s">
        <v>24</v>
      </c>
      <c r="AA71" t="s">
        <v>24</v>
      </c>
      <c r="AB71" t="s">
        <v>24</v>
      </c>
      <c r="AC71" t="s">
        <v>24</v>
      </c>
      <c r="AD71" s="41"/>
    </row>
    <row r="72" spans="1:30">
      <c r="A72">
        <v>124</v>
      </c>
      <c r="B72" t="s">
        <v>156</v>
      </c>
      <c r="C72" s="11" t="s">
        <v>31</v>
      </c>
      <c r="D72">
        <v>1</v>
      </c>
      <c r="E72" s="12">
        <v>1</v>
      </c>
      <c r="F72">
        <v>2013</v>
      </c>
      <c r="G72">
        <v>2</v>
      </c>
      <c r="H72" t="s">
        <v>158</v>
      </c>
      <c r="I72" t="s">
        <v>33</v>
      </c>
      <c r="J72" t="s">
        <v>159</v>
      </c>
      <c r="K72">
        <v>7.85398163397448E-3</v>
      </c>
      <c r="L72">
        <v>156</v>
      </c>
      <c r="M72">
        <v>1.22522113490002E-4</v>
      </c>
      <c r="O72" t="s">
        <v>24</v>
      </c>
      <c r="P72">
        <v>18262.5</v>
      </c>
      <c r="Q72">
        <v>3287250</v>
      </c>
      <c r="R72" t="s">
        <v>24</v>
      </c>
      <c r="S72" t="s">
        <v>24</v>
      </c>
      <c r="T72" t="s">
        <v>24</v>
      </c>
      <c r="U72" t="s">
        <v>24</v>
      </c>
      <c r="V72" t="s">
        <v>24</v>
      </c>
      <c r="W72" t="s">
        <v>24</v>
      </c>
      <c r="X72" t="s">
        <v>24</v>
      </c>
      <c r="Y72" t="s">
        <v>24</v>
      </c>
      <c r="Z72" t="s">
        <v>24</v>
      </c>
      <c r="AA72" t="s">
        <v>24</v>
      </c>
      <c r="AB72">
        <v>0</v>
      </c>
      <c r="AC72" t="s">
        <v>24</v>
      </c>
      <c r="AD72" s="39" t="s">
        <v>195</v>
      </c>
    </row>
    <row r="73" spans="1:30">
      <c r="A73">
        <v>144</v>
      </c>
      <c r="B73" t="s">
        <v>156</v>
      </c>
      <c r="C73" t="s">
        <v>53</v>
      </c>
      <c r="D73">
        <v>0</v>
      </c>
      <c r="E73" s="12">
        <v>99</v>
      </c>
      <c r="F73">
        <v>2008</v>
      </c>
      <c r="H73" t="s">
        <v>160</v>
      </c>
      <c r="I73" t="s">
        <v>24</v>
      </c>
      <c r="J73" t="s">
        <v>24</v>
      </c>
      <c r="K73" t="s">
        <v>24</v>
      </c>
      <c r="L73" t="s">
        <v>24</v>
      </c>
      <c r="M73" t="s">
        <v>24</v>
      </c>
      <c r="O73" t="s">
        <v>24</v>
      </c>
      <c r="P73" t="s">
        <v>24</v>
      </c>
      <c r="Q73" t="s">
        <v>24</v>
      </c>
      <c r="R73" t="s">
        <v>24</v>
      </c>
      <c r="S73" t="s">
        <v>24</v>
      </c>
      <c r="T73" t="s">
        <v>24</v>
      </c>
      <c r="U73" t="s">
        <v>24</v>
      </c>
      <c r="V73" t="s">
        <v>24</v>
      </c>
      <c r="W73" t="s">
        <v>24</v>
      </c>
      <c r="X73" t="s">
        <v>24</v>
      </c>
      <c r="Y73" t="s">
        <v>24</v>
      </c>
      <c r="Z73" t="s">
        <v>24</v>
      </c>
      <c r="AA73" t="s">
        <v>24</v>
      </c>
      <c r="AB73" t="s">
        <v>24</v>
      </c>
      <c r="AC73" t="s">
        <v>24</v>
      </c>
      <c r="AD73" s="41"/>
    </row>
    <row r="74" spans="1:30">
      <c r="A74">
        <v>148</v>
      </c>
      <c r="B74" t="s">
        <v>156</v>
      </c>
      <c r="C74" t="s">
        <v>61</v>
      </c>
      <c r="D74">
        <v>1</v>
      </c>
      <c r="E74" s="12">
        <v>1</v>
      </c>
      <c r="F74">
        <v>2009</v>
      </c>
      <c r="G74">
        <v>1</v>
      </c>
      <c r="H74" t="s">
        <v>161</v>
      </c>
      <c r="I74" t="s">
        <v>146</v>
      </c>
      <c r="J74" t="s">
        <v>171</v>
      </c>
      <c r="K74">
        <v>4</v>
      </c>
      <c r="L74">
        <v>87</v>
      </c>
      <c r="M74">
        <v>3.4799999999999998E-2</v>
      </c>
      <c r="O74" t="s">
        <v>24</v>
      </c>
      <c r="P74">
        <v>294</v>
      </c>
      <c r="Q74">
        <v>145</v>
      </c>
      <c r="R74" t="s">
        <v>24</v>
      </c>
      <c r="S74" t="s">
        <v>24</v>
      </c>
      <c r="T74" t="s">
        <v>24</v>
      </c>
      <c r="U74" t="s">
        <v>24</v>
      </c>
      <c r="V74" t="s">
        <v>24</v>
      </c>
      <c r="W74" t="s">
        <v>24</v>
      </c>
      <c r="X74" t="s">
        <v>24</v>
      </c>
      <c r="Y74" t="s">
        <v>24</v>
      </c>
      <c r="Z74" t="s">
        <v>24</v>
      </c>
      <c r="AA74" t="s">
        <v>24</v>
      </c>
      <c r="AB74">
        <v>3</v>
      </c>
      <c r="AC74" t="s">
        <v>24</v>
      </c>
      <c r="AD74" s="42" t="s">
        <v>196</v>
      </c>
    </row>
    <row r="75" spans="1:30">
      <c r="A75">
        <v>149</v>
      </c>
      <c r="B75" t="s">
        <v>156</v>
      </c>
      <c r="C75" t="s">
        <v>61</v>
      </c>
      <c r="D75">
        <v>1</v>
      </c>
      <c r="E75" s="12">
        <v>2</v>
      </c>
      <c r="F75">
        <v>2009</v>
      </c>
      <c r="G75">
        <v>1</v>
      </c>
      <c r="H75" t="s">
        <v>161</v>
      </c>
      <c r="I75" t="s">
        <v>146</v>
      </c>
      <c r="J75" t="s">
        <v>171</v>
      </c>
      <c r="K75">
        <v>2.8274333882308102E-3</v>
      </c>
      <c r="L75">
        <v>87</v>
      </c>
      <c r="M75" s="1">
        <v>2.4598670477608099E-5</v>
      </c>
      <c r="N75" s="1"/>
      <c r="O75" t="s">
        <v>24</v>
      </c>
      <c r="P75">
        <v>294</v>
      </c>
      <c r="Q75">
        <v>145</v>
      </c>
      <c r="R75" t="s">
        <v>24</v>
      </c>
      <c r="S75" t="s">
        <v>24</v>
      </c>
      <c r="T75" t="s">
        <v>24</v>
      </c>
      <c r="U75" t="s">
        <v>24</v>
      </c>
      <c r="V75" t="s">
        <v>24</v>
      </c>
      <c r="W75" t="s">
        <v>24</v>
      </c>
      <c r="X75" t="s">
        <v>24</v>
      </c>
      <c r="Y75" t="s">
        <v>24</v>
      </c>
      <c r="Z75" t="s">
        <v>24</v>
      </c>
      <c r="AA75" t="s">
        <v>24</v>
      </c>
      <c r="AB75">
        <v>3</v>
      </c>
      <c r="AC75" t="s">
        <v>24</v>
      </c>
      <c r="AD75" s="43" t="s">
        <v>197</v>
      </c>
    </row>
    <row r="76" spans="1:30">
      <c r="A76">
        <v>150</v>
      </c>
      <c r="B76" t="s">
        <v>156</v>
      </c>
      <c r="C76" t="s">
        <v>61</v>
      </c>
      <c r="D76">
        <v>1</v>
      </c>
      <c r="E76" s="12">
        <v>3</v>
      </c>
      <c r="F76">
        <v>2009</v>
      </c>
      <c r="G76">
        <v>1</v>
      </c>
      <c r="H76" t="s">
        <v>161</v>
      </c>
      <c r="I76" t="s">
        <v>146</v>
      </c>
      <c r="J76" t="s">
        <v>171</v>
      </c>
      <c r="K76">
        <v>7853.9816339744802</v>
      </c>
      <c r="L76">
        <v>208</v>
      </c>
      <c r="M76">
        <v>163.362817986669</v>
      </c>
      <c r="O76" t="s">
        <v>24</v>
      </c>
      <c r="P76">
        <v>14</v>
      </c>
      <c r="Q76">
        <v>1.44444444444444</v>
      </c>
      <c r="R76" t="s">
        <v>24</v>
      </c>
      <c r="S76" t="s">
        <v>24</v>
      </c>
      <c r="T76" t="s">
        <v>24</v>
      </c>
      <c r="U76" t="s">
        <v>24</v>
      </c>
      <c r="V76" t="s">
        <v>24</v>
      </c>
      <c r="W76" t="s">
        <v>24</v>
      </c>
      <c r="X76" t="s">
        <v>24</v>
      </c>
      <c r="Y76" t="s">
        <v>24</v>
      </c>
      <c r="Z76" t="s">
        <v>24</v>
      </c>
      <c r="AA76" t="s">
        <v>24</v>
      </c>
      <c r="AB76">
        <v>3</v>
      </c>
      <c r="AC76" t="s">
        <v>24</v>
      </c>
      <c r="AD76" s="42" t="s">
        <v>198</v>
      </c>
    </row>
    <row r="77" spans="1:30">
      <c r="A77">
        <v>151</v>
      </c>
      <c r="B77" t="s">
        <v>156</v>
      </c>
      <c r="C77" t="s">
        <v>61</v>
      </c>
      <c r="D77">
        <v>1</v>
      </c>
      <c r="E77" s="12">
        <v>4</v>
      </c>
      <c r="F77">
        <v>2009</v>
      </c>
      <c r="G77">
        <v>1</v>
      </c>
      <c r="H77" t="s">
        <v>161</v>
      </c>
      <c r="I77" t="s">
        <v>146</v>
      </c>
      <c r="J77" t="s">
        <v>171</v>
      </c>
      <c r="K77">
        <v>400</v>
      </c>
      <c r="L77">
        <v>324</v>
      </c>
      <c r="M77">
        <v>12.96</v>
      </c>
      <c r="O77" t="s">
        <v>24</v>
      </c>
      <c r="P77">
        <v>0</v>
      </c>
      <c r="Q77">
        <v>50</v>
      </c>
      <c r="R77" t="s">
        <v>24</v>
      </c>
      <c r="S77" t="s">
        <v>24</v>
      </c>
      <c r="T77" t="s">
        <v>24</v>
      </c>
      <c r="U77" t="s">
        <v>24</v>
      </c>
      <c r="V77" t="s">
        <v>24</v>
      </c>
      <c r="W77" t="s">
        <v>24</v>
      </c>
      <c r="X77" t="s">
        <v>24</v>
      </c>
      <c r="Y77" t="s">
        <v>24</v>
      </c>
      <c r="Z77" t="s">
        <v>24</v>
      </c>
      <c r="AA77" t="s">
        <v>24</v>
      </c>
      <c r="AB77">
        <v>3</v>
      </c>
      <c r="AC77" t="s">
        <v>24</v>
      </c>
      <c r="AD77" s="42" t="s">
        <v>199</v>
      </c>
    </row>
    <row r="78" spans="1:30">
      <c r="A78">
        <v>152</v>
      </c>
      <c r="B78" t="s">
        <v>156</v>
      </c>
      <c r="C78" t="s">
        <v>61</v>
      </c>
      <c r="D78">
        <v>1</v>
      </c>
      <c r="E78" s="12">
        <v>5</v>
      </c>
      <c r="F78">
        <v>2009</v>
      </c>
      <c r="G78">
        <v>1</v>
      </c>
      <c r="H78" t="s">
        <v>161</v>
      </c>
      <c r="I78" t="s">
        <v>146</v>
      </c>
      <c r="J78" t="s">
        <v>171</v>
      </c>
      <c r="K78">
        <v>40</v>
      </c>
      <c r="L78">
        <v>648</v>
      </c>
      <c r="M78">
        <v>2.5920000000000001</v>
      </c>
      <c r="O78" t="s">
        <v>24</v>
      </c>
      <c r="P78">
        <v>0</v>
      </c>
      <c r="Q78">
        <v>20</v>
      </c>
      <c r="R78" t="s">
        <v>24</v>
      </c>
      <c r="S78" t="s">
        <v>24</v>
      </c>
      <c r="T78" t="s">
        <v>24</v>
      </c>
      <c r="U78" t="s">
        <v>24</v>
      </c>
      <c r="V78" t="s">
        <v>24</v>
      </c>
      <c r="W78" t="s">
        <v>24</v>
      </c>
      <c r="X78" t="s">
        <v>24</v>
      </c>
      <c r="Y78" t="s">
        <v>24</v>
      </c>
      <c r="Z78" t="s">
        <v>24</v>
      </c>
      <c r="AA78" t="s">
        <v>24</v>
      </c>
      <c r="AB78">
        <v>3</v>
      </c>
      <c r="AC78" t="s">
        <v>24</v>
      </c>
      <c r="AD78" s="42" t="s">
        <v>200</v>
      </c>
    </row>
    <row r="79" spans="1:30">
      <c r="A79">
        <v>153</v>
      </c>
      <c r="B79" t="s">
        <v>156</v>
      </c>
      <c r="C79" t="s">
        <v>61</v>
      </c>
      <c r="D79">
        <v>1</v>
      </c>
      <c r="E79" s="12">
        <v>6</v>
      </c>
      <c r="F79">
        <v>2009</v>
      </c>
      <c r="G79">
        <v>1</v>
      </c>
      <c r="H79" t="s">
        <v>161</v>
      </c>
      <c r="I79" t="s">
        <v>146</v>
      </c>
      <c r="J79" t="s">
        <v>171</v>
      </c>
      <c r="K79">
        <v>1</v>
      </c>
      <c r="L79">
        <v>432</v>
      </c>
      <c r="M79">
        <v>4.3200000000000002E-2</v>
      </c>
      <c r="O79" t="s">
        <v>24</v>
      </c>
      <c r="P79">
        <v>0</v>
      </c>
      <c r="Q79">
        <v>1</v>
      </c>
      <c r="R79" t="s">
        <v>24</v>
      </c>
      <c r="S79" t="s">
        <v>24</v>
      </c>
      <c r="T79" t="s">
        <v>24</v>
      </c>
      <c r="U79" t="s">
        <v>24</v>
      </c>
      <c r="V79" t="s">
        <v>24</v>
      </c>
      <c r="W79" t="s">
        <v>24</v>
      </c>
      <c r="X79" t="s">
        <v>24</v>
      </c>
      <c r="Y79" t="s">
        <v>24</v>
      </c>
      <c r="Z79" t="s">
        <v>24</v>
      </c>
      <c r="AA79" t="s">
        <v>24</v>
      </c>
      <c r="AB79">
        <v>3</v>
      </c>
      <c r="AC79" t="s">
        <v>24</v>
      </c>
      <c r="AD79" s="42" t="s">
        <v>119</v>
      </c>
    </row>
    <row r="80" spans="1:30">
      <c r="A80">
        <v>154</v>
      </c>
      <c r="B80" t="s">
        <v>156</v>
      </c>
      <c r="C80" t="s">
        <v>61</v>
      </c>
      <c r="D80">
        <v>1</v>
      </c>
      <c r="E80" s="12">
        <v>7</v>
      </c>
      <c r="F80">
        <v>2009</v>
      </c>
      <c r="G80">
        <v>1</v>
      </c>
      <c r="H80" t="s">
        <v>161</v>
      </c>
      <c r="I80" t="s">
        <v>146</v>
      </c>
      <c r="J80" t="s">
        <v>171</v>
      </c>
      <c r="K80">
        <v>1</v>
      </c>
      <c r="L80">
        <v>216</v>
      </c>
      <c r="M80">
        <v>2.1600000000000001E-2</v>
      </c>
      <c r="O80" t="s">
        <v>24</v>
      </c>
      <c r="P80">
        <v>0</v>
      </c>
      <c r="Q80">
        <v>1</v>
      </c>
      <c r="R80" t="s">
        <v>24</v>
      </c>
      <c r="S80" t="s">
        <v>24</v>
      </c>
      <c r="T80" t="s">
        <v>24</v>
      </c>
      <c r="U80" t="s">
        <v>24</v>
      </c>
      <c r="V80" t="s">
        <v>24</v>
      </c>
      <c r="W80" t="s">
        <v>24</v>
      </c>
      <c r="X80" t="s">
        <v>24</v>
      </c>
      <c r="Y80" t="s">
        <v>24</v>
      </c>
      <c r="Z80" t="s">
        <v>24</v>
      </c>
      <c r="AA80" t="s">
        <v>24</v>
      </c>
      <c r="AB80">
        <v>3</v>
      </c>
      <c r="AC80" t="s">
        <v>24</v>
      </c>
      <c r="AD80" s="43" t="s">
        <v>201</v>
      </c>
    </row>
    <row r="81" spans="1:30">
      <c r="A81">
        <v>155</v>
      </c>
      <c r="B81" t="s">
        <v>156</v>
      </c>
      <c r="C81" t="s">
        <v>61</v>
      </c>
      <c r="D81">
        <v>1</v>
      </c>
      <c r="E81" s="12">
        <v>8</v>
      </c>
      <c r="F81">
        <v>2009</v>
      </c>
      <c r="G81">
        <v>1</v>
      </c>
      <c r="H81" t="s">
        <v>161</v>
      </c>
      <c r="I81" t="s">
        <v>146</v>
      </c>
      <c r="J81" t="s">
        <v>171</v>
      </c>
      <c r="K81">
        <v>0.5</v>
      </c>
      <c r="L81">
        <v>540</v>
      </c>
      <c r="M81">
        <v>2.7E-2</v>
      </c>
      <c r="O81" t="s">
        <v>24</v>
      </c>
      <c r="P81">
        <v>0</v>
      </c>
      <c r="Q81">
        <v>1</v>
      </c>
      <c r="R81" t="s">
        <v>24</v>
      </c>
      <c r="S81" t="s">
        <v>24</v>
      </c>
      <c r="T81" t="s">
        <v>24</v>
      </c>
      <c r="U81" t="s">
        <v>24</v>
      </c>
      <c r="V81" t="s">
        <v>24</v>
      </c>
      <c r="W81" t="s">
        <v>24</v>
      </c>
      <c r="X81" t="s">
        <v>24</v>
      </c>
      <c r="Y81" t="s">
        <v>24</v>
      </c>
      <c r="Z81" t="s">
        <v>24</v>
      </c>
      <c r="AA81" t="s">
        <v>24</v>
      </c>
      <c r="AB81">
        <v>3</v>
      </c>
      <c r="AC81" t="s">
        <v>24</v>
      </c>
      <c r="AD81" s="43" t="s">
        <v>202</v>
      </c>
    </row>
    <row r="82" spans="1:30">
      <c r="A82">
        <v>141</v>
      </c>
      <c r="B82" t="s">
        <v>156</v>
      </c>
      <c r="C82" s="11" t="s">
        <v>54</v>
      </c>
      <c r="D82">
        <v>0</v>
      </c>
      <c r="E82" s="12">
        <v>99</v>
      </c>
      <c r="F82">
        <v>2012</v>
      </c>
      <c r="H82" t="s">
        <v>79</v>
      </c>
      <c r="I82" t="s">
        <v>24</v>
      </c>
      <c r="J82" t="s">
        <v>24</v>
      </c>
      <c r="K82" t="s">
        <v>24</v>
      </c>
      <c r="L82" t="s">
        <v>24</v>
      </c>
      <c r="M82" t="s">
        <v>24</v>
      </c>
      <c r="O82" t="s">
        <v>24</v>
      </c>
      <c r="P82" t="s">
        <v>24</v>
      </c>
      <c r="Q82" t="s">
        <v>24</v>
      </c>
      <c r="R82" t="s">
        <v>24</v>
      </c>
      <c r="S82" t="s">
        <v>24</v>
      </c>
      <c r="T82" t="s">
        <v>24</v>
      </c>
      <c r="U82" t="s">
        <v>24</v>
      </c>
      <c r="V82" t="s">
        <v>24</v>
      </c>
      <c r="W82" t="s">
        <v>24</v>
      </c>
      <c r="X82" t="s">
        <v>24</v>
      </c>
      <c r="Y82" t="s">
        <v>24</v>
      </c>
      <c r="Z82" t="s">
        <v>24</v>
      </c>
      <c r="AA82" t="s">
        <v>24</v>
      </c>
      <c r="AB82" t="s">
        <v>24</v>
      </c>
      <c r="AC82" t="s">
        <v>24</v>
      </c>
      <c r="AD82" s="41"/>
    </row>
    <row r="83" spans="1:30">
      <c r="A83">
        <v>143</v>
      </c>
      <c r="B83" t="s">
        <v>156</v>
      </c>
      <c r="C83" t="s">
        <v>77</v>
      </c>
      <c r="D83">
        <v>0</v>
      </c>
      <c r="E83" s="12">
        <v>99</v>
      </c>
      <c r="F83">
        <v>2013</v>
      </c>
      <c r="H83" t="s">
        <v>79</v>
      </c>
      <c r="I83" t="s">
        <v>24</v>
      </c>
      <c r="J83" t="s">
        <v>24</v>
      </c>
      <c r="K83" t="s">
        <v>24</v>
      </c>
      <c r="L83" t="s">
        <v>24</v>
      </c>
      <c r="M83" t="s">
        <v>24</v>
      </c>
      <c r="O83" t="s">
        <v>24</v>
      </c>
      <c r="P83" t="s">
        <v>24</v>
      </c>
      <c r="Q83" t="s">
        <v>24</v>
      </c>
      <c r="R83" t="s">
        <v>24</v>
      </c>
      <c r="S83" t="s">
        <v>24</v>
      </c>
      <c r="T83" t="s">
        <v>24</v>
      </c>
      <c r="U83" t="s">
        <v>24</v>
      </c>
      <c r="V83" t="s">
        <v>24</v>
      </c>
      <c r="W83" t="s">
        <v>24</v>
      </c>
      <c r="X83" t="s">
        <v>24</v>
      </c>
      <c r="Y83" t="s">
        <v>24</v>
      </c>
      <c r="Z83" t="s">
        <v>24</v>
      </c>
      <c r="AA83" t="s">
        <v>24</v>
      </c>
      <c r="AB83" t="s">
        <v>24</v>
      </c>
      <c r="AC83" t="s">
        <v>24</v>
      </c>
      <c r="AD83" s="41"/>
    </row>
    <row r="84" spans="1:30">
      <c r="A84">
        <v>145</v>
      </c>
      <c r="B84" t="s">
        <v>156</v>
      </c>
      <c r="C84" s="11" t="s">
        <v>55</v>
      </c>
      <c r="D84">
        <v>1</v>
      </c>
      <c r="E84" s="12">
        <v>1</v>
      </c>
      <c r="F84">
        <v>2007</v>
      </c>
      <c r="G84">
        <v>1</v>
      </c>
      <c r="H84" t="s">
        <v>161</v>
      </c>
      <c r="I84" t="s">
        <v>56</v>
      </c>
      <c r="J84" t="s">
        <v>170</v>
      </c>
      <c r="K84">
        <v>0.01</v>
      </c>
      <c r="L84">
        <v>15</v>
      </c>
      <c r="M84" s="1">
        <v>1.5E-5</v>
      </c>
      <c r="N84" s="1"/>
      <c r="O84" t="s">
        <v>24</v>
      </c>
      <c r="P84">
        <v>0</v>
      </c>
      <c r="Q84">
        <v>0.5</v>
      </c>
      <c r="R84" t="s">
        <v>24</v>
      </c>
      <c r="S84" t="s">
        <v>24</v>
      </c>
      <c r="T84" t="s">
        <v>24</v>
      </c>
      <c r="U84" t="s">
        <v>24</v>
      </c>
      <c r="V84" t="s">
        <v>24</v>
      </c>
      <c r="W84" t="s">
        <v>24</v>
      </c>
      <c r="X84" t="s">
        <v>24</v>
      </c>
      <c r="Y84" t="s">
        <v>24</v>
      </c>
      <c r="Z84" t="s">
        <v>24</v>
      </c>
      <c r="AA84" t="s">
        <v>24</v>
      </c>
      <c r="AB84">
        <v>0</v>
      </c>
      <c r="AC84" t="s">
        <v>24</v>
      </c>
      <c r="AD84" s="43" t="s">
        <v>203</v>
      </c>
    </row>
    <row r="85" spans="1:30">
      <c r="A85">
        <v>146</v>
      </c>
      <c r="B85" t="s">
        <v>156</v>
      </c>
      <c r="C85" s="11" t="s">
        <v>55</v>
      </c>
      <c r="D85">
        <v>1</v>
      </c>
      <c r="E85" s="12">
        <v>2</v>
      </c>
      <c r="F85">
        <v>2007</v>
      </c>
      <c r="G85">
        <v>1</v>
      </c>
      <c r="H85" t="s">
        <v>161</v>
      </c>
      <c r="I85" t="s">
        <v>56</v>
      </c>
      <c r="J85" t="s">
        <v>170</v>
      </c>
      <c r="K85">
        <v>0.25</v>
      </c>
      <c r="L85">
        <v>48</v>
      </c>
      <c r="M85">
        <v>1.1999999999999999E-3</v>
      </c>
      <c r="O85" t="s">
        <v>24</v>
      </c>
      <c r="P85">
        <v>60</v>
      </c>
      <c r="Q85">
        <v>1</v>
      </c>
      <c r="R85" t="s">
        <v>24</v>
      </c>
      <c r="S85" t="s">
        <v>24</v>
      </c>
      <c r="T85" t="s">
        <v>24</v>
      </c>
      <c r="U85" t="s">
        <v>24</v>
      </c>
      <c r="V85" t="s">
        <v>24</v>
      </c>
      <c r="W85" t="s">
        <v>24</v>
      </c>
      <c r="X85" t="s">
        <v>24</v>
      </c>
      <c r="Y85" t="s">
        <v>24</v>
      </c>
      <c r="Z85" t="s">
        <v>24</v>
      </c>
      <c r="AA85" t="s">
        <v>24</v>
      </c>
      <c r="AB85">
        <v>0</v>
      </c>
      <c r="AC85" t="s">
        <v>24</v>
      </c>
      <c r="AD85" s="43" t="s">
        <v>204</v>
      </c>
    </row>
    <row r="86" spans="1:30">
      <c r="A86">
        <v>147</v>
      </c>
      <c r="B86" t="s">
        <v>156</v>
      </c>
      <c r="C86" s="11" t="s">
        <v>55</v>
      </c>
      <c r="D86">
        <v>1</v>
      </c>
      <c r="E86" s="12">
        <v>4</v>
      </c>
      <c r="F86">
        <v>2007</v>
      </c>
      <c r="G86">
        <v>1</v>
      </c>
      <c r="H86" t="s">
        <v>161</v>
      </c>
      <c r="I86" t="s">
        <v>56</v>
      </c>
      <c r="J86" t="s">
        <v>170</v>
      </c>
      <c r="K86">
        <v>0.01</v>
      </c>
      <c r="L86">
        <v>30</v>
      </c>
      <c r="M86" s="1">
        <v>3.0000000000000001E-5</v>
      </c>
      <c r="N86" s="1"/>
      <c r="O86" t="s">
        <v>24</v>
      </c>
      <c r="P86">
        <v>0</v>
      </c>
      <c r="Q86">
        <v>0.5</v>
      </c>
      <c r="R86" t="s">
        <v>24</v>
      </c>
      <c r="S86" t="s">
        <v>24</v>
      </c>
      <c r="T86" t="s">
        <v>24</v>
      </c>
      <c r="U86" t="s">
        <v>24</v>
      </c>
      <c r="V86" t="s">
        <v>24</v>
      </c>
      <c r="W86" t="s">
        <v>24</v>
      </c>
      <c r="X86" t="s">
        <v>24</v>
      </c>
      <c r="Y86" t="s">
        <v>24</v>
      </c>
      <c r="Z86" t="s">
        <v>24</v>
      </c>
      <c r="AA86" t="s">
        <v>24</v>
      </c>
      <c r="AB86">
        <v>0</v>
      </c>
      <c r="AC86" t="s">
        <v>24</v>
      </c>
      <c r="AD86" s="43" t="s">
        <v>205</v>
      </c>
    </row>
    <row r="87" spans="1:30">
      <c r="A87">
        <v>130</v>
      </c>
      <c r="B87" t="s">
        <v>156</v>
      </c>
      <c r="C87" t="s">
        <v>43</v>
      </c>
      <c r="D87">
        <v>1</v>
      </c>
      <c r="E87" s="12">
        <v>1</v>
      </c>
      <c r="F87">
        <v>2013</v>
      </c>
      <c r="G87">
        <v>1</v>
      </c>
      <c r="H87" t="s">
        <v>161</v>
      </c>
      <c r="I87" t="s">
        <v>165</v>
      </c>
      <c r="J87" t="s">
        <v>166</v>
      </c>
      <c r="K87">
        <v>400</v>
      </c>
      <c r="L87">
        <v>20</v>
      </c>
      <c r="M87">
        <v>0.8</v>
      </c>
      <c r="O87" t="s">
        <v>24</v>
      </c>
      <c r="P87">
        <v>7305</v>
      </c>
      <c r="Q87">
        <v>20</v>
      </c>
      <c r="R87" t="s">
        <v>24</v>
      </c>
      <c r="S87" t="s">
        <v>24</v>
      </c>
      <c r="T87" t="s">
        <v>24</v>
      </c>
      <c r="U87" t="s">
        <v>24</v>
      </c>
      <c r="V87" t="s">
        <v>24</v>
      </c>
      <c r="W87" t="s">
        <v>24</v>
      </c>
      <c r="X87" t="s">
        <v>24</v>
      </c>
      <c r="Y87" t="s">
        <v>24</v>
      </c>
      <c r="Z87" t="s">
        <v>24</v>
      </c>
      <c r="AA87" t="s">
        <v>24</v>
      </c>
      <c r="AB87">
        <v>0</v>
      </c>
      <c r="AC87" t="s">
        <v>24</v>
      </c>
      <c r="AD87" s="43" t="s">
        <v>206</v>
      </c>
    </row>
    <row r="88" spans="1:30">
      <c r="A88">
        <v>131</v>
      </c>
      <c r="B88" t="s">
        <v>156</v>
      </c>
      <c r="C88" t="s">
        <v>43</v>
      </c>
      <c r="D88">
        <v>1</v>
      </c>
      <c r="E88" s="12">
        <v>2</v>
      </c>
      <c r="F88">
        <v>2013</v>
      </c>
      <c r="G88">
        <v>1</v>
      </c>
      <c r="H88" t="s">
        <v>161</v>
      </c>
      <c r="I88" t="s">
        <v>165</v>
      </c>
      <c r="J88" t="s">
        <v>166</v>
      </c>
      <c r="K88">
        <v>0.23</v>
      </c>
      <c r="L88">
        <v>100</v>
      </c>
      <c r="M88">
        <v>2.3E-3</v>
      </c>
      <c r="O88" t="s">
        <v>24</v>
      </c>
      <c r="P88">
        <v>365</v>
      </c>
      <c r="Q88">
        <v>20</v>
      </c>
      <c r="R88" t="s">
        <v>24</v>
      </c>
      <c r="S88" t="s">
        <v>24</v>
      </c>
      <c r="T88" t="s">
        <v>24</v>
      </c>
      <c r="U88" t="s">
        <v>24</v>
      </c>
      <c r="V88" t="s">
        <v>24</v>
      </c>
      <c r="W88" t="s">
        <v>24</v>
      </c>
      <c r="X88" t="s">
        <v>24</v>
      </c>
      <c r="Y88" t="s">
        <v>24</v>
      </c>
      <c r="Z88" t="s">
        <v>24</v>
      </c>
      <c r="AA88" t="s">
        <v>24</v>
      </c>
      <c r="AB88">
        <v>0</v>
      </c>
      <c r="AC88" t="s">
        <v>24</v>
      </c>
      <c r="AD88" s="43" t="s">
        <v>207</v>
      </c>
    </row>
    <row r="89" spans="1:30">
      <c r="A89">
        <v>132</v>
      </c>
      <c r="B89" t="s">
        <v>156</v>
      </c>
      <c r="C89" t="s">
        <v>43</v>
      </c>
      <c r="D89">
        <v>1</v>
      </c>
      <c r="E89" s="12">
        <v>3</v>
      </c>
      <c r="F89">
        <v>2013</v>
      </c>
      <c r="G89">
        <v>1</v>
      </c>
      <c r="H89" t="s">
        <v>161</v>
      </c>
      <c r="I89" t="s">
        <v>165</v>
      </c>
      <c r="J89" t="s">
        <v>166</v>
      </c>
      <c r="K89">
        <v>2.2499999999999999E-2</v>
      </c>
      <c r="L89">
        <v>100</v>
      </c>
      <c r="M89">
        <v>2.2499999999999999E-4</v>
      </c>
      <c r="O89" t="s">
        <v>24</v>
      </c>
      <c r="P89">
        <v>0</v>
      </c>
      <c r="Q89">
        <v>10</v>
      </c>
      <c r="R89" t="s">
        <v>24</v>
      </c>
      <c r="S89" t="s">
        <v>24</v>
      </c>
      <c r="T89" t="s">
        <v>24</v>
      </c>
      <c r="U89" t="s">
        <v>24</v>
      </c>
      <c r="V89" t="s">
        <v>24</v>
      </c>
      <c r="W89" t="s">
        <v>24</v>
      </c>
      <c r="X89" t="s">
        <v>24</v>
      </c>
      <c r="Y89" t="s">
        <v>24</v>
      </c>
      <c r="Z89" t="s">
        <v>24</v>
      </c>
      <c r="AA89" t="s">
        <v>24</v>
      </c>
      <c r="AB89">
        <v>0</v>
      </c>
      <c r="AC89" t="s">
        <v>24</v>
      </c>
      <c r="AD89" s="43" t="s">
        <v>208</v>
      </c>
    </row>
    <row r="90" spans="1:30">
      <c r="A90">
        <v>133</v>
      </c>
      <c r="B90" t="s">
        <v>156</v>
      </c>
      <c r="C90" t="s">
        <v>43</v>
      </c>
      <c r="D90">
        <v>1</v>
      </c>
      <c r="E90" s="12">
        <v>4</v>
      </c>
      <c r="F90">
        <v>2013</v>
      </c>
      <c r="G90">
        <v>1</v>
      </c>
      <c r="H90" t="s">
        <v>161</v>
      </c>
      <c r="I90" t="s">
        <v>165</v>
      </c>
      <c r="J90" t="s">
        <v>166</v>
      </c>
      <c r="K90">
        <v>6.3617251235193297E-3</v>
      </c>
      <c r="L90">
        <v>100</v>
      </c>
      <c r="M90" s="1">
        <v>6.3617251235193305E-5</v>
      </c>
      <c r="N90" s="1"/>
      <c r="O90" t="s">
        <v>24</v>
      </c>
      <c r="P90">
        <v>0</v>
      </c>
      <c r="Q90">
        <v>10</v>
      </c>
      <c r="R90" t="s">
        <v>24</v>
      </c>
      <c r="S90" t="s">
        <v>24</v>
      </c>
      <c r="T90" t="s">
        <v>24</v>
      </c>
      <c r="U90" t="s">
        <v>24</v>
      </c>
      <c r="V90" t="s">
        <v>24</v>
      </c>
      <c r="W90" t="s">
        <v>24</v>
      </c>
      <c r="X90" t="s">
        <v>24</v>
      </c>
      <c r="Y90" t="s">
        <v>24</v>
      </c>
      <c r="Z90" t="s">
        <v>24</v>
      </c>
      <c r="AA90" t="s">
        <v>24</v>
      </c>
      <c r="AB90">
        <v>0</v>
      </c>
      <c r="AC90" t="s">
        <v>24</v>
      </c>
      <c r="AD90" s="43" t="s">
        <v>209</v>
      </c>
    </row>
    <row r="91" spans="1:30">
      <c r="A91">
        <v>134</v>
      </c>
      <c r="B91" t="s">
        <v>156</v>
      </c>
      <c r="C91" t="s">
        <v>43</v>
      </c>
      <c r="D91">
        <v>1</v>
      </c>
      <c r="E91" s="12">
        <v>5</v>
      </c>
      <c r="F91">
        <v>2013</v>
      </c>
      <c r="G91">
        <v>1</v>
      </c>
      <c r="H91" t="s">
        <v>161</v>
      </c>
      <c r="I91" t="s">
        <v>165</v>
      </c>
      <c r="J91" t="s">
        <v>166</v>
      </c>
      <c r="K91">
        <v>3.8484510006475E-3</v>
      </c>
      <c r="L91">
        <v>240</v>
      </c>
      <c r="M91" s="1">
        <v>9.2362824015539905E-5</v>
      </c>
      <c r="N91" s="1"/>
      <c r="O91" t="s">
        <v>24</v>
      </c>
      <c r="P91">
        <v>30</v>
      </c>
      <c r="Q91">
        <v>10</v>
      </c>
      <c r="R91" t="s">
        <v>24</v>
      </c>
      <c r="S91" t="s">
        <v>24</v>
      </c>
      <c r="T91" t="s">
        <v>24</v>
      </c>
      <c r="U91" t="s">
        <v>24</v>
      </c>
      <c r="V91" t="s">
        <v>24</v>
      </c>
      <c r="W91" t="s">
        <v>24</v>
      </c>
      <c r="X91" t="s">
        <v>24</v>
      </c>
      <c r="Y91" t="s">
        <v>24</v>
      </c>
      <c r="Z91" t="s">
        <v>24</v>
      </c>
      <c r="AA91" t="s">
        <v>24</v>
      </c>
      <c r="AB91">
        <v>0</v>
      </c>
      <c r="AC91" t="s">
        <v>24</v>
      </c>
      <c r="AD91" s="43" t="s">
        <v>210</v>
      </c>
    </row>
    <row r="92" spans="1:30">
      <c r="A92">
        <v>135</v>
      </c>
      <c r="B92" t="s">
        <v>156</v>
      </c>
      <c r="C92" t="s">
        <v>43</v>
      </c>
      <c r="D92">
        <v>1</v>
      </c>
      <c r="E92" s="12">
        <v>6</v>
      </c>
      <c r="F92">
        <v>2013</v>
      </c>
      <c r="G92">
        <v>1</v>
      </c>
      <c r="H92" t="s">
        <v>161</v>
      </c>
      <c r="I92" t="s">
        <v>165</v>
      </c>
      <c r="J92" t="s">
        <v>166</v>
      </c>
      <c r="K92">
        <v>1.96349540849362E-3</v>
      </c>
      <c r="L92">
        <v>400</v>
      </c>
      <c r="M92" s="1">
        <v>7.85398163397448E-5</v>
      </c>
      <c r="N92" s="1"/>
      <c r="O92" t="s">
        <v>24</v>
      </c>
      <c r="P92">
        <v>0</v>
      </c>
      <c r="Q92">
        <v>10</v>
      </c>
      <c r="R92" t="s">
        <v>24</v>
      </c>
      <c r="S92" t="s">
        <v>24</v>
      </c>
      <c r="T92" t="s">
        <v>24</v>
      </c>
      <c r="U92" t="s">
        <v>24</v>
      </c>
      <c r="V92" t="s">
        <v>24</v>
      </c>
      <c r="W92" t="s">
        <v>24</v>
      </c>
      <c r="X92" t="s">
        <v>24</v>
      </c>
      <c r="Y92" t="s">
        <v>24</v>
      </c>
      <c r="Z92" t="s">
        <v>24</v>
      </c>
      <c r="AA92" t="s">
        <v>24</v>
      </c>
      <c r="AB92">
        <v>0</v>
      </c>
      <c r="AC92" t="s">
        <v>24</v>
      </c>
      <c r="AD92" s="43" t="s">
        <v>211</v>
      </c>
    </row>
    <row r="93" spans="1:30">
      <c r="A93">
        <v>26</v>
      </c>
      <c r="B93" t="s">
        <v>22</v>
      </c>
      <c r="C93" s="2" t="s">
        <v>68</v>
      </c>
      <c r="D93">
        <v>1</v>
      </c>
      <c r="E93" s="12">
        <v>1</v>
      </c>
      <c r="F93">
        <v>2006</v>
      </c>
      <c r="G93">
        <v>1</v>
      </c>
      <c r="H93" t="s">
        <v>27</v>
      </c>
      <c r="I93" t="s">
        <v>69</v>
      </c>
      <c r="J93" t="s">
        <v>70</v>
      </c>
      <c r="K93">
        <v>7853.9816339744802</v>
      </c>
      <c r="L93">
        <v>50</v>
      </c>
      <c r="M93">
        <v>39.269908169872402</v>
      </c>
      <c r="N93" s="68">
        <v>600</v>
      </c>
      <c r="O93">
        <v>3.4722222222222199E-3</v>
      </c>
      <c r="P93">
        <v>1.52</v>
      </c>
      <c r="Q93">
        <v>2.0833333333333301E-2</v>
      </c>
      <c r="R93">
        <v>76</v>
      </c>
      <c r="S93" t="s">
        <v>24</v>
      </c>
      <c r="T93" t="s">
        <v>24</v>
      </c>
      <c r="U93">
        <v>1</v>
      </c>
      <c r="V93">
        <v>1</v>
      </c>
      <c r="W93" t="s">
        <v>24</v>
      </c>
      <c r="X93" t="s">
        <v>24</v>
      </c>
      <c r="Y93" t="s">
        <v>24</v>
      </c>
      <c r="Z93" t="s">
        <v>24</v>
      </c>
      <c r="AA93" t="s">
        <v>24</v>
      </c>
      <c r="AB93">
        <v>1</v>
      </c>
      <c r="AC93" t="s">
        <v>24</v>
      </c>
      <c r="AD93" t="s">
        <v>66</v>
      </c>
    </row>
    <row r="94" spans="1:30">
      <c r="A94">
        <v>27</v>
      </c>
      <c r="B94" t="s">
        <v>22</v>
      </c>
      <c r="C94" s="2" t="s">
        <v>68</v>
      </c>
      <c r="D94">
        <v>1</v>
      </c>
      <c r="E94" s="12">
        <v>2</v>
      </c>
      <c r="F94">
        <v>2006</v>
      </c>
      <c r="G94">
        <v>1</v>
      </c>
      <c r="H94" t="s">
        <v>27</v>
      </c>
      <c r="I94" t="s">
        <v>69</v>
      </c>
      <c r="J94" t="s">
        <v>70</v>
      </c>
      <c r="K94">
        <v>2827.4333882308101</v>
      </c>
      <c r="L94">
        <v>600</v>
      </c>
      <c r="M94">
        <v>169.64600329384899</v>
      </c>
      <c r="N94" s="68">
        <v>600</v>
      </c>
      <c r="O94">
        <v>3.4722222222222203E-2</v>
      </c>
      <c r="P94">
        <v>0.12666666666666701</v>
      </c>
      <c r="Q94">
        <v>0.3125</v>
      </c>
      <c r="R94">
        <v>76</v>
      </c>
      <c r="S94" t="s">
        <v>24</v>
      </c>
      <c r="T94" t="s">
        <v>24</v>
      </c>
      <c r="U94" t="s">
        <v>24</v>
      </c>
      <c r="V94" t="s">
        <v>24</v>
      </c>
      <c r="W94" t="s">
        <v>24</v>
      </c>
      <c r="X94" t="s">
        <v>24</v>
      </c>
      <c r="Y94">
        <v>1</v>
      </c>
      <c r="Z94" t="s">
        <v>24</v>
      </c>
      <c r="AA94" t="s">
        <v>24</v>
      </c>
      <c r="AB94">
        <v>1</v>
      </c>
      <c r="AC94" t="s">
        <v>24</v>
      </c>
      <c r="AD94" t="s">
        <v>71</v>
      </c>
    </row>
    <row r="95" spans="1:30">
      <c r="A95">
        <v>29</v>
      </c>
      <c r="B95" t="s">
        <v>22</v>
      </c>
      <c r="C95" s="3" t="s">
        <v>73</v>
      </c>
      <c r="D95">
        <v>1</v>
      </c>
      <c r="E95" s="12">
        <v>1</v>
      </c>
      <c r="F95">
        <v>2010</v>
      </c>
      <c r="G95">
        <v>1</v>
      </c>
      <c r="H95" t="s">
        <v>27</v>
      </c>
      <c r="I95" t="s">
        <v>74</v>
      </c>
      <c r="J95" t="s">
        <v>75</v>
      </c>
      <c r="K95">
        <v>0.25</v>
      </c>
      <c r="L95">
        <v>276</v>
      </c>
      <c r="M95">
        <v>6.8999999999999999E-3</v>
      </c>
      <c r="N95" s="67">
        <v>19144020.300000001</v>
      </c>
      <c r="O95">
        <v>1</v>
      </c>
      <c r="P95">
        <v>0</v>
      </c>
      <c r="Q95" s="37">
        <v>1</v>
      </c>
      <c r="R95" s="83">
        <f>Q95</f>
        <v>1</v>
      </c>
      <c r="S95" t="s">
        <v>24</v>
      </c>
      <c r="T95" t="s">
        <v>24</v>
      </c>
      <c r="U95" t="s">
        <v>24</v>
      </c>
      <c r="V95" t="s">
        <v>24</v>
      </c>
      <c r="W95" t="s">
        <v>24</v>
      </c>
      <c r="X95" t="s">
        <v>24</v>
      </c>
      <c r="Y95">
        <v>1</v>
      </c>
      <c r="Z95" t="s">
        <v>24</v>
      </c>
      <c r="AA95" t="s">
        <v>24</v>
      </c>
      <c r="AB95">
        <v>0</v>
      </c>
      <c r="AC95" t="s">
        <v>24</v>
      </c>
      <c r="AD95" t="s">
        <v>76</v>
      </c>
    </row>
    <row r="96" spans="1:30">
      <c r="A96">
        <v>6</v>
      </c>
      <c r="B96" t="s">
        <v>22</v>
      </c>
      <c r="C96" s="4" t="s">
        <v>36</v>
      </c>
      <c r="D96">
        <v>1</v>
      </c>
      <c r="E96" s="12">
        <v>1</v>
      </c>
      <c r="F96">
        <v>2012</v>
      </c>
      <c r="G96">
        <v>1</v>
      </c>
      <c r="H96" t="s">
        <v>27</v>
      </c>
      <c r="I96" t="s">
        <v>28</v>
      </c>
      <c r="J96" t="s">
        <v>37</v>
      </c>
      <c r="K96">
        <v>1.0134149581950001E-2</v>
      </c>
      <c r="L96">
        <v>40</v>
      </c>
      <c r="M96" s="1">
        <v>4.0536598327799801E-5</v>
      </c>
      <c r="N96" s="68">
        <v>96849.11</v>
      </c>
      <c r="O96">
        <v>0.13888888888888901</v>
      </c>
      <c r="P96">
        <v>7</v>
      </c>
      <c r="Q96">
        <v>5.5555555555555598</v>
      </c>
      <c r="R96">
        <v>28</v>
      </c>
      <c r="S96" t="s">
        <v>24</v>
      </c>
      <c r="T96" t="s">
        <v>24</v>
      </c>
      <c r="U96">
        <v>1</v>
      </c>
      <c r="V96" t="s">
        <v>24</v>
      </c>
      <c r="W96" t="s">
        <v>24</v>
      </c>
      <c r="X96" t="s">
        <v>24</v>
      </c>
      <c r="Y96" t="s">
        <v>24</v>
      </c>
      <c r="Z96" t="s">
        <v>24</v>
      </c>
      <c r="AA96">
        <v>1</v>
      </c>
      <c r="AB96">
        <v>1</v>
      </c>
      <c r="AC96" t="s">
        <v>24</v>
      </c>
      <c r="AD96" t="s">
        <v>24</v>
      </c>
    </row>
    <row r="97" spans="1:30">
      <c r="A97">
        <v>2</v>
      </c>
      <c r="B97" t="s">
        <v>22</v>
      </c>
      <c r="C97" s="5" t="s">
        <v>26</v>
      </c>
      <c r="D97">
        <v>1</v>
      </c>
      <c r="E97" s="12">
        <v>1</v>
      </c>
      <c r="F97">
        <v>2011</v>
      </c>
      <c r="G97">
        <v>1</v>
      </c>
      <c r="H97" t="s">
        <v>27</v>
      </c>
      <c r="I97" t="s">
        <v>28</v>
      </c>
      <c r="J97" t="s">
        <v>29</v>
      </c>
      <c r="K97">
        <v>450</v>
      </c>
      <c r="L97">
        <v>34</v>
      </c>
      <c r="M97">
        <v>1.53</v>
      </c>
      <c r="N97" s="68">
        <v>846.9</v>
      </c>
      <c r="O97">
        <v>0.5</v>
      </c>
      <c r="P97">
        <v>30</v>
      </c>
      <c r="Q97">
        <v>1</v>
      </c>
      <c r="R97">
        <v>61</v>
      </c>
      <c r="S97">
        <v>0</v>
      </c>
      <c r="T97">
        <v>0</v>
      </c>
      <c r="U97">
        <v>1</v>
      </c>
      <c r="V97">
        <v>0</v>
      </c>
      <c r="W97">
        <v>1</v>
      </c>
      <c r="X97" t="s">
        <v>24</v>
      </c>
      <c r="Y97" t="s">
        <v>24</v>
      </c>
      <c r="Z97">
        <v>1</v>
      </c>
      <c r="AA97" t="s">
        <v>24</v>
      </c>
      <c r="AB97">
        <v>1</v>
      </c>
      <c r="AC97" t="s">
        <v>24</v>
      </c>
      <c r="AD97" t="s">
        <v>24</v>
      </c>
    </row>
    <row r="98" spans="1:30">
      <c r="A98">
        <v>5</v>
      </c>
      <c r="B98" t="s">
        <v>22</v>
      </c>
      <c r="C98" s="6" t="s">
        <v>35</v>
      </c>
      <c r="D98">
        <v>0</v>
      </c>
      <c r="E98" s="12">
        <v>99</v>
      </c>
      <c r="F98">
        <v>2014</v>
      </c>
      <c r="H98" t="s">
        <v>24</v>
      </c>
      <c r="I98" t="s">
        <v>24</v>
      </c>
      <c r="J98" t="s">
        <v>24</v>
      </c>
      <c r="K98" t="s">
        <v>24</v>
      </c>
      <c r="L98" t="s">
        <v>24</v>
      </c>
      <c r="M98" t="s">
        <v>24</v>
      </c>
      <c r="N98" s="69"/>
      <c r="O98" t="s">
        <v>24</v>
      </c>
      <c r="P98" t="s">
        <v>24</v>
      </c>
      <c r="Q98" t="s">
        <v>24</v>
      </c>
      <c r="R98" t="s">
        <v>24</v>
      </c>
      <c r="S98" t="s">
        <v>24</v>
      </c>
      <c r="T98" t="s">
        <v>24</v>
      </c>
      <c r="U98" t="s">
        <v>24</v>
      </c>
      <c r="V98" t="s">
        <v>24</v>
      </c>
      <c r="W98" t="s">
        <v>24</v>
      </c>
      <c r="X98" t="s">
        <v>24</v>
      </c>
      <c r="Y98" t="s">
        <v>24</v>
      </c>
      <c r="Z98" t="s">
        <v>24</v>
      </c>
      <c r="AA98" t="s">
        <v>24</v>
      </c>
      <c r="AB98" t="s">
        <v>24</v>
      </c>
      <c r="AC98" t="s">
        <v>24</v>
      </c>
      <c r="AD98" t="s">
        <v>24</v>
      </c>
    </row>
    <row r="99" spans="1:30">
      <c r="A99">
        <v>7</v>
      </c>
      <c r="B99" t="s">
        <v>22</v>
      </c>
      <c r="C99" s="8" t="s">
        <v>38</v>
      </c>
      <c r="D99">
        <v>1</v>
      </c>
      <c r="E99" s="12">
        <v>1</v>
      </c>
      <c r="F99">
        <v>2006</v>
      </c>
      <c r="G99">
        <v>1</v>
      </c>
      <c r="H99" t="s">
        <v>27</v>
      </c>
      <c r="I99" t="s">
        <v>39</v>
      </c>
      <c r="J99" t="s">
        <v>40</v>
      </c>
      <c r="K99">
        <v>500</v>
      </c>
      <c r="L99">
        <v>19</v>
      </c>
      <c r="M99">
        <v>0.95</v>
      </c>
      <c r="N99" s="68">
        <v>5114.1400000000003</v>
      </c>
      <c r="O99">
        <v>0.131944444444444</v>
      </c>
      <c r="P99">
        <v>890.37900000000002</v>
      </c>
      <c r="Q99">
        <v>25</v>
      </c>
      <c r="R99">
        <v>10220</v>
      </c>
      <c r="S99" t="s">
        <v>24</v>
      </c>
      <c r="T99" t="s">
        <v>24</v>
      </c>
      <c r="U99">
        <v>1</v>
      </c>
      <c r="V99">
        <v>1</v>
      </c>
      <c r="W99" t="s">
        <v>24</v>
      </c>
      <c r="X99" t="s">
        <v>24</v>
      </c>
      <c r="Y99" t="s">
        <v>24</v>
      </c>
      <c r="Z99" t="s">
        <v>24</v>
      </c>
      <c r="AA99" t="s">
        <v>24</v>
      </c>
      <c r="AB99">
        <v>0</v>
      </c>
      <c r="AC99" t="s">
        <v>24</v>
      </c>
      <c r="AD99" t="s">
        <v>24</v>
      </c>
    </row>
    <row r="100" spans="1:30">
      <c r="A100">
        <v>3</v>
      </c>
      <c r="B100" t="s">
        <v>22</v>
      </c>
      <c r="C100" s="9" t="s">
        <v>30</v>
      </c>
      <c r="D100">
        <v>0</v>
      </c>
      <c r="E100" s="12">
        <v>99</v>
      </c>
      <c r="F100">
        <v>2007</v>
      </c>
      <c r="H100" t="s">
        <v>24</v>
      </c>
      <c r="I100" t="s">
        <v>24</v>
      </c>
      <c r="J100" t="s">
        <v>24</v>
      </c>
      <c r="K100" t="s">
        <v>24</v>
      </c>
      <c r="L100" t="s">
        <v>24</v>
      </c>
      <c r="M100" t="s">
        <v>24</v>
      </c>
      <c r="N100" s="69"/>
      <c r="O100" t="s">
        <v>24</v>
      </c>
      <c r="P100" t="s">
        <v>24</v>
      </c>
      <c r="Q100" t="s">
        <v>24</v>
      </c>
      <c r="R100" t="s">
        <v>24</v>
      </c>
      <c r="S100" t="s">
        <v>24</v>
      </c>
      <c r="T100" t="s">
        <v>24</v>
      </c>
      <c r="U100" t="s">
        <v>24</v>
      </c>
      <c r="V100" t="s">
        <v>24</v>
      </c>
      <c r="W100" t="s">
        <v>24</v>
      </c>
      <c r="X100" t="s">
        <v>24</v>
      </c>
      <c r="Y100" t="s">
        <v>24</v>
      </c>
      <c r="Z100" t="s">
        <v>24</v>
      </c>
      <c r="AA100" t="s">
        <v>24</v>
      </c>
      <c r="AB100" t="s">
        <v>24</v>
      </c>
      <c r="AC100" t="s">
        <v>24</v>
      </c>
      <c r="AD100" t="s">
        <v>25</v>
      </c>
    </row>
    <row r="101" spans="1:30">
      <c r="A101">
        <v>1</v>
      </c>
      <c r="B101" t="s">
        <v>22</v>
      </c>
      <c r="C101" s="7" t="s">
        <v>23</v>
      </c>
      <c r="D101">
        <v>0</v>
      </c>
      <c r="E101" s="12">
        <v>99</v>
      </c>
      <c r="F101">
        <v>2012</v>
      </c>
      <c r="H101" t="s">
        <v>24</v>
      </c>
      <c r="I101" t="s">
        <v>24</v>
      </c>
      <c r="J101" t="s">
        <v>24</v>
      </c>
      <c r="K101" t="s">
        <v>24</v>
      </c>
      <c r="L101" t="s">
        <v>24</v>
      </c>
      <c r="M101" t="s">
        <v>24</v>
      </c>
      <c r="N101" s="69"/>
      <c r="O101" t="s">
        <v>24</v>
      </c>
      <c r="P101" t="s">
        <v>24</v>
      </c>
      <c r="Q101" t="s">
        <v>24</v>
      </c>
      <c r="R101" t="s">
        <v>24</v>
      </c>
      <c r="S101" t="s">
        <v>24</v>
      </c>
      <c r="T101" t="s">
        <v>24</v>
      </c>
      <c r="U101" t="s">
        <v>24</v>
      </c>
      <c r="V101" t="s">
        <v>24</v>
      </c>
      <c r="W101" t="s">
        <v>24</v>
      </c>
      <c r="X101" t="s">
        <v>24</v>
      </c>
      <c r="Y101" t="s">
        <v>24</v>
      </c>
      <c r="Z101" t="s">
        <v>24</v>
      </c>
      <c r="AA101" t="s">
        <v>24</v>
      </c>
      <c r="AB101" t="s">
        <v>24</v>
      </c>
      <c r="AC101" t="s">
        <v>24</v>
      </c>
      <c r="AD101" t="s">
        <v>25</v>
      </c>
    </row>
    <row r="102" spans="1:30">
      <c r="A102">
        <v>28</v>
      </c>
      <c r="B102" t="s">
        <v>22</v>
      </c>
      <c r="C102" s="10" t="s">
        <v>72</v>
      </c>
      <c r="D102">
        <v>0</v>
      </c>
      <c r="E102" s="12">
        <v>99</v>
      </c>
      <c r="F102">
        <v>2004</v>
      </c>
      <c r="H102" t="s">
        <v>24</v>
      </c>
      <c r="I102" t="s">
        <v>24</v>
      </c>
      <c r="J102" t="s">
        <v>24</v>
      </c>
      <c r="K102" t="s">
        <v>24</v>
      </c>
      <c r="L102" t="s">
        <v>24</v>
      </c>
      <c r="M102" t="s">
        <v>24</v>
      </c>
      <c r="N102" s="70"/>
      <c r="O102" t="s">
        <v>24</v>
      </c>
      <c r="P102" t="s">
        <v>24</v>
      </c>
      <c r="Q102" t="s">
        <v>24</v>
      </c>
      <c r="R102" t="s">
        <v>24</v>
      </c>
      <c r="S102" t="s">
        <v>24</v>
      </c>
      <c r="T102" t="s">
        <v>24</v>
      </c>
      <c r="U102" t="s">
        <v>24</v>
      </c>
      <c r="V102" t="s">
        <v>24</v>
      </c>
      <c r="W102" t="s">
        <v>24</v>
      </c>
      <c r="X102" t="s">
        <v>24</v>
      </c>
      <c r="Y102" t="s">
        <v>24</v>
      </c>
      <c r="Z102" t="s">
        <v>24</v>
      </c>
      <c r="AA102" t="s">
        <v>24</v>
      </c>
      <c r="AB102" t="s">
        <v>24</v>
      </c>
      <c r="AC102" t="s">
        <v>24</v>
      </c>
      <c r="AD102" t="s">
        <v>25</v>
      </c>
    </row>
    <row r="103" spans="1:30">
      <c r="A103">
        <v>21</v>
      </c>
      <c r="B103" t="s">
        <v>22</v>
      </c>
      <c r="C103" s="11" t="s">
        <v>60</v>
      </c>
      <c r="D103">
        <v>0</v>
      </c>
      <c r="E103" s="12">
        <v>99</v>
      </c>
      <c r="F103">
        <v>2011</v>
      </c>
      <c r="H103" t="s">
        <v>24</v>
      </c>
      <c r="I103" t="s">
        <v>24</v>
      </c>
      <c r="J103" t="s">
        <v>24</v>
      </c>
      <c r="K103" t="s">
        <v>24</v>
      </c>
      <c r="L103" t="s">
        <v>24</v>
      </c>
      <c r="M103" t="s">
        <v>24</v>
      </c>
      <c r="N103" s="69"/>
      <c r="O103" t="s">
        <v>24</v>
      </c>
      <c r="P103" t="s">
        <v>24</v>
      </c>
      <c r="Q103" t="s">
        <v>24</v>
      </c>
      <c r="R103" t="s">
        <v>24</v>
      </c>
      <c r="S103" t="s">
        <v>24</v>
      </c>
      <c r="T103" t="s">
        <v>24</v>
      </c>
      <c r="U103" t="s">
        <v>24</v>
      </c>
      <c r="V103" t="s">
        <v>24</v>
      </c>
      <c r="W103" t="s">
        <v>24</v>
      </c>
      <c r="X103" t="s">
        <v>24</v>
      </c>
      <c r="Y103" t="s">
        <v>24</v>
      </c>
      <c r="Z103" t="s">
        <v>24</v>
      </c>
      <c r="AA103" t="s">
        <v>24</v>
      </c>
      <c r="AB103" t="s">
        <v>24</v>
      </c>
      <c r="AC103" t="s">
        <v>24</v>
      </c>
      <c r="AD103" t="s">
        <v>24</v>
      </c>
    </row>
    <row r="104" spans="1:30">
      <c r="A104">
        <v>16</v>
      </c>
      <c r="B104" t="s">
        <v>22</v>
      </c>
      <c r="C104" t="s">
        <v>52</v>
      </c>
      <c r="D104">
        <v>0</v>
      </c>
      <c r="E104" s="12">
        <v>99</v>
      </c>
      <c r="F104">
        <v>2007</v>
      </c>
      <c r="H104" t="s">
        <v>24</v>
      </c>
      <c r="I104" t="s">
        <v>24</v>
      </c>
      <c r="J104" t="s">
        <v>24</v>
      </c>
      <c r="K104" t="s">
        <v>24</v>
      </c>
      <c r="L104" t="s">
        <v>24</v>
      </c>
      <c r="M104" t="s">
        <v>24</v>
      </c>
      <c r="N104" s="71"/>
      <c r="O104" t="s">
        <v>24</v>
      </c>
      <c r="P104" t="s">
        <v>24</v>
      </c>
      <c r="Q104" t="s">
        <v>24</v>
      </c>
      <c r="R104" t="s">
        <v>24</v>
      </c>
      <c r="S104" t="s">
        <v>24</v>
      </c>
      <c r="T104" t="s">
        <v>24</v>
      </c>
      <c r="U104" t="s">
        <v>24</v>
      </c>
      <c r="V104" t="s">
        <v>24</v>
      </c>
      <c r="W104" t="s">
        <v>24</v>
      </c>
      <c r="X104" t="s">
        <v>24</v>
      </c>
      <c r="Y104" t="s">
        <v>24</v>
      </c>
      <c r="Z104" t="s">
        <v>24</v>
      </c>
      <c r="AA104" t="s">
        <v>24</v>
      </c>
      <c r="AB104" t="s">
        <v>24</v>
      </c>
      <c r="AC104" t="s">
        <v>24</v>
      </c>
      <c r="AD104" t="s">
        <v>25</v>
      </c>
    </row>
    <row r="105" spans="1:30">
      <c r="A105">
        <v>8</v>
      </c>
      <c r="B105" t="s">
        <v>22</v>
      </c>
      <c r="C105" s="11" t="s">
        <v>41</v>
      </c>
      <c r="D105">
        <v>0</v>
      </c>
      <c r="E105" s="12">
        <v>99</v>
      </c>
      <c r="F105">
        <v>2004</v>
      </c>
      <c r="H105" t="s">
        <v>24</v>
      </c>
      <c r="I105" t="s">
        <v>24</v>
      </c>
      <c r="J105" t="s">
        <v>24</v>
      </c>
      <c r="K105" t="s">
        <v>24</v>
      </c>
      <c r="L105" t="s">
        <v>24</v>
      </c>
      <c r="M105" t="s">
        <v>24</v>
      </c>
      <c r="N105" s="69"/>
      <c r="O105" t="s">
        <v>24</v>
      </c>
      <c r="P105" t="s">
        <v>24</v>
      </c>
      <c r="Q105" t="s">
        <v>24</v>
      </c>
      <c r="R105" t="s">
        <v>24</v>
      </c>
      <c r="S105" t="s">
        <v>24</v>
      </c>
      <c r="T105" t="s">
        <v>24</v>
      </c>
      <c r="U105" t="s">
        <v>24</v>
      </c>
      <c r="V105" t="s">
        <v>24</v>
      </c>
      <c r="W105" t="s">
        <v>24</v>
      </c>
      <c r="X105" t="s">
        <v>24</v>
      </c>
      <c r="Y105" t="s">
        <v>24</v>
      </c>
      <c r="Z105" t="s">
        <v>24</v>
      </c>
      <c r="AA105" t="s">
        <v>24</v>
      </c>
      <c r="AB105" t="s">
        <v>24</v>
      </c>
      <c r="AC105" t="s">
        <v>24</v>
      </c>
      <c r="AD105" t="s">
        <v>25</v>
      </c>
    </row>
    <row r="106" spans="1:30">
      <c r="A106">
        <v>9</v>
      </c>
      <c r="B106" t="s">
        <v>22</v>
      </c>
      <c r="C106" t="s">
        <v>42</v>
      </c>
      <c r="D106">
        <v>0</v>
      </c>
      <c r="E106" s="12">
        <v>99</v>
      </c>
      <c r="F106">
        <v>2007</v>
      </c>
      <c r="H106" t="s">
        <v>24</v>
      </c>
      <c r="I106" t="s">
        <v>24</v>
      </c>
      <c r="J106" t="s">
        <v>24</v>
      </c>
      <c r="K106" t="s">
        <v>24</v>
      </c>
      <c r="L106" t="s">
        <v>24</v>
      </c>
      <c r="M106" t="s">
        <v>24</v>
      </c>
      <c r="N106" s="69"/>
      <c r="O106" t="s">
        <v>24</v>
      </c>
      <c r="P106" t="s">
        <v>24</v>
      </c>
      <c r="Q106" t="s">
        <v>24</v>
      </c>
      <c r="R106" t="s">
        <v>24</v>
      </c>
      <c r="S106" t="s">
        <v>24</v>
      </c>
      <c r="T106" t="s">
        <v>24</v>
      </c>
      <c r="U106" t="s">
        <v>24</v>
      </c>
      <c r="V106" t="s">
        <v>24</v>
      </c>
      <c r="W106" t="s">
        <v>24</v>
      </c>
      <c r="X106" t="s">
        <v>24</v>
      </c>
      <c r="Y106" t="s">
        <v>24</v>
      </c>
      <c r="Z106" t="s">
        <v>24</v>
      </c>
      <c r="AA106" t="s">
        <v>24</v>
      </c>
      <c r="AB106" t="s">
        <v>24</v>
      </c>
      <c r="AC106" t="s">
        <v>24</v>
      </c>
      <c r="AD106" t="s">
        <v>25</v>
      </c>
    </row>
    <row r="107" spans="1:30">
      <c r="A107">
        <v>4</v>
      </c>
      <c r="B107" t="s">
        <v>22</v>
      </c>
      <c r="C107" s="11" t="s">
        <v>31</v>
      </c>
      <c r="D107">
        <v>1</v>
      </c>
      <c r="E107" s="12">
        <v>1</v>
      </c>
      <c r="F107">
        <v>2013</v>
      </c>
      <c r="G107">
        <v>2</v>
      </c>
      <c r="H107" t="s">
        <v>32</v>
      </c>
      <c r="I107" t="s">
        <v>33</v>
      </c>
      <c r="J107" t="s">
        <v>34</v>
      </c>
      <c r="K107">
        <v>7.85398163397448E-3</v>
      </c>
      <c r="L107">
        <v>156</v>
      </c>
      <c r="M107">
        <v>1.22522113490002E-4</v>
      </c>
      <c r="N107" s="68">
        <v>1371129196.368</v>
      </c>
      <c r="O107">
        <v>5.4166666666666703E-2</v>
      </c>
      <c r="P107">
        <v>91250</v>
      </c>
      <c r="Q107" s="38">
        <f>4800*365</f>
        <v>1752000</v>
      </c>
      <c r="R107">
        <v>1752000</v>
      </c>
      <c r="S107" t="s">
        <v>24</v>
      </c>
      <c r="T107" t="s">
        <v>24</v>
      </c>
      <c r="U107" t="s">
        <v>24</v>
      </c>
      <c r="V107" t="s">
        <v>24</v>
      </c>
      <c r="W107" t="s">
        <v>24</v>
      </c>
      <c r="X107" t="s">
        <v>24</v>
      </c>
      <c r="Y107">
        <v>1</v>
      </c>
      <c r="Z107" t="s">
        <v>24</v>
      </c>
      <c r="AA107" t="s">
        <v>24</v>
      </c>
      <c r="AB107">
        <v>0</v>
      </c>
      <c r="AC107" t="s">
        <v>24</v>
      </c>
      <c r="AD107" t="s">
        <v>24</v>
      </c>
    </row>
    <row r="108" spans="1:30">
      <c r="A108">
        <v>17</v>
      </c>
      <c r="B108" t="s">
        <v>22</v>
      </c>
      <c r="C108" t="s">
        <v>53</v>
      </c>
      <c r="D108">
        <v>0</v>
      </c>
      <c r="E108" s="12">
        <v>99</v>
      </c>
      <c r="F108">
        <v>2008</v>
      </c>
      <c r="H108" t="s">
        <v>24</v>
      </c>
      <c r="I108" t="s">
        <v>24</v>
      </c>
      <c r="J108" t="s">
        <v>24</v>
      </c>
      <c r="K108" t="s">
        <v>24</v>
      </c>
      <c r="L108" t="s">
        <v>24</v>
      </c>
      <c r="M108" t="s">
        <v>24</v>
      </c>
      <c r="N108" s="69"/>
      <c r="O108" t="s">
        <v>24</v>
      </c>
      <c r="P108" t="s">
        <v>24</v>
      </c>
      <c r="Q108" t="s">
        <v>24</v>
      </c>
      <c r="R108" t="s">
        <v>24</v>
      </c>
      <c r="S108" t="s">
        <v>24</v>
      </c>
      <c r="T108" t="s">
        <v>24</v>
      </c>
      <c r="U108" t="s">
        <v>24</v>
      </c>
      <c r="V108" t="s">
        <v>24</v>
      </c>
      <c r="W108" t="s">
        <v>24</v>
      </c>
      <c r="X108" t="s">
        <v>24</v>
      </c>
      <c r="Y108" t="s">
        <v>24</v>
      </c>
      <c r="Z108" t="s">
        <v>24</v>
      </c>
      <c r="AA108" t="s">
        <v>24</v>
      </c>
      <c r="AB108" t="s">
        <v>24</v>
      </c>
      <c r="AC108" t="s">
        <v>24</v>
      </c>
      <c r="AD108" t="s">
        <v>25</v>
      </c>
    </row>
    <row r="109" spans="1:30">
      <c r="A109">
        <v>22</v>
      </c>
      <c r="B109" t="s">
        <v>22</v>
      </c>
      <c r="C109" t="s">
        <v>61</v>
      </c>
      <c r="D109">
        <v>1</v>
      </c>
      <c r="E109" s="12">
        <v>1</v>
      </c>
      <c r="F109">
        <v>2009</v>
      </c>
      <c r="G109">
        <v>1</v>
      </c>
      <c r="H109" t="s">
        <v>27</v>
      </c>
      <c r="I109" t="s">
        <v>62</v>
      </c>
      <c r="J109" t="s">
        <v>63</v>
      </c>
      <c r="K109">
        <v>0.36</v>
      </c>
      <c r="L109">
        <v>87</v>
      </c>
      <c r="M109">
        <v>3.1319999999999998E-3</v>
      </c>
      <c r="N109" s="68">
        <v>1372053.85</v>
      </c>
      <c r="O109">
        <v>145</v>
      </c>
      <c r="P109">
        <v>0</v>
      </c>
      <c r="Q109">
        <v>145</v>
      </c>
      <c r="R109" s="83">
        <f>Q109</f>
        <v>145</v>
      </c>
      <c r="S109" t="s">
        <v>24</v>
      </c>
      <c r="T109" t="s">
        <v>24</v>
      </c>
      <c r="U109">
        <v>1</v>
      </c>
      <c r="V109">
        <v>1</v>
      </c>
      <c r="W109" t="s">
        <v>24</v>
      </c>
      <c r="X109" t="s">
        <v>24</v>
      </c>
      <c r="Y109" t="s">
        <v>24</v>
      </c>
      <c r="Z109" t="s">
        <v>24</v>
      </c>
      <c r="AA109" t="s">
        <v>24</v>
      </c>
      <c r="AB109">
        <v>2</v>
      </c>
      <c r="AC109" t="s">
        <v>24</v>
      </c>
      <c r="AD109" t="s">
        <v>64</v>
      </c>
    </row>
    <row r="110" spans="1:30">
      <c r="A110">
        <v>23</v>
      </c>
      <c r="B110" t="s">
        <v>22</v>
      </c>
      <c r="C110" t="s">
        <v>61</v>
      </c>
      <c r="D110">
        <v>1</v>
      </c>
      <c r="E110" s="12">
        <v>2</v>
      </c>
      <c r="F110">
        <v>2009</v>
      </c>
      <c r="G110">
        <v>1</v>
      </c>
      <c r="H110" t="s">
        <v>27</v>
      </c>
      <c r="I110" t="s">
        <v>62</v>
      </c>
      <c r="J110" t="s">
        <v>63</v>
      </c>
      <c r="K110">
        <v>3.1415926535897899E-2</v>
      </c>
      <c r="L110">
        <v>348</v>
      </c>
      <c r="M110">
        <v>1.0932742434492501E-3</v>
      </c>
      <c r="N110" s="68">
        <v>1372053.85</v>
      </c>
      <c r="O110">
        <v>145</v>
      </c>
      <c r="P110">
        <v>0</v>
      </c>
      <c r="Q110">
        <v>145</v>
      </c>
      <c r="R110" s="83">
        <f>Q110</f>
        <v>145</v>
      </c>
      <c r="S110" t="s">
        <v>24</v>
      </c>
      <c r="T110" t="s">
        <v>24</v>
      </c>
      <c r="U110">
        <v>1</v>
      </c>
      <c r="V110">
        <v>1</v>
      </c>
      <c r="W110" t="s">
        <v>24</v>
      </c>
      <c r="X110" t="s">
        <v>24</v>
      </c>
      <c r="Y110" t="s">
        <v>24</v>
      </c>
      <c r="Z110" t="s">
        <v>24</v>
      </c>
      <c r="AA110" t="s">
        <v>24</v>
      </c>
      <c r="AB110">
        <v>2</v>
      </c>
      <c r="AC110" t="s">
        <v>24</v>
      </c>
      <c r="AD110" t="s">
        <v>65</v>
      </c>
    </row>
    <row r="111" spans="1:30">
      <c r="A111">
        <v>24</v>
      </c>
      <c r="B111" t="s">
        <v>22</v>
      </c>
      <c r="C111" t="s">
        <v>61</v>
      </c>
      <c r="D111">
        <v>1</v>
      </c>
      <c r="E111" s="12">
        <v>3</v>
      </c>
      <c r="F111">
        <v>2009</v>
      </c>
      <c r="G111">
        <v>1</v>
      </c>
      <c r="H111" t="s">
        <v>27</v>
      </c>
      <c r="I111" t="s">
        <v>62</v>
      </c>
      <c r="J111" t="s">
        <v>63</v>
      </c>
      <c r="K111">
        <v>31415.926535897899</v>
      </c>
      <c r="L111">
        <v>104</v>
      </c>
      <c r="M111">
        <v>326.72563597333902</v>
      </c>
      <c r="N111" s="68">
        <v>1372053.85</v>
      </c>
      <c r="O111">
        <v>1.38888888888889E-2</v>
      </c>
      <c r="P111">
        <v>14</v>
      </c>
      <c r="Q111">
        <v>51</v>
      </c>
      <c r="R111">
        <v>379</v>
      </c>
      <c r="S111" t="s">
        <v>24</v>
      </c>
      <c r="T111" t="s">
        <v>24</v>
      </c>
      <c r="U111">
        <v>1</v>
      </c>
      <c r="V111">
        <v>1</v>
      </c>
      <c r="W111" t="s">
        <v>24</v>
      </c>
      <c r="X111" t="s">
        <v>24</v>
      </c>
      <c r="Y111" t="s">
        <v>24</v>
      </c>
      <c r="Z111" t="s">
        <v>24</v>
      </c>
      <c r="AA111" t="s">
        <v>24</v>
      </c>
      <c r="AB111">
        <v>2</v>
      </c>
      <c r="AC111" t="s">
        <v>24</v>
      </c>
      <c r="AD111" t="s">
        <v>66</v>
      </c>
    </row>
    <row r="112" spans="1:30">
      <c r="A112">
        <v>25</v>
      </c>
      <c r="B112" t="s">
        <v>22</v>
      </c>
      <c r="C112" t="s">
        <v>61</v>
      </c>
      <c r="D112">
        <v>1</v>
      </c>
      <c r="E112" s="12">
        <v>4</v>
      </c>
      <c r="F112">
        <v>2009</v>
      </c>
      <c r="G112">
        <v>1</v>
      </c>
      <c r="H112" t="s">
        <v>27</v>
      </c>
      <c r="I112" t="s">
        <v>62</v>
      </c>
      <c r="J112" t="s">
        <v>63</v>
      </c>
      <c r="K112">
        <v>400</v>
      </c>
      <c r="L112">
        <v>324</v>
      </c>
      <c r="M112">
        <v>12.96</v>
      </c>
      <c r="N112" s="68">
        <v>1372053.85</v>
      </c>
      <c r="O112">
        <v>1</v>
      </c>
      <c r="P112">
        <v>4.0648148148148104</v>
      </c>
      <c r="Q112">
        <v>324</v>
      </c>
      <c r="R112">
        <v>439</v>
      </c>
      <c r="S112" t="s">
        <v>24</v>
      </c>
      <c r="T112" t="s">
        <v>24</v>
      </c>
      <c r="U112">
        <v>1</v>
      </c>
      <c r="V112" t="s">
        <v>24</v>
      </c>
      <c r="W112">
        <v>1</v>
      </c>
      <c r="X112" t="s">
        <v>24</v>
      </c>
      <c r="Y112" t="s">
        <v>24</v>
      </c>
      <c r="Z112" t="s">
        <v>24</v>
      </c>
      <c r="AA112" t="s">
        <v>24</v>
      </c>
      <c r="AB112">
        <v>2</v>
      </c>
      <c r="AC112" t="s">
        <v>24</v>
      </c>
      <c r="AD112" t="s">
        <v>67</v>
      </c>
    </row>
    <row r="113" spans="1:30">
      <c r="A113">
        <v>18</v>
      </c>
      <c r="B113" t="s">
        <v>22</v>
      </c>
      <c r="C113" s="11" t="s">
        <v>54</v>
      </c>
      <c r="D113">
        <v>0</v>
      </c>
      <c r="E113" s="12">
        <v>99</v>
      </c>
      <c r="F113">
        <v>2012</v>
      </c>
      <c r="H113" t="s">
        <v>24</v>
      </c>
      <c r="I113" t="s">
        <v>24</v>
      </c>
      <c r="J113" t="s">
        <v>24</v>
      </c>
      <c r="K113" t="s">
        <v>24</v>
      </c>
      <c r="L113" t="s">
        <v>24</v>
      </c>
      <c r="M113" t="s">
        <v>24</v>
      </c>
      <c r="N113" s="69"/>
      <c r="O113" t="s">
        <v>24</v>
      </c>
      <c r="P113" t="s">
        <v>24</v>
      </c>
      <c r="Q113" t="s">
        <v>24</v>
      </c>
      <c r="R113" t="s">
        <v>24</v>
      </c>
      <c r="S113" t="s">
        <v>24</v>
      </c>
      <c r="T113" t="s">
        <v>24</v>
      </c>
      <c r="U113" t="s">
        <v>24</v>
      </c>
      <c r="V113" t="s">
        <v>24</v>
      </c>
      <c r="W113" t="s">
        <v>24</v>
      </c>
      <c r="X113" t="s">
        <v>24</v>
      </c>
      <c r="Y113" t="s">
        <v>24</v>
      </c>
      <c r="Z113" t="s">
        <v>24</v>
      </c>
      <c r="AA113" t="s">
        <v>24</v>
      </c>
      <c r="AB113" t="s">
        <v>24</v>
      </c>
      <c r="AC113" t="s">
        <v>24</v>
      </c>
      <c r="AD113" t="s">
        <v>25</v>
      </c>
    </row>
    <row r="114" spans="1:30">
      <c r="A114">
        <v>30</v>
      </c>
      <c r="B114" t="s">
        <v>22</v>
      </c>
      <c r="C114" t="s">
        <v>77</v>
      </c>
      <c r="D114">
        <v>0</v>
      </c>
      <c r="E114" s="12">
        <v>99</v>
      </c>
      <c r="F114">
        <v>2013</v>
      </c>
      <c r="H114" t="s">
        <v>24</v>
      </c>
      <c r="I114" t="s">
        <v>24</v>
      </c>
      <c r="J114" t="s">
        <v>24</v>
      </c>
      <c r="K114" t="s">
        <v>24</v>
      </c>
      <c r="L114" t="s">
        <v>24</v>
      </c>
      <c r="M114" t="s">
        <v>24</v>
      </c>
      <c r="N114" s="71"/>
      <c r="O114" t="s">
        <v>24</v>
      </c>
      <c r="P114" t="s">
        <v>24</v>
      </c>
      <c r="Q114" t="s">
        <v>24</v>
      </c>
      <c r="R114" t="s">
        <v>24</v>
      </c>
      <c r="S114" t="s">
        <v>24</v>
      </c>
      <c r="T114" t="s">
        <v>24</v>
      </c>
      <c r="U114" t="s">
        <v>24</v>
      </c>
      <c r="V114" t="s">
        <v>24</v>
      </c>
      <c r="W114" t="s">
        <v>24</v>
      </c>
      <c r="X114" t="s">
        <v>24</v>
      </c>
      <c r="Y114" t="s">
        <v>24</v>
      </c>
      <c r="Z114" t="s">
        <v>24</v>
      </c>
      <c r="AA114" t="s">
        <v>24</v>
      </c>
      <c r="AB114" t="s">
        <v>24</v>
      </c>
      <c r="AC114" t="s">
        <v>24</v>
      </c>
      <c r="AD114" t="s">
        <v>25</v>
      </c>
    </row>
    <row r="115" spans="1:30">
      <c r="A115">
        <v>19</v>
      </c>
      <c r="B115" t="s">
        <v>22</v>
      </c>
      <c r="C115" s="11" t="s">
        <v>55</v>
      </c>
      <c r="D115">
        <v>1</v>
      </c>
      <c r="E115" s="12">
        <v>2</v>
      </c>
      <c r="F115">
        <v>2007</v>
      </c>
      <c r="G115">
        <v>1</v>
      </c>
      <c r="H115" t="s">
        <v>27</v>
      </c>
      <c r="I115" t="s">
        <v>56</v>
      </c>
      <c r="J115" t="s">
        <v>57</v>
      </c>
      <c r="K115">
        <v>0.25</v>
      </c>
      <c r="L115">
        <v>4</v>
      </c>
      <c r="M115" s="1">
        <v>1E-4</v>
      </c>
      <c r="N115" s="68">
        <v>1292</v>
      </c>
      <c r="O115">
        <v>1</v>
      </c>
      <c r="P115">
        <v>61</v>
      </c>
      <c r="Q115">
        <v>2</v>
      </c>
      <c r="R115">
        <v>61</v>
      </c>
      <c r="S115" t="s">
        <v>24</v>
      </c>
      <c r="T115" t="s">
        <v>24</v>
      </c>
      <c r="U115" t="s">
        <v>24</v>
      </c>
      <c r="V115" t="s">
        <v>24</v>
      </c>
      <c r="W115">
        <v>1</v>
      </c>
      <c r="X115" t="s">
        <v>24</v>
      </c>
      <c r="Y115" t="s">
        <v>24</v>
      </c>
      <c r="Z115">
        <v>1</v>
      </c>
      <c r="AA115" t="s">
        <v>24</v>
      </c>
      <c r="AB115">
        <v>1</v>
      </c>
      <c r="AC115" t="s">
        <v>24</v>
      </c>
      <c r="AD115" t="s">
        <v>58</v>
      </c>
    </row>
    <row r="116" spans="1:30">
      <c r="A116">
        <v>20</v>
      </c>
      <c r="B116" t="s">
        <v>22</v>
      </c>
      <c r="C116" s="11" t="s">
        <v>55</v>
      </c>
      <c r="D116">
        <v>1</v>
      </c>
      <c r="E116" s="12">
        <v>1</v>
      </c>
      <c r="F116">
        <v>2007</v>
      </c>
      <c r="G116">
        <v>1</v>
      </c>
      <c r="H116" t="s">
        <v>27</v>
      </c>
      <c r="I116" t="s">
        <v>56</v>
      </c>
      <c r="J116" t="s">
        <v>57</v>
      </c>
      <c r="K116">
        <v>1.96349540849362E-3</v>
      </c>
      <c r="L116">
        <v>10</v>
      </c>
      <c r="M116" s="1">
        <v>1.9634954084936201E-6</v>
      </c>
      <c r="N116" s="68">
        <v>1292</v>
      </c>
      <c r="O116" s="1">
        <v>1.1574074074074101E-5</v>
      </c>
      <c r="P116">
        <v>7</v>
      </c>
      <c r="Q116">
        <v>1.15740740740741E-4</v>
      </c>
      <c r="R116">
        <v>180</v>
      </c>
      <c r="S116" t="s">
        <v>24</v>
      </c>
      <c r="T116" t="s">
        <v>24</v>
      </c>
      <c r="U116" t="s">
        <v>24</v>
      </c>
      <c r="V116">
        <v>1</v>
      </c>
      <c r="W116" t="s">
        <v>24</v>
      </c>
      <c r="X116" t="s">
        <v>24</v>
      </c>
      <c r="Y116" t="s">
        <v>24</v>
      </c>
      <c r="Z116" t="s">
        <v>24</v>
      </c>
      <c r="AA116" t="s">
        <v>24</v>
      </c>
      <c r="AB116">
        <v>1</v>
      </c>
      <c r="AC116" t="s">
        <v>24</v>
      </c>
      <c r="AD116" t="s">
        <v>59</v>
      </c>
    </row>
    <row r="117" spans="1:30">
      <c r="A117">
        <v>10</v>
      </c>
      <c r="B117" t="s">
        <v>22</v>
      </c>
      <c r="C117" t="s">
        <v>43</v>
      </c>
      <c r="D117">
        <v>1</v>
      </c>
      <c r="E117" s="12">
        <v>1</v>
      </c>
      <c r="F117">
        <v>2013</v>
      </c>
      <c r="G117">
        <v>1</v>
      </c>
      <c r="H117" t="s">
        <v>27</v>
      </c>
      <c r="I117" t="s">
        <v>44</v>
      </c>
      <c r="J117" t="s">
        <v>45</v>
      </c>
      <c r="K117">
        <v>400</v>
      </c>
      <c r="L117">
        <v>20</v>
      </c>
      <c r="M117">
        <v>0.8</v>
      </c>
      <c r="N117" s="68">
        <v>207</v>
      </c>
      <c r="O117">
        <v>1</v>
      </c>
      <c r="P117">
        <v>7300</v>
      </c>
      <c r="Q117">
        <v>2</v>
      </c>
      <c r="R117">
        <v>7300</v>
      </c>
      <c r="S117" t="s">
        <v>24</v>
      </c>
      <c r="T117">
        <v>1</v>
      </c>
      <c r="U117" t="s">
        <v>24</v>
      </c>
      <c r="V117">
        <v>1</v>
      </c>
      <c r="W117" t="s">
        <v>24</v>
      </c>
      <c r="X117" t="s">
        <v>24</v>
      </c>
      <c r="Y117" t="s">
        <v>24</v>
      </c>
      <c r="Z117">
        <v>1</v>
      </c>
      <c r="AA117" t="s">
        <v>24</v>
      </c>
      <c r="AB117">
        <v>1</v>
      </c>
      <c r="AC117" t="s">
        <v>24</v>
      </c>
      <c r="AD117" t="s">
        <v>46</v>
      </c>
    </row>
    <row r="118" spans="1:30">
      <c r="A118">
        <v>11</v>
      </c>
      <c r="B118" t="s">
        <v>22</v>
      </c>
      <c r="C118" t="s">
        <v>43</v>
      </c>
      <c r="D118">
        <v>1</v>
      </c>
      <c r="E118" s="12">
        <v>2</v>
      </c>
      <c r="F118">
        <v>2013</v>
      </c>
      <c r="G118">
        <v>1</v>
      </c>
      <c r="H118" t="s">
        <v>27</v>
      </c>
      <c r="I118" t="s">
        <v>44</v>
      </c>
      <c r="J118" t="s">
        <v>45</v>
      </c>
      <c r="K118">
        <v>0.23</v>
      </c>
      <c r="L118">
        <v>100</v>
      </c>
      <c r="M118">
        <v>2.3E-3</v>
      </c>
      <c r="N118" s="68">
        <v>207</v>
      </c>
      <c r="O118">
        <v>1</v>
      </c>
      <c r="P118">
        <v>18.25</v>
      </c>
      <c r="Q118">
        <v>1</v>
      </c>
      <c r="R118">
        <v>365</v>
      </c>
      <c r="S118" t="s">
        <v>24</v>
      </c>
      <c r="T118" t="s">
        <v>24</v>
      </c>
      <c r="U118" t="s">
        <v>24</v>
      </c>
      <c r="V118" t="s">
        <v>24</v>
      </c>
      <c r="W118" t="s">
        <v>24</v>
      </c>
      <c r="X118" t="s">
        <v>24</v>
      </c>
      <c r="Y118" t="s">
        <v>24</v>
      </c>
      <c r="Z118">
        <v>1</v>
      </c>
      <c r="AA118" t="s">
        <v>24</v>
      </c>
      <c r="AB118">
        <v>1</v>
      </c>
      <c r="AC118" t="s">
        <v>24</v>
      </c>
      <c r="AD118" t="s">
        <v>47</v>
      </c>
    </row>
    <row r="119" spans="1:30">
      <c r="A119">
        <v>12</v>
      </c>
      <c r="B119" t="s">
        <v>22</v>
      </c>
      <c r="C119" t="s">
        <v>43</v>
      </c>
      <c r="D119">
        <v>1</v>
      </c>
      <c r="E119" s="12">
        <v>3</v>
      </c>
      <c r="F119">
        <v>2013</v>
      </c>
      <c r="G119">
        <v>1</v>
      </c>
      <c r="H119" t="s">
        <v>27</v>
      </c>
      <c r="I119" t="s">
        <v>44</v>
      </c>
      <c r="J119" t="s">
        <v>45</v>
      </c>
      <c r="K119">
        <v>2.2499999999999999E-2</v>
      </c>
      <c r="L119">
        <v>100</v>
      </c>
      <c r="M119">
        <v>2.2499999999999999E-4</v>
      </c>
      <c r="N119" s="68">
        <v>207</v>
      </c>
      <c r="O119">
        <v>1</v>
      </c>
      <c r="P119">
        <v>365</v>
      </c>
      <c r="Q119">
        <v>2</v>
      </c>
      <c r="R119">
        <v>1095</v>
      </c>
      <c r="S119" t="s">
        <v>24</v>
      </c>
      <c r="T119" t="s">
        <v>24</v>
      </c>
      <c r="U119" t="s">
        <v>24</v>
      </c>
      <c r="V119" t="s">
        <v>24</v>
      </c>
      <c r="W119" t="s">
        <v>24</v>
      </c>
      <c r="X119" t="s">
        <v>24</v>
      </c>
      <c r="Y119" t="s">
        <v>24</v>
      </c>
      <c r="Z119">
        <v>1</v>
      </c>
      <c r="AA119" t="s">
        <v>24</v>
      </c>
      <c r="AB119">
        <v>1</v>
      </c>
      <c r="AC119" t="s">
        <v>24</v>
      </c>
      <c r="AD119" t="s">
        <v>48</v>
      </c>
    </row>
    <row r="120" spans="1:30">
      <c r="A120">
        <v>13</v>
      </c>
      <c r="B120" t="s">
        <v>22</v>
      </c>
      <c r="C120" t="s">
        <v>43</v>
      </c>
      <c r="D120">
        <v>1</v>
      </c>
      <c r="E120" s="12">
        <v>4</v>
      </c>
      <c r="F120">
        <v>2013</v>
      </c>
      <c r="G120">
        <v>1</v>
      </c>
      <c r="H120" t="s">
        <v>27</v>
      </c>
      <c r="I120" t="s">
        <v>44</v>
      </c>
      <c r="J120" t="s">
        <v>45</v>
      </c>
      <c r="K120">
        <v>7.0882184246619699E-3</v>
      </c>
      <c r="L120">
        <v>100</v>
      </c>
      <c r="M120" s="1">
        <v>7.0882184246619701E-5</v>
      </c>
      <c r="N120" s="68">
        <v>207</v>
      </c>
      <c r="O120">
        <v>1</v>
      </c>
      <c r="P120">
        <v>0.9</v>
      </c>
      <c r="Q120">
        <v>1</v>
      </c>
      <c r="R120">
        <v>365</v>
      </c>
      <c r="S120" t="s">
        <v>24</v>
      </c>
      <c r="T120" t="s">
        <v>24</v>
      </c>
      <c r="U120" t="s">
        <v>24</v>
      </c>
      <c r="V120" t="s">
        <v>24</v>
      </c>
      <c r="W120" t="s">
        <v>24</v>
      </c>
      <c r="X120" t="s">
        <v>24</v>
      </c>
      <c r="Y120" t="s">
        <v>24</v>
      </c>
      <c r="Z120">
        <v>1</v>
      </c>
      <c r="AA120" t="s">
        <v>24</v>
      </c>
      <c r="AB120">
        <v>0</v>
      </c>
      <c r="AC120" t="s">
        <v>24</v>
      </c>
      <c r="AD120" t="s">
        <v>49</v>
      </c>
    </row>
    <row r="121" spans="1:30">
      <c r="A121">
        <v>14</v>
      </c>
      <c r="B121" t="s">
        <v>22</v>
      </c>
      <c r="C121" t="s">
        <v>43</v>
      </c>
      <c r="D121">
        <v>1</v>
      </c>
      <c r="E121" s="12">
        <v>5</v>
      </c>
      <c r="F121">
        <v>2013</v>
      </c>
      <c r="G121">
        <v>1</v>
      </c>
      <c r="H121" t="s">
        <v>27</v>
      </c>
      <c r="I121" t="s">
        <v>44</v>
      </c>
      <c r="J121" t="s">
        <v>45</v>
      </c>
      <c r="K121">
        <v>3.8484510006475E-3</v>
      </c>
      <c r="L121">
        <v>120</v>
      </c>
      <c r="M121" s="1">
        <v>4.618141200777E-5</v>
      </c>
      <c r="N121" s="68">
        <v>207</v>
      </c>
      <c r="O121">
        <v>1</v>
      </c>
      <c r="P121">
        <v>0.9</v>
      </c>
      <c r="Q121">
        <v>1</v>
      </c>
      <c r="R121">
        <v>365</v>
      </c>
      <c r="S121" t="s">
        <v>24</v>
      </c>
      <c r="T121" t="s">
        <v>24</v>
      </c>
      <c r="U121" t="s">
        <v>24</v>
      </c>
      <c r="V121" t="s">
        <v>24</v>
      </c>
      <c r="W121" t="s">
        <v>24</v>
      </c>
      <c r="X121" t="s">
        <v>24</v>
      </c>
      <c r="Y121" t="s">
        <v>24</v>
      </c>
      <c r="Z121">
        <v>1</v>
      </c>
      <c r="AA121" t="s">
        <v>24</v>
      </c>
      <c r="AB121">
        <v>0</v>
      </c>
      <c r="AC121" t="s">
        <v>24</v>
      </c>
      <c r="AD121" t="s">
        <v>50</v>
      </c>
    </row>
    <row r="122" spans="1:30">
      <c r="A122">
        <v>15</v>
      </c>
      <c r="B122" t="s">
        <v>22</v>
      </c>
      <c r="C122" t="s">
        <v>43</v>
      </c>
      <c r="D122">
        <v>1</v>
      </c>
      <c r="E122" s="12">
        <v>6</v>
      </c>
      <c r="F122">
        <v>2013</v>
      </c>
      <c r="G122">
        <v>1</v>
      </c>
      <c r="H122" t="s">
        <v>27</v>
      </c>
      <c r="I122" t="s">
        <v>44</v>
      </c>
      <c r="J122" t="s">
        <v>45</v>
      </c>
      <c r="K122" s="1">
        <v>7.85398163397448E-5</v>
      </c>
      <c r="L122">
        <v>400</v>
      </c>
      <c r="M122" s="1">
        <v>3.1415926535897899E-6</v>
      </c>
      <c r="N122" s="68">
        <v>207</v>
      </c>
      <c r="O122">
        <v>1</v>
      </c>
      <c r="P122">
        <v>18.25</v>
      </c>
      <c r="Q122">
        <v>1</v>
      </c>
      <c r="R122">
        <v>30</v>
      </c>
      <c r="S122" t="s">
        <v>24</v>
      </c>
      <c r="T122" t="s">
        <v>24</v>
      </c>
      <c r="U122" t="s">
        <v>24</v>
      </c>
      <c r="V122" t="s">
        <v>24</v>
      </c>
      <c r="W122" t="s">
        <v>24</v>
      </c>
      <c r="X122" t="s">
        <v>24</v>
      </c>
      <c r="Y122">
        <v>1</v>
      </c>
      <c r="Z122" t="s">
        <v>24</v>
      </c>
      <c r="AA122" t="s">
        <v>24</v>
      </c>
      <c r="AB122">
        <v>0</v>
      </c>
      <c r="AC122" t="s">
        <v>24</v>
      </c>
      <c r="AD122" t="s">
        <v>51</v>
      </c>
    </row>
    <row r="123" spans="1:30">
      <c r="A123">
        <v>58</v>
      </c>
      <c r="B123" t="s">
        <v>78</v>
      </c>
      <c r="C123" s="2" t="s">
        <v>68</v>
      </c>
      <c r="D123">
        <v>1</v>
      </c>
      <c r="E123" s="12">
        <v>1</v>
      </c>
      <c r="F123">
        <v>2006</v>
      </c>
      <c r="G123">
        <v>1</v>
      </c>
      <c r="H123" t="s">
        <v>27</v>
      </c>
      <c r="I123" t="s">
        <v>69</v>
      </c>
      <c r="J123" t="s">
        <v>106</v>
      </c>
      <c r="K123">
        <v>7853.9816339744802</v>
      </c>
      <c r="L123">
        <v>50</v>
      </c>
      <c r="M123">
        <v>39.269908169872402</v>
      </c>
      <c r="N123" s="64">
        <v>600</v>
      </c>
      <c r="O123" t="s">
        <v>24</v>
      </c>
      <c r="P123">
        <v>25.6666666666667</v>
      </c>
      <c r="Q123">
        <v>2.0833333333333301E-2</v>
      </c>
      <c r="R123" s="39">
        <f>15+31+30+31</f>
        <v>107</v>
      </c>
      <c r="S123" t="s">
        <v>24</v>
      </c>
      <c r="T123" t="s">
        <v>24</v>
      </c>
      <c r="U123" t="s">
        <v>24</v>
      </c>
      <c r="V123" t="s">
        <v>24</v>
      </c>
      <c r="W123" t="s">
        <v>24</v>
      </c>
      <c r="X123" t="s">
        <v>24</v>
      </c>
      <c r="Y123" t="s">
        <v>24</v>
      </c>
      <c r="Z123" t="s">
        <v>24</v>
      </c>
      <c r="AA123" t="s">
        <v>24</v>
      </c>
      <c r="AB123">
        <v>2</v>
      </c>
      <c r="AC123" t="s">
        <v>24</v>
      </c>
      <c r="AD123" t="s">
        <v>107</v>
      </c>
    </row>
    <row r="124" spans="1:30">
      <c r="A124">
        <v>59</v>
      </c>
      <c r="B124" t="s">
        <v>78</v>
      </c>
      <c r="C124" s="2" t="s">
        <v>68</v>
      </c>
      <c r="D124">
        <v>1</v>
      </c>
      <c r="E124" s="12">
        <v>2</v>
      </c>
      <c r="F124">
        <v>2006</v>
      </c>
      <c r="G124">
        <v>1</v>
      </c>
      <c r="H124" t="s">
        <v>27</v>
      </c>
      <c r="I124" t="s">
        <v>69</v>
      </c>
      <c r="J124" t="s">
        <v>106</v>
      </c>
      <c r="K124">
        <v>2827.4333882308101</v>
      </c>
      <c r="L124">
        <v>600</v>
      </c>
      <c r="M124">
        <v>169.64600329384899</v>
      </c>
      <c r="N124" s="64">
        <v>600</v>
      </c>
      <c r="O124" t="s">
        <v>24</v>
      </c>
      <c r="P124">
        <v>4.1666666666666699E-2</v>
      </c>
      <c r="Q124">
        <v>3.125E-2</v>
      </c>
      <c r="R124" s="39">
        <v>0.5</v>
      </c>
      <c r="S124" t="s">
        <v>24</v>
      </c>
      <c r="T124" t="s">
        <v>24</v>
      </c>
      <c r="U124" t="s">
        <v>24</v>
      </c>
      <c r="V124" t="s">
        <v>24</v>
      </c>
      <c r="W124" t="s">
        <v>24</v>
      </c>
      <c r="X124" t="s">
        <v>24</v>
      </c>
      <c r="Y124" t="s">
        <v>24</v>
      </c>
      <c r="Z124" t="s">
        <v>24</v>
      </c>
      <c r="AA124" t="s">
        <v>24</v>
      </c>
      <c r="AB124">
        <v>1</v>
      </c>
      <c r="AC124" t="s">
        <v>24</v>
      </c>
      <c r="AD124" t="s">
        <v>108</v>
      </c>
    </row>
    <row r="125" spans="1:30">
      <c r="A125">
        <v>61</v>
      </c>
      <c r="B125" t="s">
        <v>78</v>
      </c>
      <c r="C125" s="3" t="s">
        <v>73</v>
      </c>
      <c r="D125">
        <v>1</v>
      </c>
      <c r="E125" s="12">
        <v>1</v>
      </c>
      <c r="F125">
        <v>2010</v>
      </c>
      <c r="G125">
        <v>1</v>
      </c>
      <c r="H125" t="s">
        <v>27</v>
      </c>
      <c r="I125" t="s">
        <v>74</v>
      </c>
      <c r="J125" t="s">
        <v>109</v>
      </c>
      <c r="K125">
        <v>0.1</v>
      </c>
      <c r="L125">
        <v>276</v>
      </c>
      <c r="M125">
        <v>2.7599999999999999E-3</v>
      </c>
      <c r="N125" s="65">
        <v>38517800</v>
      </c>
      <c r="O125" t="s">
        <v>24</v>
      </c>
      <c r="P125">
        <v>0</v>
      </c>
      <c r="Q125" s="59">
        <v>1</v>
      </c>
      <c r="R125" s="82">
        <v>1</v>
      </c>
      <c r="S125" t="s">
        <v>24</v>
      </c>
      <c r="T125" t="s">
        <v>24</v>
      </c>
      <c r="U125" t="s">
        <v>24</v>
      </c>
      <c r="V125" t="s">
        <v>24</v>
      </c>
      <c r="W125" t="s">
        <v>24</v>
      </c>
      <c r="X125" t="s">
        <v>24</v>
      </c>
      <c r="Y125" t="s">
        <v>24</v>
      </c>
      <c r="Z125" t="s">
        <v>24</v>
      </c>
      <c r="AA125" t="s">
        <v>24</v>
      </c>
      <c r="AB125">
        <v>0</v>
      </c>
      <c r="AC125" t="s">
        <v>24</v>
      </c>
      <c r="AD125" t="s">
        <v>110</v>
      </c>
    </row>
    <row r="126" spans="1:30">
      <c r="A126">
        <v>36</v>
      </c>
      <c r="B126" t="s">
        <v>78</v>
      </c>
      <c r="C126" s="4" t="s">
        <v>36</v>
      </c>
      <c r="D126">
        <v>1</v>
      </c>
      <c r="E126" s="12">
        <v>1</v>
      </c>
      <c r="F126">
        <v>2012</v>
      </c>
      <c r="G126">
        <v>1</v>
      </c>
      <c r="H126" t="s">
        <v>27</v>
      </c>
      <c r="I126" t="s">
        <v>28</v>
      </c>
      <c r="J126" t="s">
        <v>84</v>
      </c>
      <c r="K126">
        <v>3.92699081698724E-2</v>
      </c>
      <c r="L126">
        <v>40</v>
      </c>
      <c r="M126">
        <v>1.5707963267949001E-4</v>
      </c>
      <c r="N126" s="64">
        <v>25650</v>
      </c>
      <c r="O126" t="s">
        <v>24</v>
      </c>
      <c r="P126">
        <v>7</v>
      </c>
      <c r="Q126">
        <v>4</v>
      </c>
      <c r="R126" s="39">
        <f>7*4</f>
        <v>28</v>
      </c>
      <c r="S126" t="s">
        <v>24</v>
      </c>
      <c r="T126" t="s">
        <v>24</v>
      </c>
      <c r="U126" t="s">
        <v>24</v>
      </c>
      <c r="V126" t="s">
        <v>24</v>
      </c>
      <c r="W126" t="s">
        <v>24</v>
      </c>
      <c r="X126" t="s">
        <v>24</v>
      </c>
      <c r="Y126" t="s">
        <v>24</v>
      </c>
      <c r="Z126" t="s">
        <v>24</v>
      </c>
      <c r="AA126" t="s">
        <v>24</v>
      </c>
      <c r="AB126">
        <v>2</v>
      </c>
      <c r="AC126" t="s">
        <v>24</v>
      </c>
      <c r="AD126" t="s">
        <v>24</v>
      </c>
    </row>
    <row r="127" spans="1:30">
      <c r="A127">
        <v>32</v>
      </c>
      <c r="B127" t="s">
        <v>78</v>
      </c>
      <c r="C127" s="5" t="s">
        <v>26</v>
      </c>
      <c r="D127">
        <v>1</v>
      </c>
      <c r="E127" s="12">
        <v>1</v>
      </c>
      <c r="F127">
        <v>2011</v>
      </c>
      <c r="G127">
        <v>1</v>
      </c>
      <c r="H127" t="s">
        <v>27</v>
      </c>
      <c r="I127" t="s">
        <v>28</v>
      </c>
      <c r="J127" t="s">
        <v>80</v>
      </c>
      <c r="K127">
        <v>450</v>
      </c>
      <c r="L127">
        <v>34</v>
      </c>
      <c r="M127">
        <v>1.53</v>
      </c>
      <c r="N127" s="64">
        <v>1028.22603</v>
      </c>
      <c r="O127" t="s">
        <v>24</v>
      </c>
      <c r="P127">
        <v>30</v>
      </c>
      <c r="Q127">
        <v>2</v>
      </c>
      <c r="R127" s="39">
        <f>(DATE(2006, 9,1)-DATE(2006, 8, 1))</f>
        <v>31</v>
      </c>
      <c r="S127" t="s">
        <v>24</v>
      </c>
      <c r="T127" t="s">
        <v>24</v>
      </c>
      <c r="U127" t="s">
        <v>24</v>
      </c>
      <c r="V127" t="s">
        <v>24</v>
      </c>
      <c r="W127" t="s">
        <v>24</v>
      </c>
      <c r="X127" t="s">
        <v>24</v>
      </c>
      <c r="Y127" t="s">
        <v>24</v>
      </c>
      <c r="Z127" t="s">
        <v>24</v>
      </c>
      <c r="AA127" t="s">
        <v>24</v>
      </c>
      <c r="AB127">
        <v>1</v>
      </c>
      <c r="AC127" t="s">
        <v>24</v>
      </c>
      <c r="AD127" t="s">
        <v>81</v>
      </c>
    </row>
    <row r="128" spans="1:30">
      <c r="A128">
        <v>35</v>
      </c>
      <c r="B128" t="s">
        <v>78</v>
      </c>
      <c r="C128" s="6" t="s">
        <v>35</v>
      </c>
      <c r="D128">
        <v>0</v>
      </c>
      <c r="E128" s="12">
        <v>99</v>
      </c>
      <c r="F128" t="s">
        <v>24</v>
      </c>
      <c r="H128" t="s">
        <v>24</v>
      </c>
      <c r="I128" t="s">
        <v>24</v>
      </c>
      <c r="J128" t="s">
        <v>24</v>
      </c>
      <c r="K128" t="s">
        <v>24</v>
      </c>
      <c r="L128" t="s">
        <v>24</v>
      </c>
      <c r="M128" t="s">
        <v>24</v>
      </c>
      <c r="N128" s="66"/>
      <c r="O128" t="s">
        <v>24</v>
      </c>
      <c r="P128" t="s">
        <v>24</v>
      </c>
      <c r="Q128" t="s">
        <v>24</v>
      </c>
      <c r="R128" s="58"/>
      <c r="S128" t="s">
        <v>24</v>
      </c>
      <c r="T128" t="s">
        <v>24</v>
      </c>
      <c r="U128" t="s">
        <v>24</v>
      </c>
      <c r="V128" t="s">
        <v>24</v>
      </c>
      <c r="W128" t="s">
        <v>24</v>
      </c>
      <c r="X128" t="s">
        <v>24</v>
      </c>
      <c r="Y128" t="s">
        <v>24</v>
      </c>
      <c r="Z128" t="s">
        <v>24</v>
      </c>
      <c r="AA128" t="s">
        <v>24</v>
      </c>
      <c r="AB128" t="s">
        <v>24</v>
      </c>
      <c r="AC128" t="s">
        <v>24</v>
      </c>
      <c r="AD128" t="s">
        <v>24</v>
      </c>
    </row>
    <row r="129" spans="1:30">
      <c r="A129">
        <v>37</v>
      </c>
      <c r="B129" t="s">
        <v>78</v>
      </c>
      <c r="C129" s="8" t="s">
        <v>38</v>
      </c>
      <c r="D129">
        <v>1</v>
      </c>
      <c r="E129" s="12">
        <v>1</v>
      </c>
      <c r="F129">
        <v>2006</v>
      </c>
      <c r="G129">
        <v>1</v>
      </c>
      <c r="H129" t="s">
        <v>27</v>
      </c>
      <c r="I129" t="s">
        <v>39</v>
      </c>
      <c r="J129" t="s">
        <v>85</v>
      </c>
      <c r="K129">
        <v>500</v>
      </c>
      <c r="L129">
        <v>19</v>
      </c>
      <c r="M129">
        <v>0.95</v>
      </c>
      <c r="N129" s="64">
        <v>1204</v>
      </c>
      <c r="O129" t="s">
        <v>24</v>
      </c>
      <c r="P129">
        <v>929.1</v>
      </c>
      <c r="Q129" s="39">
        <f>12</f>
        <v>12</v>
      </c>
      <c r="R129" s="39">
        <f>(2005-1977+1)*365</f>
        <v>10585</v>
      </c>
      <c r="S129" t="s">
        <v>24</v>
      </c>
      <c r="T129" t="s">
        <v>24</v>
      </c>
      <c r="U129" t="s">
        <v>24</v>
      </c>
      <c r="V129" t="s">
        <v>24</v>
      </c>
      <c r="W129" t="s">
        <v>24</v>
      </c>
      <c r="X129" t="s">
        <v>24</v>
      </c>
      <c r="Y129" t="s">
        <v>24</v>
      </c>
      <c r="Z129" t="s">
        <v>24</v>
      </c>
      <c r="AA129" t="s">
        <v>24</v>
      </c>
      <c r="AB129">
        <v>0</v>
      </c>
      <c r="AC129" t="s">
        <v>24</v>
      </c>
      <c r="AD129" t="s">
        <v>24</v>
      </c>
    </row>
    <row r="130" spans="1:30">
      <c r="A130">
        <v>33</v>
      </c>
      <c r="B130" t="s">
        <v>78</v>
      </c>
      <c r="C130" s="9" t="s">
        <v>30</v>
      </c>
      <c r="D130">
        <v>0</v>
      </c>
      <c r="E130" s="12">
        <v>99</v>
      </c>
      <c r="F130" t="s">
        <v>24</v>
      </c>
      <c r="H130" t="s">
        <v>24</v>
      </c>
      <c r="I130" t="s">
        <v>24</v>
      </c>
      <c r="J130" t="s">
        <v>24</v>
      </c>
      <c r="K130" t="s">
        <v>24</v>
      </c>
      <c r="L130" t="s">
        <v>24</v>
      </c>
      <c r="M130" t="s">
        <v>24</v>
      </c>
      <c r="N130" s="57"/>
      <c r="O130" t="s">
        <v>24</v>
      </c>
      <c r="P130" t="s">
        <v>24</v>
      </c>
      <c r="Q130" t="s">
        <v>24</v>
      </c>
      <c r="R130" s="57"/>
      <c r="S130" t="s">
        <v>24</v>
      </c>
      <c r="T130" t="s">
        <v>24</v>
      </c>
      <c r="U130" t="s">
        <v>24</v>
      </c>
      <c r="V130" t="s">
        <v>24</v>
      </c>
      <c r="W130" t="s">
        <v>24</v>
      </c>
      <c r="X130" t="s">
        <v>24</v>
      </c>
      <c r="Y130" t="s">
        <v>24</v>
      </c>
      <c r="Z130" t="s">
        <v>24</v>
      </c>
      <c r="AA130" t="s">
        <v>24</v>
      </c>
      <c r="AB130" t="s">
        <v>24</v>
      </c>
      <c r="AC130" t="s">
        <v>24</v>
      </c>
      <c r="AD130" t="s">
        <v>24</v>
      </c>
    </row>
    <row r="131" spans="1:30">
      <c r="A131">
        <v>31</v>
      </c>
      <c r="B131" t="s">
        <v>78</v>
      </c>
      <c r="C131" s="7" t="s">
        <v>23</v>
      </c>
      <c r="D131">
        <v>0</v>
      </c>
      <c r="E131" s="12">
        <v>99</v>
      </c>
      <c r="F131">
        <v>2012</v>
      </c>
      <c r="H131" t="s">
        <v>79</v>
      </c>
      <c r="I131" t="s">
        <v>24</v>
      </c>
      <c r="J131" t="s">
        <v>24</v>
      </c>
      <c r="K131" t="s">
        <v>24</v>
      </c>
      <c r="L131" t="s">
        <v>24</v>
      </c>
      <c r="M131" t="s">
        <v>24</v>
      </c>
      <c r="N131" s="57"/>
      <c r="O131" t="s">
        <v>24</v>
      </c>
      <c r="P131" t="s">
        <v>24</v>
      </c>
      <c r="Q131" t="s">
        <v>24</v>
      </c>
      <c r="R131" s="57"/>
      <c r="S131" t="s">
        <v>24</v>
      </c>
      <c r="T131" t="s">
        <v>24</v>
      </c>
      <c r="U131" t="s">
        <v>24</v>
      </c>
      <c r="V131" t="s">
        <v>24</v>
      </c>
      <c r="W131" t="s">
        <v>24</v>
      </c>
      <c r="X131" t="s">
        <v>24</v>
      </c>
      <c r="Y131" t="s">
        <v>24</v>
      </c>
      <c r="Z131" t="s">
        <v>24</v>
      </c>
      <c r="AA131" t="s">
        <v>24</v>
      </c>
      <c r="AB131" t="s">
        <v>24</v>
      </c>
      <c r="AC131" t="s">
        <v>24</v>
      </c>
      <c r="AD131" t="s">
        <v>24</v>
      </c>
    </row>
    <row r="132" spans="1:30">
      <c r="A132">
        <v>60</v>
      </c>
      <c r="B132" t="s">
        <v>78</v>
      </c>
      <c r="C132" s="10" t="s">
        <v>72</v>
      </c>
      <c r="D132">
        <v>0</v>
      </c>
      <c r="E132" s="12">
        <v>99</v>
      </c>
      <c r="F132">
        <v>2004</v>
      </c>
      <c r="H132" t="s">
        <v>24</v>
      </c>
      <c r="I132" t="s">
        <v>24</v>
      </c>
      <c r="J132" t="s">
        <v>24</v>
      </c>
      <c r="K132" t="s">
        <v>24</v>
      </c>
      <c r="L132" t="s">
        <v>24</v>
      </c>
      <c r="M132" t="s">
        <v>24</v>
      </c>
      <c r="N132" s="57"/>
      <c r="O132" t="s">
        <v>24</v>
      </c>
      <c r="P132" t="s">
        <v>24</v>
      </c>
      <c r="Q132" t="s">
        <v>24</v>
      </c>
      <c r="R132" s="57"/>
      <c r="S132" t="s">
        <v>24</v>
      </c>
      <c r="T132" t="s">
        <v>24</v>
      </c>
      <c r="U132" t="s">
        <v>24</v>
      </c>
      <c r="V132" t="s">
        <v>24</v>
      </c>
      <c r="W132" t="s">
        <v>24</v>
      </c>
      <c r="X132" t="s">
        <v>24</v>
      </c>
      <c r="Y132" t="s">
        <v>24</v>
      </c>
      <c r="Z132" t="s">
        <v>24</v>
      </c>
      <c r="AA132" t="s">
        <v>24</v>
      </c>
      <c r="AB132" t="s">
        <v>24</v>
      </c>
      <c r="AC132" t="s">
        <v>24</v>
      </c>
      <c r="AD132" t="s">
        <v>24</v>
      </c>
    </row>
    <row r="133" spans="1:30">
      <c r="A133">
        <v>53</v>
      </c>
      <c r="B133" t="s">
        <v>78</v>
      </c>
      <c r="C133" s="11" t="s">
        <v>60</v>
      </c>
      <c r="D133">
        <v>0</v>
      </c>
      <c r="E133" s="12">
        <v>99</v>
      </c>
      <c r="F133">
        <v>2011</v>
      </c>
      <c r="H133" t="s">
        <v>24</v>
      </c>
      <c r="I133" t="s">
        <v>24</v>
      </c>
      <c r="J133" t="s">
        <v>24</v>
      </c>
      <c r="K133" t="s">
        <v>24</v>
      </c>
      <c r="L133" t="s">
        <v>24</v>
      </c>
      <c r="M133" t="s">
        <v>24</v>
      </c>
      <c r="N133" s="58"/>
      <c r="O133" t="s">
        <v>24</v>
      </c>
      <c r="P133" t="s">
        <v>24</v>
      </c>
      <c r="Q133" t="s">
        <v>24</v>
      </c>
      <c r="R133" s="58"/>
      <c r="S133" t="s">
        <v>24</v>
      </c>
      <c r="T133" t="s">
        <v>24</v>
      </c>
      <c r="U133" t="s">
        <v>24</v>
      </c>
      <c r="V133" t="s">
        <v>24</v>
      </c>
      <c r="W133" t="s">
        <v>24</v>
      </c>
      <c r="X133" t="s">
        <v>24</v>
      </c>
      <c r="Y133" t="s">
        <v>24</v>
      </c>
      <c r="Z133" t="s">
        <v>24</v>
      </c>
      <c r="AA133" t="s">
        <v>24</v>
      </c>
      <c r="AB133" t="s">
        <v>24</v>
      </c>
      <c r="AC133" t="s">
        <v>24</v>
      </c>
      <c r="AD133" t="s">
        <v>24</v>
      </c>
    </row>
    <row r="134" spans="1:30">
      <c r="A134">
        <v>46</v>
      </c>
      <c r="B134" t="s">
        <v>78</v>
      </c>
      <c r="C134" t="s">
        <v>52</v>
      </c>
      <c r="D134">
        <v>0</v>
      </c>
      <c r="E134" s="12">
        <v>99</v>
      </c>
      <c r="F134">
        <v>2007</v>
      </c>
      <c r="H134" t="s">
        <v>24</v>
      </c>
      <c r="I134" t="s">
        <v>24</v>
      </c>
      <c r="J134" t="s">
        <v>24</v>
      </c>
      <c r="K134" t="s">
        <v>24</v>
      </c>
      <c r="L134" t="s">
        <v>24</v>
      </c>
      <c r="M134" t="s">
        <v>24</v>
      </c>
      <c r="N134" s="60"/>
      <c r="O134" t="s">
        <v>24</v>
      </c>
      <c r="P134" t="s">
        <v>24</v>
      </c>
      <c r="Q134" t="s">
        <v>24</v>
      </c>
      <c r="R134" s="60"/>
      <c r="S134" t="s">
        <v>24</v>
      </c>
      <c r="T134" t="s">
        <v>24</v>
      </c>
      <c r="U134" t="s">
        <v>24</v>
      </c>
      <c r="V134" t="s">
        <v>24</v>
      </c>
      <c r="W134" t="s">
        <v>24</v>
      </c>
      <c r="X134" t="s">
        <v>24</v>
      </c>
      <c r="Y134" t="s">
        <v>24</v>
      </c>
      <c r="Z134" t="s">
        <v>24</v>
      </c>
      <c r="AA134" t="s">
        <v>24</v>
      </c>
      <c r="AB134" t="s">
        <v>24</v>
      </c>
      <c r="AC134" t="s">
        <v>24</v>
      </c>
      <c r="AD134" t="s">
        <v>24</v>
      </c>
    </row>
    <row r="135" spans="1:30">
      <c r="A135">
        <v>38</v>
      </c>
      <c r="B135" t="s">
        <v>78</v>
      </c>
      <c r="C135" s="11" t="s">
        <v>41</v>
      </c>
      <c r="D135">
        <v>0</v>
      </c>
      <c r="E135" s="12">
        <v>99</v>
      </c>
      <c r="F135">
        <v>2004</v>
      </c>
      <c r="H135" t="s">
        <v>24</v>
      </c>
      <c r="I135" t="s">
        <v>24</v>
      </c>
      <c r="J135" t="s">
        <v>24</v>
      </c>
      <c r="K135" t="s">
        <v>24</v>
      </c>
      <c r="L135" t="s">
        <v>24</v>
      </c>
      <c r="M135" t="s">
        <v>24</v>
      </c>
      <c r="N135" s="58"/>
      <c r="O135" t="s">
        <v>24</v>
      </c>
      <c r="P135" t="s">
        <v>24</v>
      </c>
      <c r="Q135" t="s">
        <v>24</v>
      </c>
      <c r="R135" s="58"/>
      <c r="S135" t="s">
        <v>24</v>
      </c>
      <c r="T135" t="s">
        <v>24</v>
      </c>
      <c r="U135" t="s">
        <v>24</v>
      </c>
      <c r="V135" t="s">
        <v>24</v>
      </c>
      <c r="W135" t="s">
        <v>24</v>
      </c>
      <c r="X135" t="s">
        <v>24</v>
      </c>
      <c r="Y135" t="s">
        <v>24</v>
      </c>
      <c r="Z135" t="s">
        <v>24</v>
      </c>
      <c r="AA135" t="s">
        <v>24</v>
      </c>
      <c r="AB135" t="s">
        <v>24</v>
      </c>
      <c r="AC135" t="s">
        <v>24</v>
      </c>
      <c r="AD135" t="s">
        <v>24</v>
      </c>
    </row>
    <row r="136" spans="1:30">
      <c r="A136">
        <v>39</v>
      </c>
      <c r="B136" t="s">
        <v>78</v>
      </c>
      <c r="C136" t="s">
        <v>42</v>
      </c>
      <c r="D136">
        <v>0</v>
      </c>
      <c r="E136" s="12">
        <v>99</v>
      </c>
      <c r="F136">
        <v>2007</v>
      </c>
      <c r="H136" t="s">
        <v>24</v>
      </c>
      <c r="I136" t="s">
        <v>24</v>
      </c>
      <c r="J136" t="s">
        <v>24</v>
      </c>
      <c r="K136" t="s">
        <v>24</v>
      </c>
      <c r="L136" t="s">
        <v>24</v>
      </c>
      <c r="M136" t="s">
        <v>24</v>
      </c>
      <c r="N136" s="58"/>
      <c r="O136" t="s">
        <v>24</v>
      </c>
      <c r="P136" t="s">
        <v>24</v>
      </c>
      <c r="Q136" t="s">
        <v>24</v>
      </c>
      <c r="R136" s="58"/>
      <c r="S136" t="s">
        <v>24</v>
      </c>
      <c r="T136" t="s">
        <v>24</v>
      </c>
      <c r="U136" t="s">
        <v>24</v>
      </c>
      <c r="V136" t="s">
        <v>24</v>
      </c>
      <c r="W136" t="s">
        <v>24</v>
      </c>
      <c r="X136" t="s">
        <v>24</v>
      </c>
      <c r="Y136" t="s">
        <v>24</v>
      </c>
      <c r="Z136" t="s">
        <v>24</v>
      </c>
      <c r="AA136" t="s">
        <v>24</v>
      </c>
      <c r="AB136" t="s">
        <v>24</v>
      </c>
      <c r="AC136" t="s">
        <v>24</v>
      </c>
      <c r="AD136" t="s">
        <v>24</v>
      </c>
    </row>
    <row r="137" spans="1:30">
      <c r="A137">
        <v>34</v>
      </c>
      <c r="B137" t="s">
        <v>78</v>
      </c>
      <c r="C137" s="11" t="s">
        <v>31</v>
      </c>
      <c r="D137">
        <v>1</v>
      </c>
      <c r="E137" s="12">
        <v>1</v>
      </c>
      <c r="F137">
        <v>2013</v>
      </c>
      <c r="G137">
        <v>2</v>
      </c>
      <c r="H137" t="s">
        <v>32</v>
      </c>
      <c r="I137" t="s">
        <v>33</v>
      </c>
      <c r="J137" t="s">
        <v>82</v>
      </c>
      <c r="K137">
        <v>7.85398163397448E-3</v>
      </c>
      <c r="L137">
        <v>156</v>
      </c>
      <c r="M137">
        <v>1.22522113490002E-4</v>
      </c>
      <c r="N137" s="64">
        <v>438041000</v>
      </c>
      <c r="O137" t="s">
        <v>24</v>
      </c>
      <c r="P137">
        <v>91250</v>
      </c>
      <c r="Q137" s="43">
        <f>(9000-50)*365</f>
        <v>3266750</v>
      </c>
      <c r="R137" s="39">
        <f>Q137</f>
        <v>3266750</v>
      </c>
      <c r="S137">
        <v>0</v>
      </c>
      <c r="T137">
        <v>0</v>
      </c>
      <c r="U137">
        <v>0</v>
      </c>
      <c r="V137">
        <v>0</v>
      </c>
      <c r="W137">
        <v>0</v>
      </c>
      <c r="X137">
        <v>0</v>
      </c>
      <c r="Y137">
        <v>1</v>
      </c>
      <c r="Z137">
        <v>0</v>
      </c>
      <c r="AA137">
        <v>0</v>
      </c>
      <c r="AB137">
        <v>0</v>
      </c>
      <c r="AC137" t="s">
        <v>24</v>
      </c>
      <c r="AD137" t="s">
        <v>83</v>
      </c>
    </row>
    <row r="138" spans="1:30">
      <c r="A138">
        <v>47</v>
      </c>
      <c r="B138" t="s">
        <v>78</v>
      </c>
      <c r="C138" t="s">
        <v>53</v>
      </c>
      <c r="D138">
        <v>0</v>
      </c>
      <c r="E138" s="12">
        <v>99</v>
      </c>
      <c r="F138">
        <v>2008</v>
      </c>
      <c r="H138" t="s">
        <v>24</v>
      </c>
      <c r="I138" t="s">
        <v>24</v>
      </c>
      <c r="J138" t="s">
        <v>24</v>
      </c>
      <c r="K138" t="s">
        <v>24</v>
      </c>
      <c r="L138" t="s">
        <v>24</v>
      </c>
      <c r="M138" t="s">
        <v>24</v>
      </c>
      <c r="N138" s="58"/>
      <c r="O138" t="s">
        <v>24</v>
      </c>
      <c r="P138" t="s">
        <v>24</v>
      </c>
      <c r="Q138" t="s">
        <v>24</v>
      </c>
      <c r="R138" s="58"/>
      <c r="S138" t="s">
        <v>24</v>
      </c>
      <c r="T138" t="s">
        <v>24</v>
      </c>
      <c r="U138" t="s">
        <v>24</v>
      </c>
      <c r="V138" t="s">
        <v>24</v>
      </c>
      <c r="W138" t="s">
        <v>24</v>
      </c>
      <c r="X138" t="s">
        <v>24</v>
      </c>
      <c r="Y138" t="s">
        <v>24</v>
      </c>
      <c r="Z138" t="s">
        <v>24</v>
      </c>
      <c r="AA138" t="s">
        <v>24</v>
      </c>
      <c r="AB138" t="s">
        <v>24</v>
      </c>
      <c r="AC138" t="s">
        <v>24</v>
      </c>
      <c r="AD138" t="s">
        <v>24</v>
      </c>
    </row>
    <row r="139" spans="1:30">
      <c r="A139">
        <v>54</v>
      </c>
      <c r="B139" t="s">
        <v>78</v>
      </c>
      <c r="C139" t="s">
        <v>61</v>
      </c>
      <c r="D139">
        <v>1</v>
      </c>
      <c r="E139" s="12">
        <v>1</v>
      </c>
      <c r="F139">
        <v>2009</v>
      </c>
      <c r="G139">
        <v>1</v>
      </c>
      <c r="H139" t="s">
        <v>27</v>
      </c>
      <c r="I139" t="s">
        <v>100</v>
      </c>
      <c r="J139" t="s">
        <v>101</v>
      </c>
      <c r="K139" s="1">
        <v>7.85398163397448E-5</v>
      </c>
      <c r="L139">
        <v>77</v>
      </c>
      <c r="M139" s="1">
        <v>6.0475658581603501E-7</v>
      </c>
      <c r="N139" s="64">
        <v>591600</v>
      </c>
      <c r="O139" t="s">
        <v>24</v>
      </c>
      <c r="P139">
        <v>0</v>
      </c>
      <c r="Q139">
        <v>72.5</v>
      </c>
      <c r="R139" s="82">
        <v>72.5</v>
      </c>
      <c r="S139" t="s">
        <v>24</v>
      </c>
      <c r="T139" t="s">
        <v>24</v>
      </c>
      <c r="U139" t="s">
        <v>24</v>
      </c>
      <c r="V139" t="s">
        <v>24</v>
      </c>
      <c r="W139" t="s">
        <v>24</v>
      </c>
      <c r="X139" t="s">
        <v>24</v>
      </c>
      <c r="Y139" t="s">
        <v>24</v>
      </c>
      <c r="Z139" t="s">
        <v>24</v>
      </c>
      <c r="AA139" t="s">
        <v>24</v>
      </c>
      <c r="AB139">
        <v>2</v>
      </c>
      <c r="AC139" t="s">
        <v>24</v>
      </c>
      <c r="AD139" t="s">
        <v>102</v>
      </c>
    </row>
    <row r="140" spans="1:30">
      <c r="A140">
        <v>55</v>
      </c>
      <c r="B140" t="s">
        <v>78</v>
      </c>
      <c r="C140" t="s">
        <v>61</v>
      </c>
      <c r="D140">
        <v>1</v>
      </c>
      <c r="E140" s="12">
        <v>2</v>
      </c>
      <c r="F140">
        <v>2009</v>
      </c>
      <c r="G140">
        <v>1</v>
      </c>
      <c r="H140" t="s">
        <v>27</v>
      </c>
      <c r="I140" t="s">
        <v>100</v>
      </c>
      <c r="J140" t="s">
        <v>101</v>
      </c>
      <c r="K140" s="1">
        <v>7.85398163397448E-5</v>
      </c>
      <c r="L140">
        <v>308</v>
      </c>
      <c r="M140" s="1">
        <v>2.41902634326414E-6</v>
      </c>
      <c r="N140" s="64">
        <v>591600</v>
      </c>
      <c r="O140" t="s">
        <v>24</v>
      </c>
      <c r="P140">
        <v>0</v>
      </c>
      <c r="Q140">
        <v>72.5</v>
      </c>
      <c r="R140" s="82">
        <v>72.5</v>
      </c>
      <c r="S140" t="s">
        <v>24</v>
      </c>
      <c r="T140" t="s">
        <v>24</v>
      </c>
      <c r="U140" t="s">
        <v>24</v>
      </c>
      <c r="V140" t="s">
        <v>24</v>
      </c>
      <c r="W140" t="s">
        <v>24</v>
      </c>
      <c r="X140" t="s">
        <v>24</v>
      </c>
      <c r="Y140" t="s">
        <v>24</v>
      </c>
      <c r="Z140" t="s">
        <v>24</v>
      </c>
      <c r="AA140" t="s">
        <v>24</v>
      </c>
      <c r="AB140">
        <v>2</v>
      </c>
      <c r="AC140" t="s">
        <v>24</v>
      </c>
      <c r="AD140" t="s">
        <v>103</v>
      </c>
    </row>
    <row r="141" spans="1:30">
      <c r="A141">
        <v>56</v>
      </c>
      <c r="B141" t="s">
        <v>78</v>
      </c>
      <c r="C141" t="s">
        <v>61</v>
      </c>
      <c r="D141">
        <v>1</v>
      </c>
      <c r="E141" s="12">
        <v>3</v>
      </c>
      <c r="F141">
        <v>2009</v>
      </c>
      <c r="G141">
        <v>1</v>
      </c>
      <c r="H141" t="s">
        <v>27</v>
      </c>
      <c r="I141" t="s">
        <v>100</v>
      </c>
      <c r="J141" t="s">
        <v>101</v>
      </c>
      <c r="K141">
        <v>31415.926535897899</v>
      </c>
      <c r="L141">
        <v>104</v>
      </c>
      <c r="M141">
        <v>326.72563597333902</v>
      </c>
      <c r="N141" s="64">
        <v>591600</v>
      </c>
      <c r="O141" t="s">
        <v>24</v>
      </c>
      <c r="P141">
        <v>14</v>
      </c>
      <c r="Q141">
        <v>2</v>
      </c>
      <c r="R141" s="82">
        <v>16</v>
      </c>
      <c r="S141" t="s">
        <v>24</v>
      </c>
      <c r="T141" t="s">
        <v>24</v>
      </c>
      <c r="U141" t="s">
        <v>24</v>
      </c>
      <c r="V141" t="s">
        <v>24</v>
      </c>
      <c r="W141" t="s">
        <v>24</v>
      </c>
      <c r="X141" t="s">
        <v>24</v>
      </c>
      <c r="Y141" t="s">
        <v>24</v>
      </c>
      <c r="Z141" t="s">
        <v>24</v>
      </c>
      <c r="AA141" t="s">
        <v>24</v>
      </c>
      <c r="AB141">
        <v>2</v>
      </c>
      <c r="AC141" t="s">
        <v>24</v>
      </c>
      <c r="AD141" t="s">
        <v>104</v>
      </c>
    </row>
    <row r="142" spans="1:30">
      <c r="A142">
        <v>57</v>
      </c>
      <c r="B142" t="s">
        <v>78</v>
      </c>
      <c r="C142" t="s">
        <v>61</v>
      </c>
      <c r="D142">
        <v>1</v>
      </c>
      <c r="E142" s="12">
        <v>4</v>
      </c>
      <c r="F142">
        <v>2009</v>
      </c>
      <c r="G142">
        <v>1</v>
      </c>
      <c r="H142" t="s">
        <v>27</v>
      </c>
      <c r="I142" t="s">
        <v>100</v>
      </c>
      <c r="J142" t="s">
        <v>101</v>
      </c>
      <c r="K142">
        <v>400</v>
      </c>
      <c r="L142">
        <v>324</v>
      </c>
      <c r="M142">
        <v>12.96</v>
      </c>
      <c r="N142" s="64">
        <v>591600</v>
      </c>
      <c r="O142" t="s">
        <v>24</v>
      </c>
      <c r="P142">
        <v>0</v>
      </c>
      <c r="Q142">
        <v>1</v>
      </c>
      <c r="R142" s="39">
        <v>1</v>
      </c>
      <c r="S142" t="s">
        <v>24</v>
      </c>
      <c r="T142" t="s">
        <v>24</v>
      </c>
      <c r="U142" t="s">
        <v>24</v>
      </c>
      <c r="V142" t="s">
        <v>24</v>
      </c>
      <c r="W142" t="s">
        <v>24</v>
      </c>
      <c r="X142" t="s">
        <v>24</v>
      </c>
      <c r="Y142" t="s">
        <v>24</v>
      </c>
      <c r="Z142" t="s">
        <v>24</v>
      </c>
      <c r="AA142" t="s">
        <v>24</v>
      </c>
      <c r="AB142">
        <v>1</v>
      </c>
      <c r="AC142" t="s">
        <v>24</v>
      </c>
      <c r="AD142" t="s">
        <v>105</v>
      </c>
    </row>
    <row r="143" spans="1:30">
      <c r="A143">
        <v>48</v>
      </c>
      <c r="B143" t="s">
        <v>78</v>
      </c>
      <c r="C143" s="11" t="s">
        <v>54</v>
      </c>
      <c r="D143">
        <v>0</v>
      </c>
      <c r="E143" s="12">
        <v>99</v>
      </c>
      <c r="F143">
        <v>2012</v>
      </c>
      <c r="H143" t="s">
        <v>24</v>
      </c>
      <c r="I143" t="s">
        <v>24</v>
      </c>
      <c r="J143" t="s">
        <v>24</v>
      </c>
      <c r="K143" t="s">
        <v>24</v>
      </c>
      <c r="L143" t="s">
        <v>24</v>
      </c>
      <c r="M143" t="s">
        <v>24</v>
      </c>
      <c r="N143" s="58"/>
      <c r="O143" t="s">
        <v>24</v>
      </c>
      <c r="P143" t="s">
        <v>24</v>
      </c>
      <c r="Q143" t="s">
        <v>24</v>
      </c>
      <c r="R143" s="58"/>
      <c r="S143" t="s">
        <v>24</v>
      </c>
      <c r="T143" t="s">
        <v>24</v>
      </c>
      <c r="U143" t="s">
        <v>24</v>
      </c>
      <c r="V143" t="s">
        <v>24</v>
      </c>
      <c r="W143" t="s">
        <v>24</v>
      </c>
      <c r="X143" t="s">
        <v>24</v>
      </c>
      <c r="Y143" t="s">
        <v>24</v>
      </c>
      <c r="Z143" t="s">
        <v>24</v>
      </c>
      <c r="AA143" t="s">
        <v>24</v>
      </c>
      <c r="AB143" t="s">
        <v>24</v>
      </c>
      <c r="AC143" t="s">
        <v>24</v>
      </c>
      <c r="AD143" t="s">
        <v>24</v>
      </c>
    </row>
    <row r="144" spans="1:30">
      <c r="A144">
        <v>62</v>
      </c>
      <c r="B144" t="s">
        <v>78</v>
      </c>
      <c r="C144" t="s">
        <v>77</v>
      </c>
      <c r="D144">
        <v>0</v>
      </c>
      <c r="E144" s="12">
        <v>99</v>
      </c>
      <c r="F144">
        <v>2013</v>
      </c>
      <c r="H144" t="s">
        <v>24</v>
      </c>
      <c r="I144" t="s">
        <v>24</v>
      </c>
      <c r="J144" t="s">
        <v>24</v>
      </c>
      <c r="K144" t="s">
        <v>24</v>
      </c>
      <c r="L144" t="s">
        <v>24</v>
      </c>
      <c r="M144" t="s">
        <v>24</v>
      </c>
      <c r="N144" s="57"/>
      <c r="O144" t="s">
        <v>24</v>
      </c>
      <c r="P144" t="s">
        <v>24</v>
      </c>
      <c r="Q144" t="s">
        <v>24</v>
      </c>
      <c r="R144" s="57"/>
      <c r="S144" t="s">
        <v>24</v>
      </c>
      <c r="T144" t="s">
        <v>24</v>
      </c>
      <c r="U144" t="s">
        <v>24</v>
      </c>
      <c r="V144" t="s">
        <v>24</v>
      </c>
      <c r="W144" t="s">
        <v>24</v>
      </c>
      <c r="X144" t="s">
        <v>24</v>
      </c>
      <c r="Y144" t="s">
        <v>24</v>
      </c>
      <c r="Z144" t="s">
        <v>24</v>
      </c>
      <c r="AA144" t="s">
        <v>24</v>
      </c>
      <c r="AB144" t="s">
        <v>24</v>
      </c>
      <c r="AC144" t="s">
        <v>24</v>
      </c>
      <c r="AD144" t="s">
        <v>24</v>
      </c>
    </row>
    <row r="145" spans="1:30">
      <c r="A145">
        <v>49</v>
      </c>
      <c r="B145" t="s">
        <v>78</v>
      </c>
      <c r="C145" s="11" t="s">
        <v>55</v>
      </c>
      <c r="D145">
        <v>1</v>
      </c>
      <c r="E145" s="12">
        <v>1</v>
      </c>
      <c r="F145">
        <v>2007</v>
      </c>
      <c r="G145">
        <v>1</v>
      </c>
      <c r="H145" t="s">
        <v>27</v>
      </c>
      <c r="I145" t="s">
        <v>56</v>
      </c>
      <c r="J145" t="s">
        <v>94</v>
      </c>
      <c r="K145" s="1">
        <v>7.85398163397448E-5</v>
      </c>
      <c r="L145">
        <v>150</v>
      </c>
      <c r="M145" s="1">
        <v>1.1780972450961701E-6</v>
      </c>
      <c r="N145" s="64">
        <v>1292</v>
      </c>
      <c r="O145" t="s">
        <v>24</v>
      </c>
      <c r="P145">
        <v>7</v>
      </c>
      <c r="Q145" s="82">
        <v>0.27777777777777779</v>
      </c>
      <c r="R145" s="39">
        <f>30*5</f>
        <v>150</v>
      </c>
      <c r="S145" t="s">
        <v>24</v>
      </c>
      <c r="T145" t="s">
        <v>24</v>
      </c>
      <c r="U145" t="s">
        <v>24</v>
      </c>
      <c r="V145" t="s">
        <v>24</v>
      </c>
      <c r="W145" t="s">
        <v>24</v>
      </c>
      <c r="X145" t="s">
        <v>24</v>
      </c>
      <c r="Y145" t="s">
        <v>24</v>
      </c>
      <c r="Z145" t="s">
        <v>24</v>
      </c>
      <c r="AA145" t="s">
        <v>24</v>
      </c>
      <c r="AB145">
        <v>0</v>
      </c>
      <c r="AC145" t="s">
        <v>24</v>
      </c>
      <c r="AD145" t="s">
        <v>95</v>
      </c>
    </row>
    <row r="146" spans="1:30">
      <c r="A146">
        <v>50</v>
      </c>
      <c r="B146" t="s">
        <v>78</v>
      </c>
      <c r="C146" s="11" t="s">
        <v>55</v>
      </c>
      <c r="D146">
        <v>1</v>
      </c>
      <c r="E146" s="12">
        <v>4</v>
      </c>
      <c r="F146">
        <v>2007</v>
      </c>
      <c r="G146">
        <v>1</v>
      </c>
      <c r="H146" t="s">
        <v>27</v>
      </c>
      <c r="I146" t="s">
        <v>56</v>
      </c>
      <c r="J146" t="s">
        <v>94</v>
      </c>
      <c r="K146" s="1">
        <v>7.85398163397448E-5</v>
      </c>
      <c r="L146" s="13">
        <v>3600</v>
      </c>
      <c r="M146" s="1">
        <v>2.82743338823081E-5</v>
      </c>
      <c r="N146" s="64">
        <v>1292</v>
      </c>
      <c r="O146" t="s">
        <v>24</v>
      </c>
      <c r="P146">
        <v>0</v>
      </c>
      <c r="Q146">
        <v>1</v>
      </c>
      <c r="R146" s="39">
        <v>1</v>
      </c>
      <c r="S146" t="s">
        <v>24</v>
      </c>
      <c r="T146" t="s">
        <v>24</v>
      </c>
      <c r="U146" t="s">
        <v>24</v>
      </c>
      <c r="V146" t="s">
        <v>24</v>
      </c>
      <c r="W146" t="s">
        <v>24</v>
      </c>
      <c r="X146" t="s">
        <v>24</v>
      </c>
      <c r="Y146" t="s">
        <v>24</v>
      </c>
      <c r="Z146" t="s">
        <v>24</v>
      </c>
      <c r="AA146" t="s">
        <v>24</v>
      </c>
      <c r="AB146">
        <v>1</v>
      </c>
      <c r="AC146" t="s">
        <v>96</v>
      </c>
      <c r="AD146" t="s">
        <v>97</v>
      </c>
    </row>
    <row r="147" spans="1:30">
      <c r="A147">
        <v>51</v>
      </c>
      <c r="B147" t="s">
        <v>78</v>
      </c>
      <c r="C147" s="11" t="s">
        <v>55</v>
      </c>
      <c r="D147">
        <v>1</v>
      </c>
      <c r="E147" s="12">
        <v>2</v>
      </c>
      <c r="F147">
        <v>2007</v>
      </c>
      <c r="G147">
        <v>1</v>
      </c>
      <c r="H147" t="s">
        <v>27</v>
      </c>
      <c r="I147" t="s">
        <v>56</v>
      </c>
      <c r="J147" t="s">
        <v>94</v>
      </c>
      <c r="K147">
        <v>0.25</v>
      </c>
      <c r="L147">
        <v>36</v>
      </c>
      <c r="M147" s="1">
        <v>8.9999999999999998E-4</v>
      </c>
      <c r="N147" s="64">
        <v>1292</v>
      </c>
      <c r="O147" t="s">
        <v>24</v>
      </c>
      <c r="P147">
        <v>60</v>
      </c>
      <c r="Q147">
        <v>2</v>
      </c>
      <c r="R147" s="39">
        <v>60</v>
      </c>
      <c r="S147" t="s">
        <v>24</v>
      </c>
      <c r="T147" t="s">
        <v>24</v>
      </c>
      <c r="U147" t="s">
        <v>24</v>
      </c>
      <c r="V147" t="s">
        <v>24</v>
      </c>
      <c r="W147" t="s">
        <v>24</v>
      </c>
      <c r="X147" t="s">
        <v>24</v>
      </c>
      <c r="Y147" t="s">
        <v>24</v>
      </c>
      <c r="Z147" t="s">
        <v>24</v>
      </c>
      <c r="AA147" t="s">
        <v>24</v>
      </c>
      <c r="AB147">
        <v>0</v>
      </c>
      <c r="AC147" t="s">
        <v>24</v>
      </c>
      <c r="AD147" t="s">
        <v>98</v>
      </c>
    </row>
    <row r="148" spans="1:30">
      <c r="A148">
        <v>52</v>
      </c>
      <c r="B148" t="s">
        <v>78</v>
      </c>
      <c r="C148" s="11" t="s">
        <v>55</v>
      </c>
      <c r="D148">
        <v>1</v>
      </c>
      <c r="E148" s="12">
        <v>3</v>
      </c>
      <c r="F148">
        <v>2007</v>
      </c>
      <c r="G148">
        <v>1</v>
      </c>
      <c r="H148" t="s">
        <v>27</v>
      </c>
      <c r="I148" t="s">
        <v>56</v>
      </c>
      <c r="J148" t="s">
        <v>94</v>
      </c>
      <c r="K148">
        <v>0.25</v>
      </c>
      <c r="L148">
        <v>24</v>
      </c>
      <c r="M148" s="1">
        <v>5.9999999999999995E-4</v>
      </c>
      <c r="N148" s="64">
        <v>1292</v>
      </c>
      <c r="O148" t="s">
        <v>24</v>
      </c>
      <c r="P148">
        <v>0</v>
      </c>
      <c r="Q148">
        <v>1</v>
      </c>
      <c r="R148" s="39">
        <v>1</v>
      </c>
      <c r="S148" t="s">
        <v>24</v>
      </c>
      <c r="T148" t="s">
        <v>24</v>
      </c>
      <c r="U148" t="s">
        <v>24</v>
      </c>
      <c r="V148" t="s">
        <v>24</v>
      </c>
      <c r="W148" t="s">
        <v>24</v>
      </c>
      <c r="X148" t="s">
        <v>24</v>
      </c>
      <c r="Y148" t="s">
        <v>24</v>
      </c>
      <c r="Z148" t="s">
        <v>24</v>
      </c>
      <c r="AA148" t="s">
        <v>24</v>
      </c>
      <c r="AB148">
        <v>0</v>
      </c>
      <c r="AC148" t="s">
        <v>24</v>
      </c>
      <c r="AD148" t="s">
        <v>99</v>
      </c>
    </row>
    <row r="149" spans="1:30">
      <c r="A149">
        <v>40</v>
      </c>
      <c r="B149" t="s">
        <v>78</v>
      </c>
      <c r="C149" t="s">
        <v>43</v>
      </c>
      <c r="D149">
        <v>1</v>
      </c>
      <c r="E149" s="12">
        <v>1</v>
      </c>
      <c r="F149">
        <v>2013</v>
      </c>
      <c r="G149">
        <v>1</v>
      </c>
      <c r="H149" t="s">
        <v>27</v>
      </c>
      <c r="I149" t="s">
        <v>86</v>
      </c>
      <c r="J149" t="s">
        <v>87</v>
      </c>
      <c r="K149">
        <v>400</v>
      </c>
      <c r="L149">
        <v>20</v>
      </c>
      <c r="M149">
        <v>0.8</v>
      </c>
      <c r="N149" s="64">
        <v>184</v>
      </c>
      <c r="O149" t="s">
        <v>24</v>
      </c>
      <c r="P149">
        <v>7300</v>
      </c>
      <c r="Q149">
        <v>2</v>
      </c>
      <c r="R149" s="39">
        <f>(2009-1989)*365</f>
        <v>7300</v>
      </c>
      <c r="S149" t="s">
        <v>24</v>
      </c>
      <c r="T149" t="s">
        <v>24</v>
      </c>
      <c r="U149" t="s">
        <v>24</v>
      </c>
      <c r="V149" t="s">
        <v>24</v>
      </c>
      <c r="W149" t="s">
        <v>24</v>
      </c>
      <c r="X149" t="s">
        <v>24</v>
      </c>
      <c r="Y149" t="s">
        <v>24</v>
      </c>
      <c r="Z149" t="s">
        <v>24</v>
      </c>
      <c r="AA149" t="s">
        <v>24</v>
      </c>
      <c r="AB149">
        <v>1</v>
      </c>
      <c r="AC149" t="s">
        <v>24</v>
      </c>
      <c r="AD149" t="s">
        <v>88</v>
      </c>
    </row>
    <row r="150" spans="1:30" s="63" customFormat="1">
      <c r="A150" s="43"/>
      <c r="B150" t="s">
        <v>78</v>
      </c>
      <c r="C150" s="43" t="s">
        <v>43</v>
      </c>
      <c r="D150" s="43">
        <v>1</v>
      </c>
      <c r="E150" s="43">
        <v>2</v>
      </c>
      <c r="F150" s="43">
        <v>2013</v>
      </c>
      <c r="G150" s="43">
        <v>1</v>
      </c>
      <c r="H150" s="43" t="s">
        <v>27</v>
      </c>
      <c r="I150" s="43" t="s">
        <v>86</v>
      </c>
      <c r="J150" s="43" t="s">
        <v>87</v>
      </c>
      <c r="K150" s="43">
        <f>0.23</f>
        <v>0.23</v>
      </c>
      <c r="L150" s="43">
        <v>100</v>
      </c>
      <c r="M150" s="61">
        <f>(K150*L150)/10000</f>
        <v>2.3E-3</v>
      </c>
      <c r="N150" s="62">
        <v>184</v>
      </c>
      <c r="O150" s="61" t="s">
        <v>24</v>
      </c>
      <c r="P150" s="43">
        <v>0</v>
      </c>
      <c r="Q150" s="43">
        <v>365</v>
      </c>
      <c r="R150" s="43">
        <f>365</f>
        <v>365</v>
      </c>
      <c r="S150" s="43" t="s">
        <v>215</v>
      </c>
      <c r="T150" s="43" t="s">
        <v>216</v>
      </c>
      <c r="U150" s="43" t="s">
        <v>215</v>
      </c>
      <c r="V150" s="43" t="s">
        <v>216</v>
      </c>
      <c r="W150" s="43" t="s">
        <v>215</v>
      </c>
      <c r="X150" s="43" t="s">
        <v>215</v>
      </c>
      <c r="Y150" s="43" t="s">
        <v>215</v>
      </c>
      <c r="Z150" s="43" t="s">
        <v>216</v>
      </c>
      <c r="AA150" s="43" t="s">
        <v>215</v>
      </c>
      <c r="AB150" s="43">
        <v>0</v>
      </c>
      <c r="AC150" s="43" t="s">
        <v>24</v>
      </c>
      <c r="AD150" s="43" t="s">
        <v>217</v>
      </c>
    </row>
    <row r="151" spans="1:30">
      <c r="A151">
        <v>41</v>
      </c>
      <c r="B151" t="s">
        <v>78</v>
      </c>
      <c r="C151" t="s">
        <v>43</v>
      </c>
      <c r="D151">
        <v>1</v>
      </c>
      <c r="E151" s="12">
        <v>3</v>
      </c>
      <c r="F151">
        <v>2013</v>
      </c>
      <c r="G151">
        <v>1</v>
      </c>
      <c r="H151" t="s">
        <v>27</v>
      </c>
      <c r="I151" t="s">
        <v>86</v>
      </c>
      <c r="J151" t="s">
        <v>87</v>
      </c>
      <c r="K151">
        <v>2.2499999999999999E-2</v>
      </c>
      <c r="L151">
        <v>100</v>
      </c>
      <c r="M151">
        <v>2.2499999999999999E-4</v>
      </c>
      <c r="N151" s="64">
        <v>184</v>
      </c>
      <c r="O151" t="s">
        <v>24</v>
      </c>
      <c r="P151">
        <v>1095</v>
      </c>
      <c r="Q151">
        <v>2</v>
      </c>
      <c r="R151" s="39">
        <f>Q152</f>
        <v>30</v>
      </c>
      <c r="S151" t="s">
        <v>24</v>
      </c>
      <c r="T151" t="s">
        <v>24</v>
      </c>
      <c r="U151" t="s">
        <v>24</v>
      </c>
      <c r="V151" t="s">
        <v>24</v>
      </c>
      <c r="W151" t="s">
        <v>24</v>
      </c>
      <c r="X151" t="s">
        <v>24</v>
      </c>
      <c r="Y151" t="s">
        <v>24</v>
      </c>
      <c r="Z151" t="s">
        <v>24</v>
      </c>
      <c r="AA151" t="s">
        <v>24</v>
      </c>
      <c r="AB151">
        <v>0</v>
      </c>
      <c r="AC151" t="s">
        <v>24</v>
      </c>
      <c r="AD151" t="s">
        <v>89</v>
      </c>
    </row>
    <row r="152" spans="1:30">
      <c r="A152">
        <v>42</v>
      </c>
      <c r="B152" t="s">
        <v>78</v>
      </c>
      <c r="C152" t="s">
        <v>43</v>
      </c>
      <c r="D152">
        <v>1</v>
      </c>
      <c r="E152" s="12">
        <v>5</v>
      </c>
      <c r="F152">
        <v>2013</v>
      </c>
      <c r="G152">
        <v>1</v>
      </c>
      <c r="H152" t="s">
        <v>27</v>
      </c>
      <c r="I152" t="s">
        <v>86</v>
      </c>
      <c r="J152" t="s">
        <v>87</v>
      </c>
      <c r="K152">
        <v>1.125E-2</v>
      </c>
      <c r="L152">
        <v>120</v>
      </c>
      <c r="M152">
        <v>1.35E-4</v>
      </c>
      <c r="N152" s="64">
        <v>184</v>
      </c>
      <c r="O152" t="s">
        <v>24</v>
      </c>
      <c r="P152">
        <v>30</v>
      </c>
      <c r="Q152">
        <v>30</v>
      </c>
      <c r="R152" s="39">
        <v>30</v>
      </c>
      <c r="S152" t="s">
        <v>24</v>
      </c>
      <c r="T152" t="s">
        <v>24</v>
      </c>
      <c r="U152" t="s">
        <v>24</v>
      </c>
      <c r="V152" t="s">
        <v>24</v>
      </c>
      <c r="W152" t="s">
        <v>24</v>
      </c>
      <c r="X152" t="s">
        <v>24</v>
      </c>
      <c r="Y152" t="s">
        <v>24</v>
      </c>
      <c r="Z152" t="s">
        <v>24</v>
      </c>
      <c r="AA152" t="s">
        <v>24</v>
      </c>
      <c r="AB152">
        <v>0</v>
      </c>
      <c r="AC152" t="s">
        <v>24</v>
      </c>
      <c r="AD152" t="s">
        <v>90</v>
      </c>
    </row>
    <row r="153" spans="1:30">
      <c r="A153">
        <v>43</v>
      </c>
      <c r="B153" t="s">
        <v>78</v>
      </c>
      <c r="C153" t="s">
        <v>43</v>
      </c>
      <c r="D153">
        <v>1</v>
      </c>
      <c r="E153" s="12">
        <v>4</v>
      </c>
      <c r="F153">
        <v>2013</v>
      </c>
      <c r="G153">
        <v>1</v>
      </c>
      <c r="H153" t="s">
        <v>27</v>
      </c>
      <c r="I153" t="s">
        <v>86</v>
      </c>
      <c r="J153" t="s">
        <v>87</v>
      </c>
      <c r="K153">
        <v>7.0882184246619699E-3</v>
      </c>
      <c r="L153">
        <v>100</v>
      </c>
      <c r="M153" s="1">
        <v>7.0882184246619701E-5</v>
      </c>
      <c r="N153" s="64">
        <v>184</v>
      </c>
      <c r="O153" t="s">
        <v>24</v>
      </c>
      <c r="P153">
        <v>0</v>
      </c>
      <c r="Q153">
        <v>1</v>
      </c>
      <c r="R153" s="39">
        <v>1</v>
      </c>
      <c r="S153" t="s">
        <v>24</v>
      </c>
      <c r="T153" t="s">
        <v>24</v>
      </c>
      <c r="U153" t="s">
        <v>24</v>
      </c>
      <c r="V153" t="s">
        <v>24</v>
      </c>
      <c r="W153" t="s">
        <v>24</v>
      </c>
      <c r="X153" t="s">
        <v>24</v>
      </c>
      <c r="Y153" t="s">
        <v>24</v>
      </c>
      <c r="Z153" t="s">
        <v>24</v>
      </c>
      <c r="AA153" t="s">
        <v>24</v>
      </c>
      <c r="AB153">
        <v>0</v>
      </c>
      <c r="AC153" t="s">
        <v>24</v>
      </c>
      <c r="AD153" t="s">
        <v>91</v>
      </c>
    </row>
    <row r="154" spans="1:30">
      <c r="A154">
        <v>44</v>
      </c>
      <c r="B154" t="s">
        <v>78</v>
      </c>
      <c r="C154" t="s">
        <v>43</v>
      </c>
      <c r="D154">
        <v>1</v>
      </c>
      <c r="E154" s="12">
        <v>5</v>
      </c>
      <c r="F154">
        <v>2013</v>
      </c>
      <c r="G154">
        <v>1</v>
      </c>
      <c r="H154" t="s">
        <v>27</v>
      </c>
      <c r="I154" t="s">
        <v>86</v>
      </c>
      <c r="J154" t="s">
        <v>87</v>
      </c>
      <c r="K154">
        <v>3.8484510006475E-3</v>
      </c>
      <c r="L154">
        <v>120</v>
      </c>
      <c r="M154" s="1">
        <v>4.618141200777E-5</v>
      </c>
      <c r="N154" s="64">
        <v>184</v>
      </c>
      <c r="O154" t="s">
        <v>24</v>
      </c>
      <c r="P154">
        <v>30</v>
      </c>
      <c r="Q154">
        <v>30</v>
      </c>
      <c r="R154" s="39">
        <v>30</v>
      </c>
      <c r="S154" t="s">
        <v>24</v>
      </c>
      <c r="T154" t="s">
        <v>24</v>
      </c>
      <c r="U154" t="s">
        <v>24</v>
      </c>
      <c r="V154" t="s">
        <v>24</v>
      </c>
      <c r="W154" t="s">
        <v>24</v>
      </c>
      <c r="X154" t="s">
        <v>24</v>
      </c>
      <c r="Y154" t="s">
        <v>24</v>
      </c>
      <c r="Z154" t="s">
        <v>24</v>
      </c>
      <c r="AA154" t="s">
        <v>24</v>
      </c>
      <c r="AB154">
        <v>0</v>
      </c>
      <c r="AC154" t="s">
        <v>24</v>
      </c>
      <c r="AD154" t="s">
        <v>92</v>
      </c>
    </row>
    <row r="155" spans="1:30">
      <c r="A155">
        <v>45</v>
      </c>
      <c r="B155" t="s">
        <v>78</v>
      </c>
      <c r="C155" t="s">
        <v>43</v>
      </c>
      <c r="D155">
        <v>1</v>
      </c>
      <c r="E155" s="12">
        <v>6</v>
      </c>
      <c r="F155">
        <v>2013</v>
      </c>
      <c r="G155">
        <v>1</v>
      </c>
      <c r="H155" t="s">
        <v>27</v>
      </c>
      <c r="I155" t="s">
        <v>86</v>
      </c>
      <c r="J155" t="s">
        <v>87</v>
      </c>
      <c r="K155" s="1">
        <v>7.85398163397448E-5</v>
      </c>
      <c r="L155">
        <v>400</v>
      </c>
      <c r="M155" s="1">
        <v>3.1415926535897899E-6</v>
      </c>
      <c r="N155" s="64">
        <v>184</v>
      </c>
      <c r="O155" t="s">
        <v>24</v>
      </c>
      <c r="P155">
        <v>0</v>
      </c>
      <c r="Q155">
        <v>1</v>
      </c>
      <c r="R155" s="39">
        <v>1</v>
      </c>
      <c r="S155" t="s">
        <v>24</v>
      </c>
      <c r="T155" t="s">
        <v>24</v>
      </c>
      <c r="U155" t="s">
        <v>24</v>
      </c>
      <c r="V155" t="s">
        <v>24</v>
      </c>
      <c r="W155" t="s">
        <v>24</v>
      </c>
      <c r="X155" t="s">
        <v>24</v>
      </c>
      <c r="Y155" t="s">
        <v>24</v>
      </c>
      <c r="Z155" t="s">
        <v>24</v>
      </c>
      <c r="AA155" t="s">
        <v>24</v>
      </c>
      <c r="AB155">
        <v>0</v>
      </c>
      <c r="AC155" t="s">
        <v>24</v>
      </c>
      <c r="AD155" t="s">
        <v>93</v>
      </c>
    </row>
    <row r="156" spans="1:30" ht="25">
      <c r="A156">
        <v>178</v>
      </c>
      <c r="B156" t="s">
        <v>172</v>
      </c>
      <c r="C156" s="2" t="s">
        <v>68</v>
      </c>
      <c r="D156">
        <v>1</v>
      </c>
      <c r="E156" s="12">
        <v>1</v>
      </c>
      <c r="F156">
        <v>2006</v>
      </c>
      <c r="G156">
        <v>1</v>
      </c>
      <c r="H156" s="72" t="s">
        <v>27</v>
      </c>
      <c r="I156" s="72" t="s">
        <v>69</v>
      </c>
      <c r="J156" s="72" t="s">
        <v>187</v>
      </c>
      <c r="K156" s="72">
        <f>3.14159*50*50</f>
        <v>7853.9749999999995</v>
      </c>
      <c r="L156" s="72">
        <v>50</v>
      </c>
      <c r="M156" s="72">
        <f>L156*K156/10000</f>
        <v>39.269874999999999</v>
      </c>
      <c r="N156" s="72">
        <f>145*35/20+10*2.75</f>
        <v>281.25</v>
      </c>
      <c r="O156" s="72"/>
      <c r="P156" s="72">
        <f>90/6</f>
        <v>15</v>
      </c>
      <c r="Q156" s="72">
        <f>6*5/24/60</f>
        <v>2.0833333333333332E-2</v>
      </c>
      <c r="R156" s="80">
        <f t="shared" ref="R156:R157" si="0">15+31+30+31</f>
        <v>107</v>
      </c>
      <c r="S156" s="72">
        <v>1</v>
      </c>
      <c r="T156" s="72">
        <v>1</v>
      </c>
      <c r="U156" s="72">
        <v>1</v>
      </c>
      <c r="V156" s="72">
        <v>1</v>
      </c>
      <c r="W156" s="72">
        <v>0</v>
      </c>
      <c r="X156" s="72">
        <v>0</v>
      </c>
      <c r="Y156" s="72">
        <v>0</v>
      </c>
      <c r="Z156" s="72">
        <v>0</v>
      </c>
      <c r="AA156" s="72">
        <v>0</v>
      </c>
      <c r="AB156" s="72">
        <v>1</v>
      </c>
      <c r="AC156" t="s">
        <v>24</v>
      </c>
      <c r="AD156" s="78" t="s">
        <v>223</v>
      </c>
    </row>
    <row r="157" spans="1:30" ht="25">
      <c r="A157">
        <v>179</v>
      </c>
      <c r="B157" t="s">
        <v>172</v>
      </c>
      <c r="C157" s="2" t="s">
        <v>68</v>
      </c>
      <c r="D157">
        <v>1</v>
      </c>
      <c r="E157" s="12">
        <v>2</v>
      </c>
      <c r="F157">
        <v>2006</v>
      </c>
      <c r="G157">
        <v>1</v>
      </c>
      <c r="H157" s="72" t="s">
        <v>27</v>
      </c>
      <c r="I157" s="72" t="s">
        <v>69</v>
      </c>
      <c r="J157" s="72" t="s">
        <v>187</v>
      </c>
      <c r="K157" s="72">
        <f>3.14159*30*30</f>
        <v>2827.431</v>
      </c>
      <c r="L157" s="72">
        <v>67</v>
      </c>
      <c r="M157" s="72">
        <f>L157*K157/10000</f>
        <v>18.943787700000001</v>
      </c>
      <c r="N157" s="72">
        <f>145*35/20+10*2.75</f>
        <v>281.25</v>
      </c>
      <c r="O157" s="72"/>
      <c r="P157" s="72">
        <f>1/6</f>
        <v>0.16666666666666666</v>
      </c>
      <c r="Q157" s="72">
        <f>3000/24/60/67</f>
        <v>3.109452736318408E-2</v>
      </c>
      <c r="R157" s="80">
        <f t="shared" si="0"/>
        <v>107</v>
      </c>
      <c r="S157" s="72">
        <v>1</v>
      </c>
      <c r="T157" s="72">
        <v>1</v>
      </c>
      <c r="U157" s="72">
        <v>1</v>
      </c>
      <c r="V157" s="72">
        <v>1</v>
      </c>
      <c r="W157" s="72">
        <v>0</v>
      </c>
      <c r="X157" s="72">
        <v>0</v>
      </c>
      <c r="Y157" s="72">
        <v>1</v>
      </c>
      <c r="Z157" s="72">
        <v>0</v>
      </c>
      <c r="AA157" s="72">
        <v>0</v>
      </c>
      <c r="AB157" s="72">
        <v>1</v>
      </c>
      <c r="AC157" t="s">
        <v>24</v>
      </c>
      <c r="AD157" s="78" t="s">
        <v>188</v>
      </c>
    </row>
    <row r="158" spans="1:30">
      <c r="A158">
        <v>181</v>
      </c>
      <c r="B158" t="s">
        <v>172</v>
      </c>
      <c r="C158" s="3" t="s">
        <v>73</v>
      </c>
      <c r="D158">
        <v>0</v>
      </c>
      <c r="E158" s="12">
        <v>99</v>
      </c>
      <c r="F158">
        <v>2010</v>
      </c>
      <c r="H158" s="72"/>
      <c r="I158" s="72"/>
      <c r="J158" s="72"/>
      <c r="K158" s="72"/>
      <c r="L158" s="72"/>
      <c r="M158" s="72"/>
      <c r="N158" s="72"/>
      <c r="O158" s="72"/>
      <c r="P158" s="72"/>
      <c r="Q158" s="72"/>
      <c r="R158" s="81"/>
      <c r="S158" s="72"/>
      <c r="T158" s="72"/>
      <c r="U158" s="72"/>
      <c r="V158" s="72"/>
      <c r="W158" s="72"/>
      <c r="X158" s="72"/>
      <c r="Y158" s="72"/>
      <c r="Z158" s="72"/>
      <c r="AA158" s="72"/>
      <c r="AB158" s="72"/>
      <c r="AC158" t="s">
        <v>24</v>
      </c>
      <c r="AD158" s="78"/>
    </row>
    <row r="159" spans="1:30" ht="37">
      <c r="A159">
        <v>161</v>
      </c>
      <c r="B159" t="s">
        <v>172</v>
      </c>
      <c r="C159" s="4" t="s">
        <v>36</v>
      </c>
      <c r="D159">
        <v>1</v>
      </c>
      <c r="E159" s="12">
        <v>1</v>
      </c>
      <c r="F159">
        <v>2012</v>
      </c>
      <c r="G159">
        <v>1</v>
      </c>
      <c r="H159" s="72" t="s">
        <v>27</v>
      </c>
      <c r="I159" s="72" t="s">
        <v>28</v>
      </c>
      <c r="J159" s="72" t="s">
        <v>174</v>
      </c>
      <c r="K159" s="72">
        <f>3.14159*0.0001*100</f>
        <v>3.1415899999999997E-2</v>
      </c>
      <c r="L159" s="72">
        <v>8</v>
      </c>
      <c r="M159" s="72">
        <f>K159*L159</f>
        <v>0.25132719999999997</v>
      </c>
      <c r="N159" s="72">
        <v>20000</v>
      </c>
      <c r="O159" s="84">
        <f>6/24</f>
        <v>0.25</v>
      </c>
      <c r="P159" s="84">
        <v>7</v>
      </c>
      <c r="Q159" s="84">
        <f>O159*4</f>
        <v>1</v>
      </c>
      <c r="R159" s="85">
        <v>61</v>
      </c>
      <c r="S159" s="72">
        <v>1</v>
      </c>
      <c r="T159" s="72">
        <v>1</v>
      </c>
      <c r="U159" s="72">
        <v>1</v>
      </c>
      <c r="V159" s="72">
        <v>1</v>
      </c>
      <c r="W159" s="72">
        <v>0</v>
      </c>
      <c r="X159" s="72">
        <v>0</v>
      </c>
      <c r="Y159" s="72">
        <v>1</v>
      </c>
      <c r="Z159" s="72">
        <v>1</v>
      </c>
      <c r="AA159" s="72">
        <v>1</v>
      </c>
      <c r="AB159" s="72">
        <v>2</v>
      </c>
      <c r="AC159" t="s">
        <v>24</v>
      </c>
      <c r="AD159" s="78" t="s">
        <v>224</v>
      </c>
    </row>
    <row r="160" spans="1:30">
      <c r="A160">
        <v>157</v>
      </c>
      <c r="B160" t="s">
        <v>172</v>
      </c>
      <c r="C160" s="5" t="s">
        <v>26</v>
      </c>
      <c r="D160">
        <v>0</v>
      </c>
      <c r="E160" s="12">
        <v>99</v>
      </c>
      <c r="F160">
        <v>2011</v>
      </c>
      <c r="H160" s="72"/>
      <c r="I160" s="72"/>
      <c r="J160" s="72"/>
      <c r="K160" s="72"/>
      <c r="L160" s="72"/>
      <c r="M160" s="72"/>
      <c r="N160" s="72"/>
      <c r="O160" s="76"/>
      <c r="P160" s="76"/>
      <c r="Q160" s="72"/>
      <c r="R160" s="72"/>
      <c r="S160" s="72"/>
      <c r="T160" s="72"/>
      <c r="U160" s="72"/>
      <c r="V160" s="72"/>
      <c r="W160" s="72"/>
      <c r="X160" s="72"/>
      <c r="Y160" s="72"/>
      <c r="Z160" s="72"/>
      <c r="AA160" s="72"/>
      <c r="AB160" s="72"/>
      <c r="AC160" t="s">
        <v>24</v>
      </c>
      <c r="AD160" s="78"/>
    </row>
    <row r="161" spans="1:30">
      <c r="A161">
        <v>160</v>
      </c>
      <c r="B161" t="s">
        <v>172</v>
      </c>
      <c r="C161" s="6" t="s">
        <v>35</v>
      </c>
      <c r="D161">
        <v>0</v>
      </c>
      <c r="E161" s="12">
        <v>99</v>
      </c>
      <c r="F161">
        <v>2014</v>
      </c>
      <c r="H161" s="72"/>
      <c r="I161" s="72"/>
      <c r="J161" s="72"/>
      <c r="K161" s="72"/>
      <c r="L161" s="72"/>
      <c r="M161" s="73"/>
      <c r="N161" s="73"/>
      <c r="O161" s="72"/>
      <c r="P161" s="72"/>
      <c r="Q161" s="72"/>
      <c r="R161" s="72"/>
      <c r="S161" s="72"/>
      <c r="T161" s="72"/>
      <c r="U161" s="72"/>
      <c r="V161" s="72"/>
      <c r="W161" s="72"/>
      <c r="X161" s="72"/>
      <c r="Y161" s="72"/>
      <c r="Z161" s="72"/>
      <c r="AA161" s="72"/>
      <c r="AB161" s="72"/>
      <c r="AC161" t="s">
        <v>24</v>
      </c>
      <c r="AD161" s="78"/>
    </row>
    <row r="162" spans="1:30" ht="25">
      <c r="A162">
        <v>162</v>
      </c>
      <c r="B162" t="s">
        <v>172</v>
      </c>
      <c r="C162" s="8" t="s">
        <v>38</v>
      </c>
      <c r="D162">
        <v>1</v>
      </c>
      <c r="E162" s="12">
        <v>1</v>
      </c>
      <c r="F162">
        <v>2006</v>
      </c>
      <c r="G162">
        <v>1</v>
      </c>
      <c r="H162" s="72" t="s">
        <v>27</v>
      </c>
      <c r="I162" s="72" t="s">
        <v>39</v>
      </c>
      <c r="J162" s="72" t="s">
        <v>175</v>
      </c>
      <c r="K162" s="72">
        <v>500</v>
      </c>
      <c r="L162" s="74">
        <v>19</v>
      </c>
      <c r="M162" s="74">
        <f>(500*19)/10000</f>
        <v>0.95</v>
      </c>
      <c r="N162" s="72">
        <f>(200*6000/10000)+(200*11000/10000)</f>
        <v>340</v>
      </c>
      <c r="O162" s="74">
        <f>1/24</f>
        <v>4.1666666666666664E-2</v>
      </c>
      <c r="P162" s="74">
        <f>28/12.5*365</f>
        <v>817.6</v>
      </c>
      <c r="Q162" s="74">
        <v>1</v>
      </c>
      <c r="R162" s="74">
        <f>28*365</f>
        <v>10220</v>
      </c>
      <c r="S162" s="72">
        <v>1</v>
      </c>
      <c r="T162" s="72">
        <v>0</v>
      </c>
      <c r="U162" s="72">
        <v>0</v>
      </c>
      <c r="V162" s="72">
        <v>1</v>
      </c>
      <c r="W162" s="72">
        <v>0</v>
      </c>
      <c r="X162" s="72">
        <v>0</v>
      </c>
      <c r="Y162" s="72">
        <v>0</v>
      </c>
      <c r="Z162" s="72">
        <v>0</v>
      </c>
      <c r="AA162" s="72">
        <v>0</v>
      </c>
      <c r="AB162" s="72">
        <v>0</v>
      </c>
      <c r="AC162" t="s">
        <v>24</v>
      </c>
      <c r="AD162" s="78" t="s">
        <v>225</v>
      </c>
    </row>
    <row r="163" spans="1:30" ht="25">
      <c r="B163" t="s">
        <v>172</v>
      </c>
      <c r="C163" s="7" t="s">
        <v>218</v>
      </c>
      <c r="D163">
        <v>1</v>
      </c>
      <c r="E163" s="12">
        <v>2</v>
      </c>
      <c r="F163">
        <v>2006</v>
      </c>
      <c r="G163">
        <v>1</v>
      </c>
      <c r="H163" s="74" t="s">
        <v>27</v>
      </c>
      <c r="I163" s="74" t="s">
        <v>39</v>
      </c>
      <c r="J163" s="74" t="s">
        <v>175</v>
      </c>
      <c r="K163" s="74">
        <v>500</v>
      </c>
      <c r="L163" s="74">
        <v>45</v>
      </c>
      <c r="M163" s="74">
        <f>(500*45)/10000</f>
        <v>2.25</v>
      </c>
      <c r="N163" s="74">
        <f>16700*200/10000</f>
        <v>334</v>
      </c>
      <c r="O163" s="74">
        <f>1/24</f>
        <v>4.1666666666666664E-2</v>
      </c>
      <c r="P163" s="74">
        <v>0</v>
      </c>
      <c r="Q163" s="74">
        <f>1/24</f>
        <v>4.1666666666666664E-2</v>
      </c>
      <c r="R163" s="85">
        <f>Q163</f>
        <v>4.1666666666666664E-2</v>
      </c>
      <c r="S163" s="74">
        <v>1</v>
      </c>
      <c r="T163" s="74">
        <v>0</v>
      </c>
      <c r="U163" s="74">
        <v>0</v>
      </c>
      <c r="V163" s="74">
        <v>1</v>
      </c>
      <c r="W163" s="74">
        <v>0</v>
      </c>
      <c r="X163" s="74">
        <v>0</v>
      </c>
      <c r="Y163" s="74">
        <v>0</v>
      </c>
      <c r="Z163" s="74">
        <v>0</v>
      </c>
      <c r="AA163" s="74">
        <v>0</v>
      </c>
      <c r="AB163" s="74">
        <v>0</v>
      </c>
      <c r="AD163" s="79" t="s">
        <v>226</v>
      </c>
    </row>
    <row r="164" spans="1:30">
      <c r="A164">
        <v>158</v>
      </c>
      <c r="B164" t="s">
        <v>172</v>
      </c>
      <c r="C164" s="9" t="s">
        <v>30</v>
      </c>
      <c r="D164">
        <v>0</v>
      </c>
      <c r="E164" s="12">
        <v>99</v>
      </c>
      <c r="F164">
        <v>2008</v>
      </c>
      <c r="H164" s="72"/>
      <c r="I164" s="72"/>
      <c r="J164" s="72"/>
      <c r="K164" s="72"/>
      <c r="L164" s="72"/>
      <c r="M164" s="72"/>
      <c r="N164" s="72"/>
      <c r="O164" s="72"/>
      <c r="P164" s="72"/>
      <c r="Q164" s="72"/>
      <c r="R164" s="72"/>
      <c r="S164" s="72"/>
      <c r="T164" s="72"/>
      <c r="U164" s="72"/>
      <c r="V164" s="72"/>
      <c r="W164" s="72"/>
      <c r="X164" s="72"/>
      <c r="Y164" s="72"/>
      <c r="Z164" s="72"/>
      <c r="AA164" s="72"/>
      <c r="AB164" s="72"/>
      <c r="AC164" t="s">
        <v>24</v>
      </c>
      <c r="AD164" s="78"/>
    </row>
    <row r="165" spans="1:30">
      <c r="A165">
        <v>156</v>
      </c>
      <c r="B165" t="s">
        <v>172</v>
      </c>
      <c r="C165" s="7" t="s">
        <v>23</v>
      </c>
      <c r="D165">
        <v>0</v>
      </c>
      <c r="E165" s="12">
        <v>99</v>
      </c>
      <c r="F165">
        <v>2012</v>
      </c>
      <c r="H165" s="72"/>
      <c r="I165" s="72"/>
      <c r="J165" s="72"/>
      <c r="K165" s="72"/>
      <c r="L165" s="72"/>
      <c r="M165" s="72"/>
      <c r="N165" s="72"/>
      <c r="O165" s="72"/>
      <c r="P165" s="72"/>
      <c r="Q165" s="72"/>
      <c r="R165" s="72"/>
      <c r="S165" s="72"/>
      <c r="T165" s="72"/>
      <c r="U165" s="72"/>
      <c r="V165" s="72"/>
      <c r="W165" s="72"/>
      <c r="X165" s="72"/>
      <c r="Y165" s="72"/>
      <c r="Z165" s="72"/>
      <c r="AA165" s="72"/>
      <c r="AB165" s="72"/>
      <c r="AC165" t="s">
        <v>24</v>
      </c>
      <c r="AD165" s="78"/>
    </row>
    <row r="166" spans="1:30">
      <c r="A166">
        <v>180</v>
      </c>
      <c r="B166" t="s">
        <v>172</v>
      </c>
      <c r="C166" s="10" t="s">
        <v>72</v>
      </c>
      <c r="D166">
        <v>0</v>
      </c>
      <c r="E166" s="12">
        <v>99</v>
      </c>
      <c r="F166">
        <v>2004</v>
      </c>
      <c r="H166" s="72"/>
      <c r="I166" s="72"/>
      <c r="J166" s="72"/>
      <c r="K166" s="72"/>
      <c r="L166" s="72"/>
      <c r="M166" s="72"/>
      <c r="N166" s="72"/>
      <c r="O166" s="72"/>
      <c r="P166" s="72"/>
      <c r="Q166" s="72"/>
      <c r="R166" s="72"/>
      <c r="S166" s="72"/>
      <c r="T166" s="72"/>
      <c r="U166" s="72"/>
      <c r="V166" s="72"/>
      <c r="W166" s="72"/>
      <c r="X166" s="72"/>
      <c r="Y166" s="72"/>
      <c r="Z166" s="72"/>
      <c r="AA166" s="72"/>
      <c r="AB166" s="72"/>
      <c r="AC166" t="s">
        <v>24</v>
      </c>
      <c r="AD166" s="78"/>
    </row>
    <row r="167" spans="1:30">
      <c r="A167">
        <v>171</v>
      </c>
      <c r="B167" t="s">
        <v>172</v>
      </c>
      <c r="C167" s="11" t="s">
        <v>60</v>
      </c>
      <c r="D167">
        <v>0</v>
      </c>
      <c r="E167" s="12">
        <v>99</v>
      </c>
      <c r="F167">
        <v>2011</v>
      </c>
      <c r="H167" s="72"/>
      <c r="I167" s="72"/>
      <c r="J167" s="72"/>
      <c r="K167" s="72"/>
      <c r="L167" s="72"/>
      <c r="M167" s="72"/>
      <c r="N167" s="72"/>
      <c r="O167" s="72"/>
      <c r="P167" s="72"/>
      <c r="Q167" s="72"/>
      <c r="R167" s="72"/>
      <c r="S167" s="72"/>
      <c r="T167" s="72"/>
      <c r="U167" s="72"/>
      <c r="V167" s="72"/>
      <c r="W167" s="72"/>
      <c r="X167" s="72"/>
      <c r="Y167" s="72"/>
      <c r="Z167" s="72"/>
      <c r="AA167" s="72"/>
      <c r="AB167" s="72"/>
      <c r="AC167" t="s">
        <v>24</v>
      </c>
      <c r="AD167" s="78"/>
    </row>
    <row r="168" spans="1:30">
      <c r="A168">
        <v>167</v>
      </c>
      <c r="B168" t="s">
        <v>172</v>
      </c>
      <c r="C168" t="s">
        <v>52</v>
      </c>
      <c r="D168">
        <v>0</v>
      </c>
      <c r="E168" s="12">
        <v>99</v>
      </c>
      <c r="F168">
        <v>2007</v>
      </c>
      <c r="H168" s="72"/>
      <c r="I168" s="72"/>
      <c r="J168" s="72"/>
      <c r="K168" s="72"/>
      <c r="L168" s="72"/>
      <c r="M168" s="72"/>
      <c r="N168" s="72"/>
      <c r="O168" s="72"/>
      <c r="P168" s="72"/>
      <c r="Q168" s="72"/>
      <c r="R168" s="72"/>
      <c r="S168" s="72"/>
      <c r="T168" s="72"/>
      <c r="U168" s="72"/>
      <c r="V168" s="72"/>
      <c r="W168" s="72"/>
      <c r="X168" s="72"/>
      <c r="Y168" s="72"/>
      <c r="Z168" s="72"/>
      <c r="AA168" s="72"/>
      <c r="AB168" s="72"/>
      <c r="AC168" t="s">
        <v>24</v>
      </c>
      <c r="AD168" s="78"/>
    </row>
    <row r="169" spans="1:30">
      <c r="A169">
        <v>163</v>
      </c>
      <c r="B169" t="s">
        <v>172</v>
      </c>
      <c r="C169" s="11" t="s">
        <v>41</v>
      </c>
      <c r="D169">
        <v>0</v>
      </c>
      <c r="E169" s="12">
        <v>99</v>
      </c>
      <c r="F169">
        <v>2004</v>
      </c>
      <c r="H169" s="72"/>
      <c r="I169" s="72"/>
      <c r="J169" s="72"/>
      <c r="K169" s="72"/>
      <c r="L169" s="72"/>
      <c r="M169" s="72"/>
      <c r="N169" s="72"/>
      <c r="O169" s="72"/>
      <c r="P169" s="72"/>
      <c r="Q169" s="72"/>
      <c r="R169" s="72"/>
      <c r="S169" s="72"/>
      <c r="T169" s="72"/>
      <c r="U169" s="72"/>
      <c r="V169" s="72"/>
      <c r="W169" s="72"/>
      <c r="X169" s="72"/>
      <c r="Y169" s="72"/>
      <c r="Z169" s="72"/>
      <c r="AA169" s="72"/>
      <c r="AB169" s="72"/>
      <c r="AC169" t="s">
        <v>24</v>
      </c>
      <c r="AD169" s="78"/>
    </row>
    <row r="170" spans="1:30">
      <c r="A170">
        <v>164</v>
      </c>
      <c r="B170" t="s">
        <v>172</v>
      </c>
      <c r="C170" t="s">
        <v>42</v>
      </c>
      <c r="D170">
        <v>0</v>
      </c>
      <c r="E170" s="12">
        <v>99</v>
      </c>
      <c r="F170">
        <v>2007</v>
      </c>
      <c r="H170" s="72"/>
      <c r="I170" s="72"/>
      <c r="J170" s="72"/>
      <c r="K170" s="72"/>
      <c r="L170" s="72"/>
      <c r="M170" s="72"/>
      <c r="N170" s="72"/>
      <c r="O170" s="72"/>
      <c r="P170" s="72"/>
      <c r="Q170" s="72"/>
      <c r="R170" s="72"/>
      <c r="S170" s="72"/>
      <c r="T170" s="72"/>
      <c r="U170" s="72"/>
      <c r="V170" s="72"/>
      <c r="W170" s="72"/>
      <c r="X170" s="72"/>
      <c r="Y170" s="72"/>
      <c r="Z170" s="72"/>
      <c r="AA170" s="72"/>
      <c r="AB170" s="72"/>
      <c r="AC170" t="s">
        <v>24</v>
      </c>
      <c r="AD170" s="78"/>
    </row>
    <row r="171" spans="1:30" ht="25">
      <c r="A171">
        <v>159</v>
      </c>
      <c r="B171" t="s">
        <v>172</v>
      </c>
      <c r="C171" s="11" t="s">
        <v>31</v>
      </c>
      <c r="D171">
        <v>1</v>
      </c>
      <c r="E171" s="12">
        <v>1</v>
      </c>
      <c r="F171">
        <v>2013</v>
      </c>
      <c r="G171">
        <v>2</v>
      </c>
      <c r="H171" s="72" t="s">
        <v>32</v>
      </c>
      <c r="I171" s="72" t="s">
        <v>33</v>
      </c>
      <c r="J171" s="72" t="s">
        <v>173</v>
      </c>
      <c r="K171" s="72">
        <f>PI()*0.05^2</f>
        <v>7.8539816339744835E-3</v>
      </c>
      <c r="L171" s="72">
        <v>156</v>
      </c>
      <c r="M171" s="75">
        <f>K171*L171/10000</f>
        <v>1.2252211349000195E-4</v>
      </c>
      <c r="N171" s="77">
        <v>790000000</v>
      </c>
      <c r="O171" s="72"/>
      <c r="P171" s="72">
        <f>50*365</f>
        <v>18250</v>
      </c>
      <c r="Q171" s="72">
        <f>9000*365</f>
        <v>3285000</v>
      </c>
      <c r="R171" s="80">
        <f>9000*365</f>
        <v>3285000</v>
      </c>
      <c r="S171" s="72">
        <v>0</v>
      </c>
      <c r="T171" s="72">
        <v>0</v>
      </c>
      <c r="U171" s="72">
        <v>0</v>
      </c>
      <c r="V171" s="72">
        <v>0</v>
      </c>
      <c r="W171" s="72">
        <v>0</v>
      </c>
      <c r="X171" s="72">
        <v>0</v>
      </c>
      <c r="Y171" s="72">
        <v>1</v>
      </c>
      <c r="Z171" s="72">
        <v>0</v>
      </c>
      <c r="AA171" s="72">
        <v>0</v>
      </c>
      <c r="AB171" s="72">
        <v>0</v>
      </c>
      <c r="AC171" t="s">
        <v>24</v>
      </c>
      <c r="AD171" s="78" t="s">
        <v>227</v>
      </c>
    </row>
    <row r="172" spans="1:30">
      <c r="A172">
        <v>168</v>
      </c>
      <c r="B172" t="s">
        <v>172</v>
      </c>
      <c r="C172" t="s">
        <v>53</v>
      </c>
      <c r="D172">
        <v>0</v>
      </c>
      <c r="E172" s="12">
        <v>99</v>
      </c>
      <c r="F172">
        <v>2008</v>
      </c>
      <c r="H172" s="72"/>
      <c r="I172" s="72"/>
      <c r="J172" s="72"/>
      <c r="K172" s="72"/>
      <c r="L172" s="72"/>
      <c r="M172" s="72"/>
      <c r="N172" s="72"/>
      <c r="O172" s="72"/>
      <c r="P172" s="72"/>
      <c r="Q172" s="72"/>
      <c r="R172" s="81"/>
      <c r="S172" s="72"/>
      <c r="T172" s="72"/>
      <c r="U172" s="72"/>
      <c r="V172" s="72"/>
      <c r="W172" s="72"/>
      <c r="X172" s="72"/>
      <c r="Y172" s="72"/>
      <c r="Z172" s="72"/>
      <c r="AA172" s="72"/>
      <c r="AB172" s="72"/>
      <c r="AC172" t="s">
        <v>24</v>
      </c>
      <c r="AD172" s="78"/>
    </row>
    <row r="173" spans="1:30">
      <c r="A173">
        <v>172</v>
      </c>
      <c r="B173" t="s">
        <v>172</v>
      </c>
      <c r="C173" t="s">
        <v>61</v>
      </c>
      <c r="D173">
        <v>1</v>
      </c>
      <c r="E173" s="12">
        <v>3</v>
      </c>
      <c r="F173">
        <v>2009</v>
      </c>
      <c r="G173">
        <v>1</v>
      </c>
      <c r="H173" s="72" t="s">
        <v>27</v>
      </c>
      <c r="I173" s="72" t="s">
        <v>178</v>
      </c>
      <c r="J173" s="72" t="s">
        <v>179</v>
      </c>
      <c r="K173" s="72">
        <f>PI()*100*100</f>
        <v>31415.926535897932</v>
      </c>
      <c r="L173" s="72">
        <v>104</v>
      </c>
      <c r="M173" s="72">
        <f>L173*K173/10000</f>
        <v>326.72563597333851</v>
      </c>
      <c r="N173" s="72">
        <f>1900000*104/108</f>
        <v>1829629.6296296297</v>
      </c>
      <c r="O173" s="84">
        <f>Q173/2</f>
        <v>6.9444444444444441E-3</v>
      </c>
      <c r="P173" s="84">
        <v>14</v>
      </c>
      <c r="Q173" s="84">
        <f>20/60/24</f>
        <v>1.3888888888888888E-2</v>
      </c>
      <c r="R173" s="85">
        <v>14</v>
      </c>
      <c r="S173" s="72">
        <v>1</v>
      </c>
      <c r="T173" s="72">
        <v>1</v>
      </c>
      <c r="U173" s="72">
        <v>1</v>
      </c>
      <c r="V173" s="72">
        <v>1</v>
      </c>
      <c r="W173" s="72">
        <v>0</v>
      </c>
      <c r="X173" s="72">
        <v>0</v>
      </c>
      <c r="Y173" s="72">
        <v>0</v>
      </c>
      <c r="Z173" s="72">
        <v>0</v>
      </c>
      <c r="AA173" s="72">
        <v>0</v>
      </c>
      <c r="AB173" s="72">
        <v>1</v>
      </c>
      <c r="AC173" t="s">
        <v>24</v>
      </c>
      <c r="AD173" s="78" t="s">
        <v>228</v>
      </c>
    </row>
    <row r="174" spans="1:30">
      <c r="A174">
        <v>173</v>
      </c>
      <c r="B174" t="s">
        <v>172</v>
      </c>
      <c r="C174" t="s">
        <v>61</v>
      </c>
      <c r="D174">
        <v>1</v>
      </c>
      <c r="E174" s="12">
        <v>6</v>
      </c>
      <c r="F174">
        <v>2009</v>
      </c>
      <c r="G174">
        <v>1</v>
      </c>
      <c r="H174" s="72" t="s">
        <v>27</v>
      </c>
      <c r="I174" s="72" t="s">
        <v>178</v>
      </c>
      <c r="J174" s="72" t="s">
        <v>180</v>
      </c>
      <c r="K174" s="76">
        <v>1</v>
      </c>
      <c r="L174" s="72">
        <f>4*3*104</f>
        <v>1248</v>
      </c>
      <c r="M174" s="72">
        <f>1248/10000</f>
        <v>0.12479999999999999</v>
      </c>
      <c r="N174" s="72">
        <v>1900000</v>
      </c>
      <c r="O174" s="84">
        <f t="shared" ref="O174:O175" si="1">5/60/24</f>
        <v>3.472222222222222E-3</v>
      </c>
      <c r="P174" s="84">
        <v>0</v>
      </c>
      <c r="Q174" s="84">
        <f t="shared" ref="Q174:Q176" si="2">O174</f>
        <v>3.472222222222222E-3</v>
      </c>
      <c r="R174" s="85">
        <f t="shared" ref="R174:R176" si="3">O174</f>
        <v>3.472222222222222E-3</v>
      </c>
      <c r="S174" s="72">
        <v>1</v>
      </c>
      <c r="T174" s="72">
        <v>0</v>
      </c>
      <c r="U174" s="72">
        <v>0</v>
      </c>
      <c r="V174" s="72">
        <v>1</v>
      </c>
      <c r="W174" s="72">
        <v>0</v>
      </c>
      <c r="X174" s="72">
        <v>0</v>
      </c>
      <c r="Y174" s="72">
        <v>0</v>
      </c>
      <c r="Z174" s="72">
        <v>0</v>
      </c>
      <c r="AA174" s="72">
        <v>0</v>
      </c>
      <c r="AB174" s="72">
        <v>0</v>
      </c>
      <c r="AC174" t="s">
        <v>24</v>
      </c>
      <c r="AD174" s="78"/>
    </row>
    <row r="175" spans="1:30">
      <c r="A175">
        <v>174</v>
      </c>
      <c r="B175" t="s">
        <v>172</v>
      </c>
      <c r="C175" t="s">
        <v>61</v>
      </c>
      <c r="D175">
        <v>1</v>
      </c>
      <c r="E175" s="12">
        <v>5</v>
      </c>
      <c r="F175">
        <v>2009</v>
      </c>
      <c r="G175">
        <v>1</v>
      </c>
      <c r="H175" s="72" t="s">
        <v>27</v>
      </c>
      <c r="I175" s="72" t="s">
        <v>178</v>
      </c>
      <c r="J175" s="72" t="s">
        <v>181</v>
      </c>
      <c r="K175" s="76">
        <f>2*20</f>
        <v>40</v>
      </c>
      <c r="L175" s="72">
        <f>104*3*2</f>
        <v>624</v>
      </c>
      <c r="M175" s="72">
        <f>2*20*2*3*104/10000</f>
        <v>2.496</v>
      </c>
      <c r="N175" s="72">
        <v>1900000</v>
      </c>
      <c r="O175" s="84">
        <f t="shared" si="1"/>
        <v>3.472222222222222E-3</v>
      </c>
      <c r="P175" s="84">
        <v>0</v>
      </c>
      <c r="Q175" s="84">
        <f t="shared" si="2"/>
        <v>3.472222222222222E-3</v>
      </c>
      <c r="R175" s="85">
        <f t="shared" si="3"/>
        <v>3.472222222222222E-3</v>
      </c>
      <c r="S175" s="72">
        <v>1</v>
      </c>
      <c r="T175" s="72">
        <v>0</v>
      </c>
      <c r="U175" s="72">
        <v>0</v>
      </c>
      <c r="V175" s="72">
        <v>0</v>
      </c>
      <c r="W175" s="72">
        <v>0</v>
      </c>
      <c r="X175" s="72">
        <v>0</v>
      </c>
      <c r="Y175" s="72">
        <v>0</v>
      </c>
      <c r="Z175" s="72">
        <v>0</v>
      </c>
      <c r="AA175" s="72">
        <v>0</v>
      </c>
      <c r="AB175" s="72">
        <v>0</v>
      </c>
      <c r="AC175" t="s">
        <v>24</v>
      </c>
      <c r="AD175" s="78" t="s">
        <v>182</v>
      </c>
    </row>
    <row r="176" spans="1:30" ht="25">
      <c r="A176">
        <v>175</v>
      </c>
      <c r="B176" t="s">
        <v>172</v>
      </c>
      <c r="C176" t="s">
        <v>61</v>
      </c>
      <c r="D176">
        <v>1</v>
      </c>
      <c r="E176" s="12">
        <v>4</v>
      </c>
      <c r="F176">
        <v>2009</v>
      </c>
      <c r="G176">
        <v>1</v>
      </c>
      <c r="H176" s="72" t="s">
        <v>27</v>
      </c>
      <c r="I176" s="72" t="s">
        <v>178</v>
      </c>
      <c r="J176" s="72" t="s">
        <v>183</v>
      </c>
      <c r="K176" s="72">
        <v>400</v>
      </c>
      <c r="L176" s="72">
        <v>312</v>
      </c>
      <c r="M176" s="72">
        <f>L176*K176/10000</f>
        <v>12.48</v>
      </c>
      <c r="N176" s="72">
        <v>1900000</v>
      </c>
      <c r="O176" s="84">
        <f>6/24</f>
        <v>0.25</v>
      </c>
      <c r="P176" s="84">
        <v>0</v>
      </c>
      <c r="Q176" s="84">
        <f t="shared" si="2"/>
        <v>0.25</v>
      </c>
      <c r="R176" s="85">
        <f t="shared" si="3"/>
        <v>0.25</v>
      </c>
      <c r="S176" s="72">
        <v>1</v>
      </c>
      <c r="T176" s="72">
        <v>1</v>
      </c>
      <c r="U176" s="72">
        <v>1</v>
      </c>
      <c r="V176" s="72">
        <v>1</v>
      </c>
      <c r="W176" s="72">
        <v>1</v>
      </c>
      <c r="X176" s="72">
        <v>0</v>
      </c>
      <c r="Y176" s="72">
        <v>1</v>
      </c>
      <c r="Z176" s="72">
        <v>0</v>
      </c>
      <c r="AA176" s="72">
        <v>0</v>
      </c>
      <c r="AB176" s="72">
        <v>1</v>
      </c>
      <c r="AC176" t="s">
        <v>24</v>
      </c>
      <c r="AD176" s="78" t="s">
        <v>184</v>
      </c>
    </row>
    <row r="177" spans="1:30">
      <c r="A177">
        <v>176</v>
      </c>
      <c r="B177" t="s">
        <v>172</v>
      </c>
      <c r="C177" t="s">
        <v>61</v>
      </c>
      <c r="D177">
        <v>1</v>
      </c>
      <c r="E177" s="12">
        <v>2</v>
      </c>
      <c r="F177">
        <v>2009</v>
      </c>
      <c r="G177">
        <v>1</v>
      </c>
      <c r="H177" s="72" t="s">
        <v>27</v>
      </c>
      <c r="I177" s="72" t="s">
        <v>178</v>
      </c>
      <c r="J177" s="72" t="s">
        <v>185</v>
      </c>
      <c r="K177" s="72">
        <v>98</v>
      </c>
      <c r="L177" s="72">
        <v>87</v>
      </c>
      <c r="M177" s="72">
        <f>L177*K177/10000</f>
        <v>0.85260000000000002</v>
      </c>
      <c r="N177" s="72">
        <f>1900000*87/108</f>
        <v>1530555.5555555555</v>
      </c>
      <c r="O177" s="84">
        <v>3</v>
      </c>
      <c r="P177" s="84">
        <v>0</v>
      </c>
      <c r="Q177" s="84">
        <v>3</v>
      </c>
      <c r="R177" s="85">
        <v>3</v>
      </c>
      <c r="S177" s="72">
        <v>1</v>
      </c>
      <c r="T177" s="72">
        <v>1</v>
      </c>
      <c r="U177" s="72">
        <v>1</v>
      </c>
      <c r="V177" s="72">
        <v>1</v>
      </c>
      <c r="W177" s="72">
        <v>0</v>
      </c>
      <c r="X177" s="72">
        <v>0</v>
      </c>
      <c r="Y177" s="72">
        <v>0</v>
      </c>
      <c r="Z177" s="72">
        <v>0</v>
      </c>
      <c r="AA177" s="72">
        <v>0</v>
      </c>
      <c r="AB177" s="72">
        <v>1</v>
      </c>
      <c r="AC177" t="s">
        <v>24</v>
      </c>
      <c r="AD177" s="78" t="s">
        <v>228</v>
      </c>
    </row>
    <row r="178" spans="1:30">
      <c r="A178">
        <v>177</v>
      </c>
      <c r="B178" t="s">
        <v>172</v>
      </c>
      <c r="C178" t="s">
        <v>61</v>
      </c>
      <c r="D178">
        <v>1</v>
      </c>
      <c r="E178" s="12">
        <v>1</v>
      </c>
      <c r="F178">
        <v>2009</v>
      </c>
      <c r="G178">
        <v>1</v>
      </c>
      <c r="H178" s="72" t="s">
        <v>27</v>
      </c>
      <c r="I178" s="72" t="s">
        <v>178</v>
      </c>
      <c r="J178" s="72" t="s">
        <v>186</v>
      </c>
      <c r="K178" s="72">
        <f>3.14159*100*100</f>
        <v>31415.899999999998</v>
      </c>
      <c r="L178" s="72">
        <v>87</v>
      </c>
      <c r="M178" s="72">
        <f>L178*K178/10000</f>
        <v>273.31833</v>
      </c>
      <c r="N178" s="72">
        <f>1900000*87/108</f>
        <v>1530555.5555555555</v>
      </c>
      <c r="O178" s="84">
        <v>3</v>
      </c>
      <c r="P178" s="84">
        <v>0</v>
      </c>
      <c r="Q178" s="84">
        <v>3</v>
      </c>
      <c r="R178" s="85">
        <v>3</v>
      </c>
      <c r="S178" s="72">
        <v>1</v>
      </c>
      <c r="T178" s="72">
        <v>1</v>
      </c>
      <c r="U178" s="72">
        <v>1</v>
      </c>
      <c r="V178" s="72">
        <v>1</v>
      </c>
      <c r="W178" s="72">
        <v>0</v>
      </c>
      <c r="X178" s="72">
        <v>0</v>
      </c>
      <c r="Y178" s="72">
        <v>0</v>
      </c>
      <c r="Z178" s="72">
        <v>0</v>
      </c>
      <c r="AA178" s="72">
        <v>0</v>
      </c>
      <c r="AB178" s="72">
        <v>1</v>
      </c>
      <c r="AC178" t="s">
        <v>24</v>
      </c>
      <c r="AD178" s="78" t="s">
        <v>228</v>
      </c>
    </row>
    <row r="179" spans="1:30">
      <c r="A179">
        <v>169</v>
      </c>
      <c r="B179" t="s">
        <v>172</v>
      </c>
      <c r="C179" s="11" t="s">
        <v>54</v>
      </c>
      <c r="D179">
        <v>0</v>
      </c>
      <c r="E179" s="12">
        <v>99</v>
      </c>
      <c r="F179">
        <v>2012</v>
      </c>
      <c r="H179" s="72"/>
      <c r="I179" s="72"/>
      <c r="J179" s="72"/>
      <c r="K179" s="72"/>
      <c r="L179" s="72"/>
      <c r="M179" s="72"/>
      <c r="N179" s="72"/>
      <c r="O179" s="72"/>
      <c r="P179" s="72"/>
      <c r="Q179" s="72"/>
      <c r="R179" s="72"/>
      <c r="S179" s="72"/>
      <c r="T179" s="72"/>
      <c r="U179" s="72"/>
      <c r="V179" s="72"/>
      <c r="W179" s="72"/>
      <c r="X179" s="72"/>
      <c r="Y179" s="72"/>
      <c r="Z179" s="72"/>
      <c r="AA179" s="72"/>
      <c r="AB179" s="72"/>
      <c r="AC179" t="s">
        <v>24</v>
      </c>
      <c r="AD179" s="78"/>
    </row>
    <row r="180" spans="1:30">
      <c r="A180">
        <v>182</v>
      </c>
      <c r="B180" t="s">
        <v>172</v>
      </c>
      <c r="C180" t="s">
        <v>77</v>
      </c>
      <c r="D180">
        <v>0</v>
      </c>
      <c r="E180" s="12">
        <v>99</v>
      </c>
      <c r="F180">
        <v>2013</v>
      </c>
      <c r="H180" s="72"/>
      <c r="I180" s="72"/>
      <c r="J180" s="72"/>
      <c r="K180" s="72"/>
      <c r="L180" s="72"/>
      <c r="M180" s="72"/>
      <c r="N180" s="72"/>
      <c r="O180" s="72"/>
      <c r="P180" s="72"/>
      <c r="Q180" s="72"/>
      <c r="R180" s="72"/>
      <c r="S180" s="72"/>
      <c r="T180" s="72"/>
      <c r="U180" s="72"/>
      <c r="V180" s="72"/>
      <c r="W180" s="72"/>
      <c r="X180" s="72"/>
      <c r="Y180" s="72"/>
      <c r="Z180" s="72"/>
      <c r="AA180" s="72"/>
      <c r="AB180" s="72"/>
      <c r="AC180" t="s">
        <v>24</v>
      </c>
      <c r="AD180" s="78"/>
    </row>
    <row r="181" spans="1:30">
      <c r="A181">
        <v>170</v>
      </c>
      <c r="B181" t="s">
        <v>172</v>
      </c>
      <c r="C181" s="11" t="s">
        <v>55</v>
      </c>
      <c r="D181">
        <v>0</v>
      </c>
      <c r="E181" s="12">
        <v>99</v>
      </c>
      <c r="F181">
        <v>2007</v>
      </c>
      <c r="H181" s="72"/>
      <c r="I181" s="72"/>
      <c r="J181" s="72"/>
      <c r="K181" s="72"/>
      <c r="L181" s="72"/>
      <c r="M181" s="72"/>
      <c r="N181" s="72"/>
      <c r="O181" s="72"/>
      <c r="P181" s="72"/>
      <c r="Q181" s="72"/>
      <c r="R181" s="72"/>
      <c r="S181" s="72"/>
      <c r="T181" s="72"/>
      <c r="U181" s="72"/>
      <c r="V181" s="72"/>
      <c r="W181" s="72"/>
      <c r="X181" s="72"/>
      <c r="Y181" s="72"/>
      <c r="Z181" s="72"/>
      <c r="AA181" s="72"/>
      <c r="AB181" s="72"/>
      <c r="AC181" t="s">
        <v>24</v>
      </c>
      <c r="AD181" s="78"/>
    </row>
    <row r="182" spans="1:30">
      <c r="A182">
        <v>165</v>
      </c>
      <c r="B182" t="s">
        <v>172</v>
      </c>
      <c r="C182" t="s">
        <v>43</v>
      </c>
      <c r="D182">
        <v>1</v>
      </c>
      <c r="E182" s="12">
        <v>1</v>
      </c>
      <c r="F182">
        <v>2013</v>
      </c>
      <c r="G182">
        <v>1</v>
      </c>
      <c r="H182" s="72" t="s">
        <v>27</v>
      </c>
      <c r="I182" s="72" t="s">
        <v>176</v>
      </c>
      <c r="J182" s="72" t="s">
        <v>219</v>
      </c>
      <c r="K182" s="72">
        <f>0.04*10000</f>
        <v>400</v>
      </c>
      <c r="L182" s="74">
        <v>10</v>
      </c>
      <c r="M182" s="74">
        <f>4000/10000</f>
        <v>0.4</v>
      </c>
      <c r="N182" s="72">
        <v>80</v>
      </c>
      <c r="O182" s="72">
        <v>1</v>
      </c>
      <c r="P182" s="72">
        <f>20*365</f>
        <v>7300</v>
      </c>
      <c r="Q182" s="72">
        <v>2</v>
      </c>
      <c r="R182" s="72">
        <v>7300</v>
      </c>
      <c r="S182" s="72">
        <v>1</v>
      </c>
      <c r="T182" s="72">
        <v>1</v>
      </c>
      <c r="U182" s="72">
        <v>1</v>
      </c>
      <c r="V182" s="72">
        <v>1</v>
      </c>
      <c r="W182" s="72">
        <v>1</v>
      </c>
      <c r="X182" s="72">
        <v>0</v>
      </c>
      <c r="Y182" s="72">
        <v>1</v>
      </c>
      <c r="Z182" s="72">
        <v>1</v>
      </c>
      <c r="AA182" s="72">
        <v>0</v>
      </c>
      <c r="AB182" s="72">
        <v>1</v>
      </c>
      <c r="AC182" t="s">
        <v>24</v>
      </c>
      <c r="AD182" s="78" t="s">
        <v>229</v>
      </c>
    </row>
    <row r="183" spans="1:30">
      <c r="A183">
        <v>166</v>
      </c>
      <c r="B183" t="s">
        <v>172</v>
      </c>
      <c r="C183" t="s">
        <v>43</v>
      </c>
      <c r="D183">
        <v>1</v>
      </c>
      <c r="E183" s="12">
        <v>2</v>
      </c>
      <c r="F183">
        <v>2013</v>
      </c>
      <c r="G183">
        <v>1</v>
      </c>
      <c r="H183" s="72" t="s">
        <v>27</v>
      </c>
      <c r="I183" s="72" t="s">
        <v>176</v>
      </c>
      <c r="J183" s="74" t="s">
        <v>220</v>
      </c>
      <c r="K183" s="74">
        <v>0.23</v>
      </c>
      <c r="L183" s="74">
        <v>50</v>
      </c>
      <c r="M183" s="74">
        <f>0.23*50/10000</f>
        <v>1.15E-3</v>
      </c>
      <c r="N183" s="74">
        <v>80</v>
      </c>
      <c r="O183" s="74">
        <v>365</v>
      </c>
      <c r="P183" s="74">
        <v>0</v>
      </c>
      <c r="Q183" s="74">
        <v>365</v>
      </c>
      <c r="R183" s="74">
        <v>365</v>
      </c>
      <c r="S183" s="74">
        <v>1</v>
      </c>
      <c r="T183" s="74">
        <v>1</v>
      </c>
      <c r="U183" s="74">
        <v>1</v>
      </c>
      <c r="V183" s="74">
        <v>1</v>
      </c>
      <c r="W183" s="74">
        <v>1</v>
      </c>
      <c r="X183" s="74">
        <v>0</v>
      </c>
      <c r="Y183" s="74">
        <v>1</v>
      </c>
      <c r="Z183" s="74">
        <v>1</v>
      </c>
      <c r="AA183" s="74">
        <v>0</v>
      </c>
      <c r="AB183" s="74">
        <v>1</v>
      </c>
      <c r="AC183" t="s">
        <v>24</v>
      </c>
      <c r="AD183" s="79" t="s">
        <v>230</v>
      </c>
    </row>
    <row r="184" spans="1:30">
      <c r="B184" t="s">
        <v>172</v>
      </c>
      <c r="C184" t="s">
        <v>43</v>
      </c>
      <c r="D184">
        <v>1</v>
      </c>
      <c r="E184" s="12">
        <v>3</v>
      </c>
      <c r="F184">
        <v>2013</v>
      </c>
      <c r="G184">
        <v>1</v>
      </c>
      <c r="H184" s="74" t="s">
        <v>27</v>
      </c>
      <c r="I184" s="74" t="s">
        <v>176</v>
      </c>
      <c r="J184" s="74" t="s">
        <v>221</v>
      </c>
      <c r="K184" s="74">
        <f>0.15*0.15</f>
        <v>2.2499999999999999E-2</v>
      </c>
      <c r="L184" s="74">
        <v>50</v>
      </c>
      <c r="M184" s="74">
        <f>50*0.0225/10000</f>
        <v>1.125E-4</v>
      </c>
      <c r="N184" s="74">
        <v>80</v>
      </c>
      <c r="O184" s="74">
        <f>10/60/24</f>
        <v>6.9444444444444441E-3</v>
      </c>
      <c r="P184" s="74">
        <v>0</v>
      </c>
      <c r="Q184" s="74">
        <f>10/60/24</f>
        <v>6.9444444444444441E-3</v>
      </c>
      <c r="R184" s="74">
        <f>10/60/24</f>
        <v>6.9444444444444441E-3</v>
      </c>
      <c r="S184" s="74">
        <v>1</v>
      </c>
      <c r="T184" s="74">
        <v>0</v>
      </c>
      <c r="U184" s="74">
        <v>0</v>
      </c>
      <c r="V184" s="74">
        <v>1</v>
      </c>
      <c r="W184" s="74">
        <v>0</v>
      </c>
      <c r="X184" s="74">
        <v>0</v>
      </c>
      <c r="Y184" s="74">
        <v>1</v>
      </c>
      <c r="Z184" s="74">
        <v>0</v>
      </c>
      <c r="AA184" s="74">
        <v>0</v>
      </c>
      <c r="AB184" s="74">
        <v>1</v>
      </c>
      <c r="AD184" s="79" t="s">
        <v>231</v>
      </c>
    </row>
    <row r="185" spans="1:30">
      <c r="B185" t="s">
        <v>172</v>
      </c>
      <c r="C185" t="s">
        <v>43</v>
      </c>
      <c r="D185">
        <v>1</v>
      </c>
      <c r="E185" s="12">
        <v>4</v>
      </c>
      <c r="F185">
        <v>2013</v>
      </c>
      <c r="G185">
        <v>1</v>
      </c>
      <c r="H185" s="74" t="s">
        <v>27</v>
      </c>
      <c r="I185" s="74" t="s">
        <v>176</v>
      </c>
      <c r="J185" s="74" t="s">
        <v>222</v>
      </c>
      <c r="K185" s="74">
        <f>PI()*(0.095/2)^2</f>
        <v>7.0882184246619708E-3</v>
      </c>
      <c r="L185" s="74">
        <v>50</v>
      </c>
      <c r="M185" s="74">
        <f>K185*L185/10000</f>
        <v>3.544109212330985E-5</v>
      </c>
      <c r="N185" s="74">
        <v>80</v>
      </c>
      <c r="O185" s="74">
        <f>10/60/24</f>
        <v>6.9444444444444441E-3</v>
      </c>
      <c r="P185" s="74">
        <v>0</v>
      </c>
      <c r="Q185" s="74">
        <f>10/60/24</f>
        <v>6.9444444444444441E-3</v>
      </c>
      <c r="R185" s="74">
        <f>10/60/24</f>
        <v>6.9444444444444441E-3</v>
      </c>
      <c r="S185" s="74">
        <v>0</v>
      </c>
      <c r="T185" s="74">
        <v>0</v>
      </c>
      <c r="U185" s="74">
        <v>0</v>
      </c>
      <c r="V185" s="74">
        <v>1</v>
      </c>
      <c r="W185" s="74">
        <v>1</v>
      </c>
      <c r="X185" s="74">
        <v>0</v>
      </c>
      <c r="Y185" s="74">
        <v>1</v>
      </c>
      <c r="Z185" s="74">
        <v>0</v>
      </c>
      <c r="AA185" s="74">
        <v>0</v>
      </c>
      <c r="AB185" s="74">
        <v>0</v>
      </c>
      <c r="AD185" s="79" t="s">
        <v>177</v>
      </c>
    </row>
  </sheetData>
  <sortState ref="A2:AC181">
    <sortCondition ref="B2:B181"/>
    <sortCondition ref="C2:C181"/>
  </sortState>
  <hyperlinks>
    <hyperlink ref="AD48" r:id="rId1"/>
  </hyperlinks>
  <pageMargins left="0.75" right="0.75" top="1" bottom="1" header="0.5" footer="0.5"/>
  <pageSetup orientation="portrait" horizontalDpi="4294967292" verticalDpi="4294967292"/>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merged_calibrationf.csv</vt:lpstr>
    </vt:vector>
  </TitlesOfParts>
  <Company>Princeton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Lyndon Estes</dc:creator>
  <cp:lastModifiedBy>Lyndon Estes</cp:lastModifiedBy>
  <dcterms:created xsi:type="dcterms:W3CDTF">2016-03-04T21:05:33Z</dcterms:created>
  <dcterms:modified xsi:type="dcterms:W3CDTF">2017-05-17T17:03:20Z</dcterms:modified>
</cp:coreProperties>
</file>