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2260" yWindow="180" windowWidth="25040" windowHeight="15480" tabRatio="500" activeTab="1"/>
  </bookViews>
  <sheets>
    <sheet name="data" sheetId="1" r:id="rId1"/>
    <sheet name="notes"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P351" i="1" l="1"/>
  <c r="O351" i="1"/>
  <c r="I351" i="1"/>
  <c r="L351" i="1"/>
  <c r="M350" i="1"/>
  <c r="P350" i="1"/>
  <c r="O350" i="1"/>
  <c r="I350" i="1"/>
  <c r="J350" i="1"/>
  <c r="L350" i="1"/>
  <c r="P349" i="1"/>
  <c r="M349" i="1"/>
  <c r="O349" i="1"/>
  <c r="N349" i="1"/>
  <c r="I349" i="1"/>
  <c r="L349" i="1"/>
  <c r="O348" i="1"/>
  <c r="I348" i="1"/>
  <c r="J348" i="1"/>
  <c r="L348" i="1"/>
  <c r="P347" i="1"/>
  <c r="M347" i="1"/>
  <c r="O347" i="1"/>
  <c r="N347" i="1"/>
  <c r="I347" i="1"/>
  <c r="L347" i="1"/>
  <c r="K347" i="1"/>
  <c r="P346" i="1"/>
  <c r="O346" i="1"/>
  <c r="M346" i="1"/>
  <c r="I346" i="1"/>
  <c r="L346" i="1"/>
  <c r="K346" i="1"/>
  <c r="P345" i="1"/>
  <c r="M345" i="1"/>
  <c r="O345" i="1"/>
  <c r="I345" i="1"/>
  <c r="J345" i="1"/>
  <c r="L345" i="1"/>
  <c r="K345" i="1"/>
  <c r="P344" i="1"/>
  <c r="M344" i="1"/>
  <c r="O344" i="1"/>
  <c r="N344" i="1"/>
  <c r="I344" i="1"/>
  <c r="J344" i="1"/>
  <c r="L344" i="1"/>
  <c r="P343" i="1"/>
  <c r="M343" i="1"/>
  <c r="O343" i="1"/>
  <c r="I343" i="1"/>
  <c r="J343" i="1"/>
  <c r="L343" i="1"/>
  <c r="K343" i="1"/>
  <c r="P342" i="1"/>
  <c r="M342" i="1"/>
  <c r="O342" i="1"/>
  <c r="I342" i="1"/>
  <c r="J342" i="1"/>
  <c r="L342" i="1"/>
  <c r="P341" i="1"/>
  <c r="M341" i="1"/>
  <c r="O341" i="1"/>
  <c r="I341" i="1"/>
  <c r="J341" i="1"/>
  <c r="L341" i="1"/>
  <c r="K341" i="1"/>
  <c r="P340" i="1"/>
  <c r="M340" i="1"/>
  <c r="O340" i="1"/>
  <c r="I340" i="1"/>
  <c r="J340" i="1"/>
  <c r="L340" i="1"/>
  <c r="K340" i="1"/>
  <c r="P339" i="1"/>
  <c r="O339" i="1"/>
  <c r="I339" i="1"/>
  <c r="J339" i="1"/>
  <c r="L339" i="1"/>
  <c r="K339" i="1"/>
  <c r="O338" i="1"/>
  <c r="P338" i="1"/>
  <c r="M338" i="1"/>
  <c r="I338" i="1"/>
  <c r="L338" i="1"/>
  <c r="K338" i="1"/>
  <c r="P337" i="1"/>
  <c r="O337" i="1"/>
  <c r="M337" i="1"/>
  <c r="I337" i="1"/>
  <c r="L337" i="1"/>
  <c r="K337" i="1"/>
  <c r="P336" i="1"/>
  <c r="M336" i="1"/>
  <c r="O336" i="1"/>
  <c r="I336" i="1"/>
  <c r="J336" i="1"/>
  <c r="L336" i="1"/>
  <c r="K336" i="1"/>
  <c r="P335" i="1"/>
  <c r="M335" i="1"/>
  <c r="O335" i="1"/>
  <c r="I335" i="1"/>
  <c r="L335" i="1"/>
  <c r="K335" i="1"/>
  <c r="O334" i="1"/>
  <c r="P334" i="1"/>
  <c r="M334" i="1"/>
  <c r="I334" i="1"/>
  <c r="J334" i="1"/>
  <c r="L334" i="1"/>
  <c r="K334" i="1"/>
  <c r="P333" i="1"/>
  <c r="M333" i="1"/>
  <c r="O333" i="1"/>
  <c r="N333" i="1"/>
  <c r="I333" i="1"/>
  <c r="J333" i="1"/>
  <c r="L333" i="1"/>
  <c r="K333" i="1"/>
  <c r="P332" i="1"/>
  <c r="M332" i="1"/>
  <c r="O332" i="1"/>
  <c r="L332" i="1"/>
  <c r="P331" i="1"/>
  <c r="M331" i="1"/>
  <c r="O331" i="1"/>
  <c r="I331" i="1"/>
  <c r="L331" i="1"/>
  <c r="K331" i="1"/>
  <c r="P330" i="1"/>
  <c r="M330" i="1"/>
  <c r="O330" i="1"/>
  <c r="N330" i="1"/>
  <c r="I330" i="1"/>
  <c r="L330" i="1"/>
  <c r="P329" i="1"/>
  <c r="O329" i="1"/>
  <c r="N329" i="1"/>
  <c r="M329" i="1"/>
  <c r="L329" i="1"/>
  <c r="M328" i="1"/>
  <c r="O328" i="1"/>
  <c r="P328" i="1"/>
  <c r="I328" i="1"/>
  <c r="J328" i="1"/>
  <c r="L328" i="1"/>
  <c r="P327" i="1"/>
  <c r="M327" i="1"/>
  <c r="O327" i="1"/>
  <c r="N327" i="1"/>
  <c r="L327" i="1"/>
  <c r="M326" i="1"/>
  <c r="O326" i="1"/>
  <c r="P326" i="1"/>
  <c r="I326" i="1"/>
  <c r="J326" i="1"/>
  <c r="L326" i="1"/>
  <c r="M325" i="1"/>
  <c r="O325" i="1"/>
  <c r="P325" i="1"/>
  <c r="L325" i="1"/>
  <c r="M324" i="1"/>
  <c r="O324" i="1"/>
  <c r="P324" i="1"/>
  <c r="I324" i="1"/>
  <c r="L324" i="1"/>
  <c r="P323" i="1"/>
  <c r="M323" i="1"/>
  <c r="O323" i="1"/>
  <c r="N323" i="1"/>
  <c r="I323" i="1"/>
  <c r="J323" i="1"/>
  <c r="L323" i="1"/>
  <c r="K323" i="1"/>
  <c r="P322" i="1"/>
  <c r="O322" i="1"/>
  <c r="I322" i="1"/>
  <c r="L322" i="1"/>
  <c r="O321" i="1"/>
  <c r="P321" i="1"/>
  <c r="M321" i="1"/>
  <c r="I321" i="1"/>
  <c r="L321" i="1"/>
  <c r="P320" i="1"/>
  <c r="O320" i="1"/>
  <c r="I320" i="1"/>
  <c r="L320" i="1"/>
  <c r="K320" i="1"/>
  <c r="P319" i="1"/>
  <c r="M319" i="1"/>
  <c r="O319" i="1"/>
  <c r="N319" i="1"/>
  <c r="I319" i="1"/>
  <c r="J319" i="1"/>
  <c r="L319" i="1"/>
  <c r="K319" i="1"/>
  <c r="P318" i="1"/>
  <c r="O318" i="1"/>
  <c r="N318" i="1"/>
  <c r="M318" i="1"/>
  <c r="I318" i="1"/>
  <c r="J318" i="1"/>
  <c r="L318" i="1"/>
  <c r="K318" i="1"/>
  <c r="P317" i="1"/>
  <c r="M317" i="1"/>
  <c r="O317" i="1"/>
  <c r="N317" i="1"/>
  <c r="I317" i="1"/>
  <c r="L317" i="1"/>
  <c r="K317" i="1"/>
  <c r="O316" i="1"/>
  <c r="P316" i="1"/>
  <c r="M316" i="1"/>
  <c r="I316" i="1"/>
  <c r="J316" i="1"/>
  <c r="L316" i="1"/>
  <c r="K316" i="1"/>
  <c r="O315" i="1"/>
  <c r="P315" i="1"/>
  <c r="M315" i="1"/>
  <c r="I315" i="1"/>
  <c r="J315" i="1"/>
  <c r="L315" i="1"/>
  <c r="K315" i="1"/>
  <c r="O314" i="1"/>
  <c r="P314" i="1"/>
  <c r="M314" i="1"/>
  <c r="J314" i="1"/>
  <c r="L314" i="1"/>
  <c r="K314" i="1"/>
  <c r="O313" i="1"/>
  <c r="P313" i="1"/>
  <c r="M313" i="1"/>
  <c r="J313" i="1"/>
  <c r="L313" i="1"/>
  <c r="K313" i="1"/>
  <c r="P312" i="1"/>
  <c r="O312" i="1"/>
  <c r="M312" i="1"/>
  <c r="L312" i="1"/>
  <c r="P311" i="1"/>
  <c r="M311" i="1"/>
  <c r="O311" i="1"/>
  <c r="I311" i="1"/>
  <c r="L311" i="1"/>
  <c r="K311" i="1"/>
  <c r="M309" i="1"/>
  <c r="O310" i="1"/>
  <c r="P310" i="1"/>
  <c r="M310" i="1"/>
  <c r="J310" i="1"/>
  <c r="L310" i="1"/>
  <c r="K310" i="1"/>
  <c r="O309" i="1"/>
  <c r="P309" i="1"/>
  <c r="I309" i="1"/>
  <c r="J309" i="1"/>
  <c r="L309" i="1"/>
  <c r="K309" i="1"/>
  <c r="P308" i="1"/>
  <c r="M308" i="1"/>
  <c r="O308" i="1"/>
  <c r="L308" i="1"/>
  <c r="P307" i="1"/>
  <c r="O307" i="1"/>
  <c r="M307" i="1"/>
  <c r="L307" i="1"/>
  <c r="P306" i="1"/>
  <c r="M306" i="1"/>
  <c r="O306" i="1"/>
  <c r="L306" i="1"/>
  <c r="M305" i="1"/>
  <c r="O305" i="1"/>
  <c r="N305" i="1"/>
  <c r="P305" i="1"/>
  <c r="I305" i="1"/>
  <c r="L305" i="1"/>
  <c r="K305" i="1"/>
  <c r="M304" i="1"/>
  <c r="O304" i="1"/>
  <c r="N304" i="1"/>
  <c r="P304" i="1"/>
  <c r="I304" i="1"/>
  <c r="L304" i="1"/>
  <c r="K304" i="1"/>
  <c r="M303" i="1"/>
  <c r="O303" i="1"/>
  <c r="N303" i="1"/>
  <c r="P303" i="1"/>
  <c r="I303" i="1"/>
  <c r="L303" i="1"/>
  <c r="M302" i="1"/>
  <c r="O302" i="1"/>
  <c r="N302" i="1"/>
  <c r="P302" i="1"/>
  <c r="I302" i="1"/>
  <c r="L302" i="1"/>
  <c r="M301" i="1"/>
  <c r="O301" i="1"/>
  <c r="P301" i="1"/>
  <c r="I301" i="1"/>
  <c r="L301" i="1"/>
  <c r="K301" i="1"/>
  <c r="M300" i="1"/>
  <c r="O300" i="1"/>
  <c r="P300" i="1"/>
  <c r="J300" i="1"/>
  <c r="L300" i="1"/>
  <c r="K300" i="1"/>
  <c r="M299" i="1"/>
  <c r="O299" i="1"/>
  <c r="P299" i="1"/>
  <c r="J299" i="1"/>
  <c r="L299" i="1"/>
  <c r="K299" i="1"/>
  <c r="M298" i="1"/>
  <c r="O298" i="1"/>
  <c r="P298" i="1"/>
  <c r="I298" i="1"/>
  <c r="J298" i="1"/>
  <c r="L298" i="1"/>
  <c r="K298" i="1"/>
  <c r="M297" i="1"/>
  <c r="O297" i="1"/>
  <c r="P297" i="1"/>
  <c r="I297" i="1"/>
  <c r="J297" i="1"/>
  <c r="L297" i="1"/>
  <c r="K297" i="1"/>
  <c r="M296" i="1"/>
  <c r="O296" i="1"/>
  <c r="I296" i="1"/>
  <c r="L296" i="1"/>
  <c r="K296" i="1"/>
  <c r="M295" i="1"/>
  <c r="O295" i="1"/>
  <c r="I295" i="1"/>
  <c r="L295" i="1"/>
  <c r="K295" i="1"/>
  <c r="M294" i="1"/>
  <c r="O294" i="1"/>
  <c r="I294" i="1"/>
  <c r="L294" i="1"/>
  <c r="K294" i="1"/>
  <c r="M293" i="1"/>
  <c r="O293" i="1"/>
  <c r="I293" i="1"/>
  <c r="L293" i="1"/>
  <c r="K293" i="1"/>
  <c r="M292" i="1"/>
  <c r="O292" i="1"/>
  <c r="I292" i="1"/>
  <c r="L292" i="1"/>
  <c r="K292" i="1"/>
  <c r="P291" i="1"/>
  <c r="M291" i="1"/>
  <c r="O291" i="1"/>
  <c r="N291" i="1"/>
  <c r="I291" i="1"/>
  <c r="L291" i="1"/>
  <c r="P290" i="1"/>
  <c r="O290" i="1"/>
  <c r="M290" i="1"/>
  <c r="I290" i="1"/>
  <c r="L290" i="1"/>
  <c r="P289" i="1"/>
  <c r="O289" i="1"/>
  <c r="M289" i="1"/>
  <c r="I289" i="1"/>
  <c r="J289" i="1"/>
  <c r="L289" i="1"/>
  <c r="K289" i="1"/>
  <c r="O288" i="1"/>
  <c r="N288" i="1"/>
  <c r="M288" i="1"/>
  <c r="I288" i="1"/>
  <c r="L288" i="1"/>
  <c r="I287" i="1"/>
  <c r="L287" i="1"/>
  <c r="K287" i="1"/>
  <c r="M286" i="1"/>
  <c r="O286" i="1"/>
  <c r="L286" i="1"/>
  <c r="K286" i="1"/>
  <c r="M285" i="1"/>
  <c r="O285" i="1"/>
  <c r="P285" i="1"/>
  <c r="L285" i="1"/>
  <c r="K285" i="1"/>
  <c r="P284" i="1"/>
  <c r="I284" i="1"/>
  <c r="L284" i="1"/>
  <c r="K284" i="1"/>
  <c r="M283" i="1"/>
  <c r="O283" i="1"/>
  <c r="P283" i="1"/>
  <c r="I283" i="1"/>
  <c r="L283" i="1"/>
  <c r="K283" i="1"/>
  <c r="P282" i="1"/>
  <c r="O282" i="1"/>
  <c r="I282" i="1"/>
  <c r="L282" i="1"/>
  <c r="K282" i="1"/>
  <c r="O281" i="1"/>
  <c r="I281" i="1"/>
  <c r="L281" i="1"/>
  <c r="K281" i="1"/>
  <c r="M280" i="1"/>
  <c r="O280" i="1"/>
  <c r="P280" i="1"/>
  <c r="I280" i="1"/>
  <c r="J280" i="1"/>
  <c r="L280" i="1"/>
  <c r="M279" i="1"/>
  <c r="O279" i="1"/>
  <c r="N279" i="1"/>
  <c r="L279" i="1"/>
  <c r="I278" i="1"/>
  <c r="J278" i="1"/>
  <c r="L278" i="1"/>
  <c r="L277" i="1"/>
  <c r="M276" i="1"/>
  <c r="O276" i="1"/>
  <c r="I276" i="1"/>
  <c r="L276" i="1"/>
  <c r="P275" i="1"/>
  <c r="L275" i="1"/>
  <c r="M274" i="1"/>
  <c r="O274" i="1"/>
  <c r="P274" i="1"/>
  <c r="L274" i="1"/>
  <c r="U273" i="1"/>
  <c r="M273" i="1"/>
  <c r="O273" i="1"/>
  <c r="I273" i="1"/>
  <c r="L273" i="1"/>
  <c r="M272" i="1"/>
  <c r="O272" i="1"/>
  <c r="I272" i="1"/>
  <c r="J272" i="1"/>
  <c r="L272" i="1"/>
  <c r="K272" i="1"/>
  <c r="M271" i="1"/>
  <c r="O271" i="1"/>
  <c r="I271" i="1"/>
  <c r="J271" i="1"/>
  <c r="L271" i="1"/>
  <c r="K271" i="1"/>
  <c r="N270" i="1"/>
  <c r="I270" i="1"/>
  <c r="J270" i="1"/>
  <c r="L270" i="1"/>
  <c r="K270" i="1"/>
  <c r="P269" i="1"/>
  <c r="M269" i="1"/>
  <c r="O269" i="1"/>
  <c r="J269" i="1"/>
  <c r="L269" i="1"/>
  <c r="K269" i="1"/>
  <c r="O268" i="1"/>
  <c r="P268" i="1"/>
  <c r="M268" i="1"/>
  <c r="I268" i="1"/>
  <c r="L268" i="1"/>
  <c r="K268" i="1"/>
  <c r="O267" i="1"/>
  <c r="P267" i="1"/>
  <c r="M267" i="1"/>
  <c r="L267" i="1"/>
  <c r="K267" i="1"/>
  <c r="P266" i="1"/>
  <c r="M266" i="1"/>
  <c r="L266" i="1"/>
  <c r="O265" i="1"/>
  <c r="P265" i="1"/>
  <c r="M265" i="1"/>
  <c r="L265" i="1"/>
  <c r="O264" i="1"/>
  <c r="P264" i="1"/>
  <c r="M264" i="1"/>
  <c r="I264" i="1"/>
  <c r="L264" i="1"/>
  <c r="K264" i="1"/>
  <c r="O263" i="1"/>
  <c r="P263" i="1"/>
  <c r="M263" i="1"/>
  <c r="L263" i="1"/>
  <c r="K263" i="1"/>
  <c r="O262" i="1"/>
  <c r="P262" i="1"/>
  <c r="M262" i="1"/>
  <c r="J262" i="1"/>
  <c r="L262" i="1"/>
  <c r="K262" i="1"/>
  <c r="O261" i="1"/>
  <c r="P261" i="1"/>
  <c r="M261" i="1"/>
  <c r="I261" i="1"/>
  <c r="J261" i="1"/>
  <c r="L261" i="1"/>
  <c r="K261" i="1"/>
  <c r="O260" i="1"/>
  <c r="P260" i="1"/>
  <c r="M260" i="1"/>
  <c r="I260" i="1"/>
  <c r="J260" i="1"/>
  <c r="L260" i="1"/>
  <c r="U259" i="1"/>
  <c r="P259" i="1"/>
  <c r="N259" i="1"/>
  <c r="I259" i="1"/>
  <c r="L259" i="1"/>
  <c r="P258" i="1"/>
  <c r="M258" i="1"/>
  <c r="O258" i="1"/>
  <c r="N258" i="1"/>
  <c r="I258" i="1"/>
  <c r="L258" i="1"/>
  <c r="O257" i="1"/>
  <c r="P257" i="1"/>
  <c r="M257" i="1"/>
  <c r="I257" i="1"/>
  <c r="L257" i="1"/>
  <c r="P256" i="1"/>
  <c r="O256" i="1"/>
  <c r="M256" i="1"/>
  <c r="I256" i="1"/>
  <c r="J256" i="1"/>
  <c r="L256" i="1"/>
  <c r="K256" i="1"/>
  <c r="P255" i="1"/>
  <c r="M255" i="1"/>
  <c r="O255" i="1"/>
  <c r="N255" i="1"/>
  <c r="I255" i="1"/>
  <c r="L255" i="1"/>
  <c r="K255" i="1"/>
  <c r="J254" i="1"/>
  <c r="L254" i="1"/>
  <c r="L253" i="1"/>
  <c r="M252" i="1"/>
  <c r="O252" i="1"/>
  <c r="I252" i="1"/>
  <c r="L252" i="1"/>
  <c r="M251" i="1"/>
  <c r="O251" i="1"/>
  <c r="I251" i="1"/>
  <c r="L251" i="1"/>
  <c r="U250" i="1"/>
  <c r="P250" i="1"/>
  <c r="N250" i="1"/>
  <c r="O250" i="1"/>
  <c r="I250" i="1"/>
  <c r="L250" i="1"/>
  <c r="K250" i="1"/>
  <c r="P249" i="1"/>
  <c r="O249" i="1"/>
  <c r="I249" i="1"/>
  <c r="L249" i="1"/>
  <c r="K249" i="1"/>
  <c r="P248" i="1"/>
  <c r="I248" i="1"/>
  <c r="L248" i="1"/>
  <c r="K248" i="1"/>
  <c r="I247" i="1"/>
  <c r="L247" i="1"/>
  <c r="I246" i="1"/>
  <c r="L246" i="1"/>
  <c r="K246" i="1"/>
  <c r="J181" i="1"/>
  <c r="L177" i="1"/>
  <c r="L176" i="1"/>
  <c r="K92" i="1"/>
  <c r="P222" i="1"/>
  <c r="O222" i="1"/>
  <c r="M222" i="1"/>
  <c r="O101" i="1"/>
  <c r="P245" i="1"/>
  <c r="M245" i="1"/>
  <c r="O245" i="1"/>
  <c r="N245" i="1"/>
  <c r="P244" i="1"/>
  <c r="M244" i="1"/>
  <c r="O244" i="1"/>
  <c r="P243" i="1"/>
  <c r="O243" i="1"/>
  <c r="O242" i="1"/>
  <c r="P242" i="1"/>
  <c r="M242" i="1"/>
  <c r="P241" i="1"/>
  <c r="M241" i="1"/>
  <c r="O241" i="1"/>
  <c r="N241" i="1"/>
  <c r="P240" i="1"/>
  <c r="M240" i="1"/>
  <c r="O240" i="1"/>
  <c r="N240" i="1"/>
  <c r="P239" i="1"/>
  <c r="O239" i="1"/>
  <c r="N239" i="1"/>
  <c r="P238" i="1"/>
  <c r="O238" i="1"/>
  <c r="N238" i="1"/>
  <c r="M237" i="1"/>
  <c r="O237" i="1"/>
  <c r="P237" i="1"/>
  <c r="O236" i="1"/>
  <c r="P236" i="1"/>
  <c r="P235" i="1"/>
  <c r="O235" i="1"/>
  <c r="P234" i="1"/>
  <c r="O234" i="1"/>
  <c r="P233" i="1"/>
  <c r="O233" i="1"/>
  <c r="P232" i="1"/>
  <c r="M232" i="1"/>
  <c r="O232" i="1"/>
  <c r="N232" i="1"/>
  <c r="P231" i="1"/>
  <c r="M231" i="1"/>
  <c r="O231" i="1"/>
  <c r="N231" i="1"/>
  <c r="P230" i="1"/>
  <c r="M230" i="1"/>
  <c r="O230" i="1"/>
  <c r="N230" i="1"/>
  <c r="P229" i="1"/>
  <c r="O229" i="1"/>
  <c r="P228" i="1"/>
  <c r="O228" i="1"/>
  <c r="P227" i="1"/>
  <c r="M227" i="1"/>
  <c r="O227" i="1"/>
  <c r="M226" i="1"/>
  <c r="O226" i="1"/>
  <c r="P226" i="1"/>
  <c r="M225" i="1"/>
  <c r="O225" i="1"/>
  <c r="P225" i="1"/>
  <c r="M224" i="1"/>
  <c r="O224" i="1"/>
  <c r="P224" i="1"/>
  <c r="P223" i="1"/>
  <c r="M223" i="1"/>
  <c r="O223" i="1"/>
  <c r="M221" i="1"/>
  <c r="O221" i="1"/>
  <c r="M220" i="1"/>
  <c r="O220" i="1"/>
  <c r="M219" i="1"/>
  <c r="O219" i="1"/>
  <c r="P219" i="1"/>
  <c r="M218" i="1"/>
  <c r="O218" i="1"/>
  <c r="P218" i="1"/>
  <c r="O217" i="1"/>
  <c r="M216" i="1"/>
  <c r="O216" i="1"/>
  <c r="N216" i="1"/>
  <c r="M215" i="1"/>
  <c r="O215" i="1"/>
  <c r="N215" i="1"/>
  <c r="P214" i="1"/>
  <c r="M214" i="1"/>
  <c r="O214" i="1"/>
  <c r="P213" i="1"/>
  <c r="M213" i="1"/>
  <c r="O213" i="1"/>
  <c r="M212" i="1"/>
  <c r="O212" i="1"/>
  <c r="N212" i="1"/>
  <c r="M211" i="1"/>
  <c r="O211" i="1"/>
  <c r="P211" i="1"/>
  <c r="M210" i="1"/>
  <c r="O210" i="1"/>
  <c r="P210" i="1"/>
  <c r="M209" i="1"/>
  <c r="O209" i="1"/>
  <c r="P209" i="1"/>
  <c r="M208" i="1"/>
  <c r="O208" i="1"/>
  <c r="P208" i="1"/>
  <c r="M207" i="1"/>
  <c r="O207" i="1"/>
  <c r="P207" i="1"/>
  <c r="P206" i="1"/>
  <c r="M206" i="1"/>
  <c r="O206" i="1"/>
  <c r="N206" i="1"/>
  <c r="P205" i="1"/>
  <c r="M205" i="1"/>
  <c r="O205" i="1"/>
  <c r="N205" i="1"/>
  <c r="P204" i="1"/>
  <c r="M204" i="1"/>
  <c r="O204" i="1"/>
  <c r="P203" i="1"/>
  <c r="M203" i="1"/>
  <c r="O203" i="1"/>
  <c r="P202" i="1"/>
  <c r="M202" i="1"/>
  <c r="O202" i="1"/>
  <c r="O201" i="1"/>
  <c r="P201" i="1"/>
  <c r="P200" i="1"/>
  <c r="M200" i="1"/>
  <c r="O200" i="1"/>
  <c r="M199" i="1"/>
  <c r="O199" i="1"/>
  <c r="P199" i="1"/>
  <c r="M198" i="1"/>
  <c r="O198" i="1"/>
  <c r="P198" i="1"/>
  <c r="P197" i="1"/>
  <c r="M197" i="1"/>
  <c r="O197" i="1"/>
  <c r="M196" i="1"/>
  <c r="O196" i="1"/>
  <c r="N196" i="1"/>
  <c r="M195" i="1"/>
  <c r="O195" i="1"/>
  <c r="P195" i="1"/>
  <c r="P194" i="1"/>
  <c r="O194" i="1"/>
  <c r="N194" i="1"/>
  <c r="O193" i="1"/>
  <c r="P193" i="1"/>
  <c r="P192" i="1"/>
  <c r="P191" i="1"/>
  <c r="M191" i="1"/>
  <c r="O191" i="1"/>
  <c r="N191" i="1"/>
  <c r="P190" i="1"/>
  <c r="M190" i="1"/>
  <c r="O190" i="1"/>
  <c r="N190" i="1"/>
  <c r="P189" i="1"/>
  <c r="M189" i="1"/>
  <c r="O189" i="1"/>
  <c r="N189" i="1"/>
  <c r="M188" i="1"/>
  <c r="O188" i="1"/>
  <c r="O187" i="1"/>
  <c r="P187" i="1"/>
  <c r="P186" i="1"/>
  <c r="O186" i="1"/>
  <c r="M185" i="1"/>
  <c r="O185" i="1"/>
  <c r="P185" i="1"/>
  <c r="M184" i="1"/>
  <c r="O184" i="1"/>
  <c r="P184" i="1"/>
  <c r="M183" i="1"/>
  <c r="O183" i="1"/>
  <c r="N183" i="1"/>
  <c r="M182" i="1"/>
  <c r="O182" i="1"/>
  <c r="N182" i="1"/>
  <c r="M181" i="1"/>
  <c r="O181" i="1"/>
  <c r="N181" i="1"/>
  <c r="M180" i="1"/>
  <c r="O180" i="1"/>
  <c r="N180" i="1"/>
  <c r="M179" i="1"/>
  <c r="O179" i="1"/>
  <c r="M178" i="1"/>
  <c r="O178" i="1"/>
  <c r="P178" i="1"/>
  <c r="P177" i="1"/>
  <c r="M177" i="1"/>
  <c r="O177" i="1"/>
  <c r="N177" i="1"/>
  <c r="M176" i="1"/>
  <c r="O176" i="1"/>
  <c r="N176" i="1"/>
  <c r="M175" i="1"/>
  <c r="O175" i="1"/>
  <c r="P175" i="1"/>
  <c r="M174" i="1"/>
  <c r="O174" i="1"/>
  <c r="P174" i="1"/>
  <c r="M173" i="1"/>
  <c r="O173" i="1"/>
  <c r="P173" i="1"/>
  <c r="M172" i="1"/>
  <c r="O172" i="1"/>
  <c r="P172" i="1"/>
  <c r="M171" i="1"/>
  <c r="O171" i="1"/>
  <c r="P171" i="1"/>
  <c r="M170" i="1"/>
  <c r="O170" i="1"/>
  <c r="P170" i="1"/>
  <c r="N170" i="1"/>
  <c r="M169" i="1"/>
  <c r="O169" i="1"/>
  <c r="P169" i="1"/>
  <c r="N169" i="1"/>
  <c r="M168" i="1"/>
  <c r="O168" i="1"/>
  <c r="P168" i="1"/>
  <c r="P167" i="1"/>
  <c r="O167" i="1"/>
  <c r="N167" i="1"/>
  <c r="M166" i="1"/>
  <c r="O166" i="1"/>
  <c r="N166" i="1"/>
  <c r="P165" i="1"/>
  <c r="M165" i="1"/>
  <c r="O165" i="1"/>
  <c r="N165" i="1"/>
  <c r="O164" i="1"/>
  <c r="M164" i="1"/>
  <c r="N164" i="1"/>
  <c r="O163" i="1"/>
  <c r="P163" i="1"/>
  <c r="M163" i="1"/>
  <c r="O162" i="1"/>
  <c r="M162" i="1"/>
  <c r="N162" i="1"/>
  <c r="M161" i="1"/>
  <c r="O161" i="1"/>
  <c r="P161" i="1"/>
  <c r="M160" i="1"/>
  <c r="O160" i="1"/>
  <c r="N160" i="1"/>
  <c r="M159" i="1"/>
  <c r="O159" i="1"/>
  <c r="N159" i="1"/>
  <c r="M158" i="1"/>
  <c r="O158" i="1"/>
  <c r="N158" i="1"/>
  <c r="O157" i="1"/>
  <c r="M157" i="1"/>
  <c r="O156" i="1"/>
  <c r="M156" i="1"/>
  <c r="M155" i="1"/>
  <c r="O155" i="1"/>
  <c r="N155" i="1"/>
  <c r="O154" i="1"/>
  <c r="P154" i="1"/>
  <c r="M154" i="1"/>
  <c r="M153" i="1"/>
  <c r="O153" i="1"/>
  <c r="P153" i="1"/>
  <c r="O151" i="1"/>
  <c r="O150" i="1"/>
  <c r="M150" i="1"/>
  <c r="O149" i="1"/>
  <c r="M149" i="1"/>
  <c r="O148" i="1"/>
  <c r="P148" i="1"/>
  <c r="M148" i="1"/>
  <c r="O147" i="1"/>
  <c r="M146" i="1"/>
  <c r="O146" i="1"/>
  <c r="O145" i="1"/>
  <c r="P145" i="1"/>
  <c r="M145" i="1"/>
  <c r="O144" i="1"/>
  <c r="P144" i="1"/>
  <c r="M144" i="1"/>
  <c r="M143" i="1"/>
  <c r="O143" i="1"/>
  <c r="P142" i="1"/>
  <c r="M142" i="1"/>
  <c r="O142" i="1"/>
  <c r="O141" i="1"/>
  <c r="N141" i="1"/>
  <c r="P77" i="1"/>
  <c r="O77" i="1"/>
  <c r="M77" i="1"/>
  <c r="L77" i="1"/>
  <c r="K77" i="1"/>
  <c r="I77" i="1"/>
  <c r="P76" i="1"/>
  <c r="O76" i="1"/>
  <c r="M76" i="1"/>
  <c r="L76" i="1"/>
  <c r="J76" i="1"/>
  <c r="I76" i="1"/>
  <c r="K76" i="1"/>
  <c r="M75" i="1"/>
  <c r="P75" i="1"/>
  <c r="O75" i="1"/>
  <c r="N75" i="1"/>
  <c r="L75" i="1"/>
  <c r="K75" i="1"/>
  <c r="I75" i="1"/>
  <c r="P74" i="1"/>
  <c r="O74" i="1"/>
  <c r="N74" i="1"/>
  <c r="M74" i="1"/>
  <c r="L74" i="1"/>
  <c r="I74" i="1"/>
  <c r="K74" i="1"/>
  <c r="P73" i="1"/>
  <c r="O73" i="1"/>
  <c r="N73" i="1"/>
  <c r="M73" i="1"/>
  <c r="K73" i="1"/>
  <c r="L73" i="1"/>
  <c r="I73" i="1"/>
  <c r="P115" i="1"/>
  <c r="P26" i="1"/>
  <c r="P137" i="1"/>
  <c r="P136" i="1"/>
  <c r="P135" i="1"/>
  <c r="P134" i="1"/>
  <c r="P133" i="1"/>
  <c r="P132" i="1"/>
  <c r="P130" i="1"/>
  <c r="P129" i="1"/>
  <c r="M129" i="1"/>
  <c r="J129" i="1"/>
  <c r="I129" i="1"/>
  <c r="P128" i="1"/>
  <c r="P127" i="1"/>
  <c r="P126" i="1"/>
  <c r="P125" i="1"/>
  <c r="P124" i="1"/>
  <c r="P123" i="1"/>
  <c r="M122" i="1"/>
  <c r="O122" i="1"/>
  <c r="P117" i="1"/>
  <c r="P116" i="1"/>
  <c r="P114" i="1"/>
  <c r="P113" i="1"/>
  <c r="P112" i="1"/>
  <c r="P111" i="1"/>
  <c r="M110" i="1"/>
  <c r="P110" i="1"/>
  <c r="P108" i="1"/>
  <c r="P107" i="1"/>
  <c r="P106" i="1"/>
  <c r="P105" i="1"/>
  <c r="P101" i="1"/>
  <c r="O98" i="1"/>
  <c r="N98" i="1"/>
  <c r="P99" i="1"/>
  <c r="O97" i="1"/>
  <c r="J97" i="1"/>
  <c r="I97" i="1"/>
  <c r="J95" i="1"/>
  <c r="O95" i="1"/>
  <c r="M91" i="1"/>
  <c r="O91" i="1"/>
  <c r="P91" i="1"/>
  <c r="P89" i="1"/>
  <c r="P88" i="1"/>
  <c r="M86" i="1"/>
  <c r="O86" i="1"/>
  <c r="P86" i="1"/>
  <c r="P84" i="1"/>
  <c r="P83" i="1"/>
  <c r="P82" i="1"/>
  <c r="P81" i="1"/>
  <c r="P80" i="1"/>
  <c r="P79" i="1"/>
  <c r="P71" i="1"/>
  <c r="M78" i="1"/>
  <c r="O78" i="1"/>
  <c r="P78" i="1"/>
  <c r="N65" i="1"/>
  <c r="N66" i="1"/>
  <c r="J65" i="1"/>
  <c r="M65" i="1"/>
  <c r="O65" i="1"/>
  <c r="K65" i="1"/>
  <c r="K64" i="1"/>
  <c r="I65" i="1"/>
  <c r="P64" i="1"/>
  <c r="J64" i="1"/>
  <c r="N70" i="1"/>
  <c r="P70" i="1"/>
  <c r="P66" i="1"/>
  <c r="P72" i="1"/>
  <c r="N72" i="1"/>
  <c r="N71" i="1"/>
  <c r="M62" i="1"/>
  <c r="O62" i="1"/>
  <c r="P62" i="1"/>
  <c r="P58" i="1"/>
  <c r="M60" i="1"/>
  <c r="O60" i="1"/>
  <c r="P60" i="1"/>
  <c r="N59" i="1"/>
  <c r="P59" i="1"/>
  <c r="P57" i="1"/>
  <c r="M56" i="1"/>
  <c r="O56" i="1"/>
  <c r="P56" i="1"/>
  <c r="M47" i="1"/>
  <c r="O47" i="1"/>
  <c r="P47" i="1"/>
  <c r="M44" i="1"/>
  <c r="O44" i="1"/>
  <c r="P44" i="1"/>
  <c r="M42" i="1"/>
  <c r="O42" i="1"/>
  <c r="P42" i="1"/>
  <c r="M41" i="1"/>
  <c r="O41" i="1"/>
  <c r="P41" i="1"/>
  <c r="M38" i="1"/>
  <c r="O38" i="1"/>
  <c r="P38" i="1"/>
  <c r="M37" i="1"/>
  <c r="O37" i="1"/>
  <c r="P37" i="1"/>
  <c r="M36" i="1"/>
  <c r="O36" i="1"/>
  <c r="P36" i="1"/>
  <c r="M35" i="1"/>
  <c r="O35" i="1"/>
  <c r="P35" i="1"/>
  <c r="M34" i="1"/>
  <c r="O34" i="1"/>
  <c r="P34" i="1"/>
  <c r="M33" i="1"/>
  <c r="O33" i="1"/>
  <c r="P33" i="1"/>
  <c r="M27" i="1"/>
  <c r="O27" i="1"/>
  <c r="P27" i="1"/>
  <c r="O12" i="1"/>
  <c r="P12" i="1"/>
  <c r="M24" i="1"/>
  <c r="O24" i="1"/>
  <c r="P24" i="1"/>
  <c r="M23" i="1"/>
  <c r="O23" i="1"/>
  <c r="P23" i="1"/>
  <c r="M21" i="1"/>
  <c r="O21" i="1"/>
  <c r="P21" i="1"/>
  <c r="O16" i="1"/>
  <c r="P16" i="1"/>
  <c r="O17" i="1"/>
  <c r="P17" i="1"/>
  <c r="M18" i="1"/>
  <c r="O18" i="1"/>
  <c r="P18" i="1"/>
  <c r="O19" i="1"/>
  <c r="P19" i="1"/>
  <c r="P11" i="1"/>
  <c r="O9" i="1"/>
  <c r="P9" i="1"/>
  <c r="P7" i="1"/>
  <c r="P69" i="1"/>
  <c r="N68" i="1"/>
  <c r="P68" i="1"/>
  <c r="N67" i="1"/>
  <c r="P67" i="1"/>
  <c r="I245" i="1"/>
  <c r="L245" i="1"/>
  <c r="L244" i="1"/>
  <c r="I243" i="1"/>
  <c r="L243" i="1"/>
  <c r="J242" i="1"/>
  <c r="L242" i="1"/>
  <c r="I241" i="1"/>
  <c r="L241" i="1"/>
  <c r="I240" i="1"/>
  <c r="L240" i="1"/>
  <c r="I239" i="1"/>
  <c r="L239" i="1"/>
  <c r="I238" i="1"/>
  <c r="L238" i="1"/>
  <c r="I237" i="1"/>
  <c r="L237" i="1"/>
  <c r="I236" i="1"/>
  <c r="L236" i="1"/>
  <c r="I235" i="1"/>
  <c r="L235" i="1"/>
  <c r="I234" i="1"/>
  <c r="L234" i="1"/>
  <c r="I233" i="1"/>
  <c r="L233" i="1"/>
  <c r="I232" i="1"/>
  <c r="L232" i="1"/>
  <c r="I231" i="1"/>
  <c r="L231" i="1"/>
  <c r="I230" i="1"/>
  <c r="L230" i="1"/>
  <c r="I229" i="1"/>
  <c r="L229" i="1"/>
  <c r="I228" i="1"/>
  <c r="L228" i="1"/>
  <c r="I227" i="1"/>
  <c r="L227" i="1"/>
  <c r="I226" i="1"/>
  <c r="L226" i="1"/>
  <c r="I225" i="1"/>
  <c r="L225" i="1"/>
  <c r="I224" i="1"/>
  <c r="L224" i="1"/>
  <c r="I223" i="1"/>
  <c r="L223" i="1"/>
  <c r="I222" i="1"/>
  <c r="L222" i="1"/>
  <c r="I221" i="1"/>
  <c r="L221" i="1"/>
  <c r="I220" i="1"/>
  <c r="L220" i="1"/>
  <c r="I219" i="1"/>
  <c r="L219" i="1"/>
  <c r="I218" i="1"/>
  <c r="L218" i="1"/>
  <c r="I217" i="1"/>
  <c r="L217" i="1"/>
  <c r="I216" i="1"/>
  <c r="L216" i="1"/>
  <c r="I215" i="1"/>
  <c r="L215" i="1"/>
  <c r="I214" i="1"/>
  <c r="L214" i="1"/>
  <c r="I213" i="1"/>
  <c r="L213" i="1"/>
  <c r="I212" i="1"/>
  <c r="L212" i="1"/>
  <c r="I211" i="1"/>
  <c r="L211" i="1"/>
  <c r="I210" i="1"/>
  <c r="L210" i="1"/>
  <c r="L209" i="1"/>
  <c r="L208" i="1"/>
  <c r="L207" i="1"/>
  <c r="I206" i="1"/>
  <c r="L206" i="1"/>
  <c r="I205" i="1"/>
  <c r="L205" i="1"/>
  <c r="I204" i="1"/>
  <c r="L204" i="1"/>
  <c r="I203" i="1"/>
  <c r="L203" i="1"/>
  <c r="I202" i="1"/>
  <c r="L202" i="1"/>
  <c r="I201" i="1"/>
  <c r="L201" i="1"/>
  <c r="I200" i="1"/>
  <c r="L200" i="1"/>
  <c r="J199" i="1"/>
  <c r="L199" i="1"/>
  <c r="I198" i="1"/>
  <c r="J198" i="1"/>
  <c r="L198" i="1"/>
  <c r="J197" i="1"/>
  <c r="L197" i="1"/>
  <c r="I196" i="1"/>
  <c r="L196" i="1"/>
  <c r="L195" i="1"/>
  <c r="L194" i="1"/>
  <c r="J194" i="1"/>
  <c r="I194" i="1"/>
  <c r="I193" i="1"/>
  <c r="L193" i="1"/>
  <c r="J192" i="1"/>
  <c r="L192" i="1"/>
  <c r="I191" i="1"/>
  <c r="L191" i="1"/>
  <c r="I190" i="1"/>
  <c r="L190" i="1"/>
  <c r="I189" i="1"/>
  <c r="L189" i="1"/>
  <c r="I188" i="1"/>
  <c r="L188" i="1"/>
  <c r="L187" i="1"/>
  <c r="I186" i="1"/>
  <c r="L186" i="1"/>
  <c r="I185" i="1"/>
  <c r="J185" i="1"/>
  <c r="L185" i="1"/>
  <c r="I184" i="1"/>
  <c r="L184" i="1"/>
  <c r="I183" i="1"/>
  <c r="L183" i="1"/>
  <c r="I182" i="1"/>
  <c r="L182" i="1"/>
  <c r="I181" i="1"/>
  <c r="L181" i="1"/>
  <c r="I180" i="1"/>
  <c r="J180" i="1"/>
  <c r="L180" i="1"/>
  <c r="I179" i="1"/>
  <c r="J179" i="1"/>
  <c r="L179" i="1"/>
  <c r="L178" i="1"/>
  <c r="I177" i="1"/>
  <c r="J177" i="1"/>
  <c r="I176" i="1"/>
  <c r="J176" i="1"/>
  <c r="I175" i="1"/>
  <c r="L175" i="1"/>
  <c r="I174" i="1"/>
  <c r="L174" i="1"/>
  <c r="I173" i="1"/>
  <c r="L173" i="1"/>
  <c r="I172" i="1"/>
  <c r="L172" i="1"/>
  <c r="I171" i="1"/>
  <c r="J171" i="1"/>
  <c r="L171" i="1"/>
  <c r="I170" i="1"/>
  <c r="J170" i="1"/>
  <c r="L170" i="1"/>
  <c r="I169" i="1"/>
  <c r="J169" i="1"/>
  <c r="L169" i="1"/>
  <c r="L168" i="1"/>
  <c r="L167" i="1"/>
  <c r="I166" i="1"/>
  <c r="L166" i="1"/>
  <c r="J165" i="1"/>
  <c r="L165" i="1"/>
  <c r="I164" i="1"/>
  <c r="L164" i="1"/>
  <c r="J163" i="1"/>
  <c r="L163" i="1"/>
  <c r="I162" i="1"/>
  <c r="L162" i="1"/>
  <c r="I161" i="1"/>
  <c r="J161" i="1"/>
  <c r="L161" i="1"/>
  <c r="I160" i="1"/>
  <c r="J160" i="1"/>
  <c r="L160" i="1"/>
  <c r="I159" i="1"/>
  <c r="J159" i="1"/>
  <c r="L159" i="1"/>
  <c r="I158" i="1"/>
  <c r="J158" i="1"/>
  <c r="L158" i="1"/>
  <c r="I157" i="1"/>
  <c r="J157" i="1"/>
  <c r="L157" i="1"/>
  <c r="I156" i="1"/>
  <c r="J156" i="1"/>
  <c r="L156" i="1"/>
  <c r="I155" i="1"/>
  <c r="J155" i="1"/>
  <c r="L155" i="1"/>
  <c r="I154" i="1"/>
  <c r="J154" i="1"/>
  <c r="L154" i="1"/>
  <c r="I153" i="1"/>
  <c r="J153" i="1"/>
  <c r="L153" i="1"/>
  <c r="I152" i="1"/>
  <c r="L152" i="1"/>
  <c r="I151" i="1"/>
  <c r="L151" i="1"/>
  <c r="I150" i="1"/>
  <c r="L150" i="1"/>
  <c r="I149" i="1"/>
  <c r="L149" i="1"/>
  <c r="I148" i="1"/>
  <c r="L148" i="1"/>
  <c r="I147" i="1"/>
  <c r="L147" i="1"/>
  <c r="I146" i="1"/>
  <c r="J146" i="1"/>
  <c r="L146" i="1"/>
  <c r="L145" i="1"/>
  <c r="I144" i="1"/>
  <c r="J144" i="1"/>
  <c r="L144" i="1"/>
  <c r="L143" i="1"/>
  <c r="L142" i="1"/>
  <c r="I141" i="1"/>
  <c r="L141" i="1"/>
  <c r="K141" i="1"/>
  <c r="M140" i="1"/>
  <c r="O140" i="1"/>
  <c r="N140" i="1"/>
  <c r="L140" i="1"/>
  <c r="K140" i="1"/>
  <c r="M139" i="1"/>
  <c r="O139" i="1"/>
  <c r="N139" i="1"/>
  <c r="I139" i="1"/>
  <c r="J139" i="1"/>
  <c r="L139" i="1"/>
  <c r="K139" i="1"/>
  <c r="M138" i="1"/>
  <c r="O138" i="1"/>
  <c r="N138" i="1"/>
  <c r="I138" i="1"/>
  <c r="L138" i="1"/>
  <c r="K138" i="1"/>
  <c r="M137" i="1"/>
  <c r="O137" i="1"/>
  <c r="I137" i="1"/>
  <c r="J137" i="1"/>
  <c r="L137" i="1"/>
  <c r="K137" i="1"/>
  <c r="M136" i="1"/>
  <c r="O136" i="1"/>
  <c r="I136" i="1"/>
  <c r="J136" i="1"/>
  <c r="L136" i="1"/>
  <c r="K136" i="1"/>
  <c r="M135" i="1"/>
  <c r="O135" i="1"/>
  <c r="I135" i="1"/>
  <c r="J135" i="1"/>
  <c r="L135" i="1"/>
  <c r="K135" i="1"/>
  <c r="M134" i="1"/>
  <c r="O134" i="1"/>
  <c r="I134" i="1"/>
  <c r="L134" i="1"/>
  <c r="K134" i="1"/>
  <c r="M133" i="1"/>
  <c r="O133" i="1"/>
  <c r="I133" i="1"/>
  <c r="J133" i="1"/>
  <c r="L133" i="1"/>
  <c r="K133" i="1"/>
  <c r="M132" i="1"/>
  <c r="O132" i="1"/>
  <c r="I132" i="1"/>
  <c r="L132" i="1"/>
  <c r="K132" i="1"/>
  <c r="P131" i="1"/>
  <c r="M131" i="1"/>
  <c r="O131" i="1"/>
  <c r="J131" i="1"/>
  <c r="L131" i="1"/>
  <c r="K131" i="1"/>
  <c r="M130" i="1"/>
  <c r="O130" i="1"/>
  <c r="I130" i="1"/>
  <c r="J130" i="1"/>
  <c r="L130" i="1"/>
  <c r="K130" i="1"/>
  <c r="O129" i="1"/>
  <c r="L129" i="1"/>
  <c r="K129" i="1"/>
  <c r="M128" i="1"/>
  <c r="O128" i="1"/>
  <c r="I128" i="1"/>
  <c r="L128" i="1"/>
  <c r="K128" i="1"/>
  <c r="M127" i="1"/>
  <c r="O127" i="1"/>
  <c r="I127" i="1"/>
  <c r="L127" i="1"/>
  <c r="K127" i="1"/>
  <c r="M126" i="1"/>
  <c r="O126" i="1"/>
  <c r="I126" i="1"/>
  <c r="L126" i="1"/>
  <c r="K126" i="1"/>
  <c r="O125" i="1"/>
  <c r="I125" i="1"/>
  <c r="L125" i="1"/>
  <c r="K125" i="1"/>
  <c r="M124" i="1"/>
  <c r="O124" i="1"/>
  <c r="I124" i="1"/>
  <c r="L124" i="1"/>
  <c r="K124" i="1"/>
  <c r="M123" i="1"/>
  <c r="O123" i="1"/>
  <c r="I123" i="1"/>
  <c r="L123" i="1"/>
  <c r="K123" i="1"/>
  <c r="I122" i="1"/>
  <c r="J122" i="1"/>
  <c r="L122" i="1"/>
  <c r="P121" i="1"/>
  <c r="M121" i="1"/>
  <c r="O121" i="1"/>
  <c r="N121" i="1"/>
  <c r="I121" i="1"/>
  <c r="J121" i="1"/>
  <c r="L121" i="1"/>
  <c r="K121" i="1"/>
  <c r="M120" i="1"/>
  <c r="O120" i="1"/>
  <c r="I120" i="1"/>
  <c r="J120" i="1"/>
  <c r="L120" i="1"/>
  <c r="M119" i="1"/>
  <c r="O119" i="1"/>
  <c r="I119" i="1"/>
  <c r="J119" i="1"/>
  <c r="L119" i="1"/>
  <c r="M118" i="1"/>
  <c r="O118" i="1"/>
  <c r="I118" i="1"/>
  <c r="J118" i="1"/>
  <c r="L118" i="1"/>
  <c r="M117" i="1"/>
  <c r="O117" i="1"/>
  <c r="I117" i="1"/>
  <c r="J117" i="1"/>
  <c r="L117" i="1"/>
  <c r="M116" i="1"/>
  <c r="O116" i="1"/>
  <c r="J116" i="1"/>
  <c r="L116" i="1"/>
  <c r="O115" i="1"/>
  <c r="N115" i="1"/>
  <c r="J115" i="1"/>
  <c r="L115" i="1"/>
  <c r="M114" i="1"/>
  <c r="O114" i="1"/>
  <c r="L114" i="1"/>
  <c r="M113" i="1"/>
  <c r="O113" i="1"/>
  <c r="L113" i="1"/>
  <c r="O112" i="1"/>
  <c r="I112" i="1"/>
  <c r="J112" i="1"/>
  <c r="L112" i="1"/>
  <c r="O111" i="1"/>
  <c r="N111" i="1"/>
  <c r="I111" i="1"/>
  <c r="J111" i="1"/>
  <c r="L111" i="1"/>
  <c r="O110" i="1"/>
  <c r="I110" i="1"/>
  <c r="L110" i="1"/>
  <c r="P109" i="1"/>
  <c r="M109" i="1"/>
  <c r="O109" i="1"/>
  <c r="N109" i="1"/>
  <c r="I109" i="1"/>
  <c r="J109" i="1"/>
  <c r="L109" i="1"/>
  <c r="M108" i="1"/>
  <c r="O108" i="1"/>
  <c r="I108" i="1"/>
  <c r="J108" i="1"/>
  <c r="L108" i="1"/>
  <c r="M107" i="1"/>
  <c r="O107" i="1"/>
  <c r="I107" i="1"/>
  <c r="L107" i="1"/>
  <c r="M106" i="1"/>
  <c r="O106" i="1"/>
  <c r="I106" i="1"/>
  <c r="J106" i="1"/>
  <c r="L106" i="1"/>
  <c r="K106" i="1"/>
  <c r="M105" i="1"/>
  <c r="O105" i="1"/>
  <c r="J105" i="1"/>
  <c r="L105" i="1"/>
  <c r="K105" i="1"/>
  <c r="M104" i="1"/>
  <c r="O104" i="1"/>
  <c r="N104" i="1"/>
  <c r="L104" i="1"/>
  <c r="M103" i="1"/>
  <c r="O103" i="1"/>
  <c r="N103" i="1"/>
  <c r="L103" i="1"/>
  <c r="M102" i="1"/>
  <c r="O102" i="1"/>
  <c r="I102" i="1"/>
  <c r="L102" i="1"/>
  <c r="K102" i="1"/>
  <c r="M101" i="1"/>
  <c r="J101" i="1"/>
  <c r="L101" i="1"/>
  <c r="K101" i="1"/>
  <c r="P100" i="1"/>
  <c r="M100" i="1"/>
  <c r="O100" i="1"/>
  <c r="N100" i="1"/>
  <c r="J100" i="1"/>
  <c r="L100" i="1"/>
  <c r="K100" i="1"/>
  <c r="M99" i="1"/>
  <c r="O99" i="1"/>
  <c r="J99" i="1"/>
  <c r="L99" i="1"/>
  <c r="K99" i="1"/>
  <c r="P98" i="1"/>
  <c r="M98" i="1"/>
  <c r="I98" i="1"/>
  <c r="L98" i="1"/>
  <c r="K98" i="1"/>
  <c r="M97" i="1"/>
  <c r="L97" i="1"/>
  <c r="O96" i="1"/>
  <c r="L96" i="1"/>
  <c r="K96" i="1"/>
  <c r="M95" i="1"/>
  <c r="I95" i="1"/>
  <c r="L95" i="1"/>
  <c r="K95" i="1"/>
  <c r="O94" i="1"/>
  <c r="L94" i="1"/>
  <c r="K94" i="1"/>
  <c r="O93" i="1"/>
  <c r="L93" i="1"/>
  <c r="K93" i="1"/>
  <c r="P92" i="1"/>
  <c r="M92" i="1"/>
  <c r="O92" i="1"/>
  <c r="N92" i="1"/>
  <c r="I92" i="1"/>
  <c r="L92" i="1"/>
  <c r="I91" i="1"/>
  <c r="L91" i="1"/>
  <c r="K91" i="1"/>
  <c r="M90" i="1"/>
  <c r="O90" i="1"/>
  <c r="N90" i="1"/>
  <c r="I90" i="1"/>
  <c r="J90" i="1"/>
  <c r="L90" i="1"/>
  <c r="K90" i="1"/>
  <c r="M89" i="1"/>
  <c r="O89" i="1"/>
  <c r="N89" i="1"/>
  <c r="I89" i="1"/>
  <c r="L89" i="1"/>
  <c r="M88" i="1"/>
  <c r="O88" i="1"/>
  <c r="N88" i="1"/>
  <c r="I88" i="1"/>
  <c r="L88" i="1"/>
  <c r="K88" i="1"/>
  <c r="P87" i="1"/>
  <c r="M87" i="1"/>
  <c r="O87" i="1"/>
  <c r="N87" i="1"/>
  <c r="J87" i="1"/>
  <c r="I87" i="1"/>
  <c r="L87" i="1"/>
  <c r="L86" i="1"/>
  <c r="P85" i="1"/>
  <c r="M85" i="1"/>
  <c r="O85" i="1"/>
  <c r="I85" i="1"/>
  <c r="J85" i="1"/>
  <c r="L85" i="1"/>
  <c r="O84" i="1"/>
  <c r="N84" i="1"/>
  <c r="M84" i="1"/>
  <c r="I84" i="1"/>
  <c r="L84" i="1"/>
  <c r="K84" i="1"/>
  <c r="O83" i="1"/>
  <c r="N83" i="1"/>
  <c r="M83" i="1"/>
  <c r="I83" i="1"/>
  <c r="L83" i="1"/>
  <c r="K83" i="1"/>
  <c r="O82" i="1"/>
  <c r="N82" i="1"/>
  <c r="M82" i="1"/>
  <c r="I82" i="1"/>
  <c r="L82" i="1"/>
  <c r="K82" i="1"/>
  <c r="O81" i="1"/>
  <c r="N81" i="1"/>
  <c r="M81" i="1"/>
  <c r="I81" i="1"/>
  <c r="L81" i="1"/>
  <c r="K81" i="1"/>
  <c r="O80" i="1"/>
  <c r="N80" i="1"/>
  <c r="M80" i="1"/>
  <c r="I80" i="1"/>
  <c r="L80" i="1"/>
  <c r="K80" i="1"/>
  <c r="O79" i="1"/>
  <c r="N79" i="1"/>
  <c r="M79" i="1"/>
  <c r="I79" i="1"/>
  <c r="L79" i="1"/>
  <c r="K79" i="1"/>
  <c r="K78" i="1"/>
  <c r="I78" i="1"/>
  <c r="M72" i="1"/>
  <c r="O72" i="1"/>
  <c r="I72" i="1"/>
  <c r="J72" i="1"/>
  <c r="L72" i="1"/>
  <c r="M71" i="1"/>
  <c r="O71" i="1"/>
  <c r="I71" i="1"/>
  <c r="J71" i="1"/>
  <c r="L71" i="1"/>
  <c r="M70" i="1"/>
  <c r="O70" i="1"/>
  <c r="I70" i="1"/>
  <c r="J70" i="1"/>
  <c r="L70" i="1"/>
  <c r="M69" i="1"/>
  <c r="O69" i="1"/>
  <c r="I69" i="1"/>
  <c r="L69" i="1"/>
  <c r="M68" i="1"/>
  <c r="O68" i="1"/>
  <c r="I68" i="1"/>
  <c r="J68" i="1"/>
  <c r="L68" i="1"/>
  <c r="M67" i="1"/>
  <c r="O67" i="1"/>
  <c r="I67" i="1"/>
  <c r="L67" i="1"/>
  <c r="O66" i="1"/>
  <c r="I66" i="1"/>
  <c r="J66" i="1"/>
  <c r="L66" i="1"/>
  <c r="P65" i="1"/>
  <c r="L65" i="1"/>
  <c r="M64" i="1"/>
  <c r="O64" i="1"/>
  <c r="I64" i="1"/>
  <c r="L64" i="1"/>
  <c r="P63" i="1"/>
  <c r="O63" i="1"/>
  <c r="I63" i="1"/>
  <c r="L63" i="1"/>
  <c r="J62" i="1"/>
  <c r="I62" i="1"/>
  <c r="P61" i="1"/>
  <c r="M61" i="1"/>
  <c r="O61" i="1"/>
  <c r="I61" i="1"/>
  <c r="L61" i="1"/>
  <c r="I60" i="1"/>
  <c r="J60" i="1"/>
  <c r="L60" i="1"/>
  <c r="M59" i="1"/>
  <c r="O59" i="1"/>
  <c r="I59" i="1"/>
  <c r="J59" i="1"/>
  <c r="L59" i="1"/>
  <c r="M58" i="1"/>
  <c r="I58" i="1"/>
  <c r="L58" i="1"/>
  <c r="M57" i="1"/>
  <c r="O57" i="1"/>
  <c r="I57" i="1"/>
  <c r="L57" i="1"/>
  <c r="K52" i="1"/>
  <c r="K57" i="1"/>
  <c r="L56" i="1"/>
  <c r="K56" i="1"/>
  <c r="P55" i="1"/>
  <c r="M55" i="1"/>
  <c r="N55" i="1"/>
  <c r="O55" i="1"/>
  <c r="I55" i="1"/>
  <c r="L55" i="1"/>
  <c r="K55" i="1"/>
  <c r="P54" i="1"/>
  <c r="M54" i="1"/>
  <c r="O54" i="1"/>
  <c r="N54" i="1"/>
  <c r="I54" i="1"/>
  <c r="J54" i="1"/>
  <c r="L54" i="1"/>
  <c r="P53" i="1"/>
  <c r="M53" i="1"/>
  <c r="O53" i="1"/>
  <c r="N53" i="1"/>
  <c r="I53" i="1"/>
  <c r="J53" i="1"/>
  <c r="L53" i="1"/>
  <c r="P52" i="1"/>
  <c r="O52" i="1"/>
  <c r="L52" i="1"/>
  <c r="M51" i="1"/>
  <c r="O51" i="1"/>
  <c r="I51" i="1"/>
  <c r="L51" i="1"/>
  <c r="K51" i="1"/>
  <c r="M50" i="1"/>
  <c r="O50" i="1"/>
  <c r="I50" i="1"/>
  <c r="L50" i="1"/>
  <c r="P49" i="1"/>
  <c r="O49" i="1"/>
  <c r="N49" i="1"/>
  <c r="M49" i="1"/>
  <c r="I49" i="1"/>
  <c r="L49" i="1"/>
  <c r="K49" i="1"/>
  <c r="P48" i="1"/>
  <c r="M48" i="1"/>
  <c r="O48" i="1"/>
  <c r="N48" i="1"/>
  <c r="I48" i="1"/>
  <c r="L48" i="1"/>
  <c r="K48" i="1"/>
  <c r="I47" i="1"/>
  <c r="J47" i="1"/>
  <c r="L47" i="1"/>
  <c r="K47" i="1"/>
  <c r="P46" i="1"/>
  <c r="M46" i="1"/>
  <c r="O46" i="1"/>
  <c r="N46" i="1"/>
  <c r="I46" i="1"/>
  <c r="L46" i="1"/>
  <c r="P45" i="1"/>
  <c r="M45" i="1"/>
  <c r="O45" i="1"/>
  <c r="I45" i="1"/>
  <c r="L45" i="1"/>
  <c r="I44" i="1"/>
  <c r="L44" i="1"/>
  <c r="K44" i="1"/>
  <c r="P43" i="1"/>
  <c r="M43" i="1"/>
  <c r="O43" i="1"/>
  <c r="J43" i="1"/>
  <c r="L43" i="1"/>
  <c r="K43" i="1"/>
  <c r="N42" i="1"/>
  <c r="I42" i="1"/>
  <c r="L42" i="1"/>
  <c r="K42" i="1"/>
  <c r="I41" i="1"/>
  <c r="L41" i="1"/>
  <c r="K41" i="1"/>
  <c r="P40" i="1"/>
  <c r="M40" i="1"/>
  <c r="O40" i="1"/>
  <c r="N40" i="1"/>
  <c r="I40" i="1"/>
  <c r="L40" i="1"/>
  <c r="P39" i="1"/>
  <c r="O39" i="1"/>
  <c r="M39" i="1"/>
  <c r="I39" i="1"/>
  <c r="J39" i="1"/>
  <c r="L39" i="1"/>
  <c r="I38" i="1"/>
  <c r="J38" i="1"/>
  <c r="L38" i="1"/>
  <c r="K38" i="1"/>
  <c r="I37" i="1"/>
  <c r="J37" i="1"/>
  <c r="L37" i="1"/>
  <c r="K37" i="1"/>
  <c r="I36" i="1"/>
  <c r="J36" i="1"/>
  <c r="L36" i="1"/>
  <c r="K36" i="1"/>
  <c r="I35" i="1"/>
  <c r="J35" i="1"/>
  <c r="L35" i="1"/>
  <c r="K35" i="1"/>
  <c r="I34" i="1"/>
  <c r="L34" i="1"/>
  <c r="K34" i="1"/>
  <c r="I33" i="1"/>
  <c r="L33" i="1"/>
  <c r="K33" i="1"/>
  <c r="P32" i="1"/>
  <c r="M32" i="1"/>
  <c r="O32" i="1"/>
  <c r="N32" i="1"/>
  <c r="I32" i="1"/>
  <c r="J32" i="1"/>
  <c r="L32" i="1"/>
  <c r="K32" i="1"/>
  <c r="P31" i="1"/>
  <c r="M31" i="1"/>
  <c r="O31" i="1"/>
  <c r="N31" i="1"/>
  <c r="I31" i="1"/>
  <c r="J31" i="1"/>
  <c r="L31" i="1"/>
  <c r="K31" i="1"/>
  <c r="P30" i="1"/>
  <c r="M30" i="1"/>
  <c r="O30" i="1"/>
  <c r="N30" i="1"/>
  <c r="I30" i="1"/>
  <c r="J30" i="1"/>
  <c r="L30" i="1"/>
  <c r="K30" i="1"/>
  <c r="P29" i="1"/>
  <c r="N29" i="1"/>
  <c r="M29" i="1"/>
  <c r="O29" i="1"/>
  <c r="I29" i="1"/>
  <c r="L29" i="1"/>
  <c r="K29" i="1"/>
  <c r="P28" i="1"/>
  <c r="M28" i="1"/>
  <c r="O28" i="1"/>
  <c r="N28" i="1"/>
  <c r="I28" i="1"/>
  <c r="L28" i="1"/>
  <c r="K28" i="1"/>
  <c r="J27" i="1"/>
  <c r="L27" i="1"/>
  <c r="K27" i="1"/>
  <c r="M26" i="1"/>
  <c r="O26" i="1"/>
  <c r="N26" i="1"/>
  <c r="I26" i="1"/>
  <c r="L26" i="1"/>
  <c r="P25" i="1"/>
  <c r="M25" i="1"/>
  <c r="O25" i="1"/>
  <c r="N25" i="1"/>
  <c r="I25" i="1"/>
  <c r="J25" i="1"/>
  <c r="L25" i="1"/>
  <c r="K25" i="1"/>
  <c r="I24" i="1"/>
  <c r="J24" i="1"/>
  <c r="L24" i="1"/>
  <c r="I23" i="1"/>
  <c r="L23" i="1"/>
  <c r="P22" i="1"/>
  <c r="O22" i="1"/>
  <c r="M22" i="1"/>
  <c r="I22" i="1"/>
  <c r="L22" i="1"/>
  <c r="I21" i="1"/>
  <c r="J21" i="1"/>
  <c r="L21" i="1"/>
  <c r="M20" i="1"/>
  <c r="I20" i="1"/>
  <c r="L20" i="1"/>
  <c r="M19" i="1"/>
  <c r="I19" i="1"/>
  <c r="J19" i="1"/>
  <c r="L19" i="1"/>
  <c r="I18" i="1"/>
  <c r="L18" i="1"/>
  <c r="M17" i="1"/>
  <c r="I17" i="1"/>
  <c r="L17" i="1"/>
  <c r="M16" i="1"/>
  <c r="I16" i="1"/>
  <c r="J16" i="1"/>
  <c r="L16" i="1"/>
  <c r="P15" i="1"/>
  <c r="O15" i="1"/>
  <c r="M15" i="1"/>
  <c r="I15" i="1"/>
  <c r="L15" i="1"/>
  <c r="P14" i="1"/>
  <c r="O14" i="1"/>
  <c r="N14" i="1"/>
  <c r="M14" i="1"/>
  <c r="L14" i="1"/>
  <c r="K14" i="1"/>
  <c r="P13" i="1"/>
  <c r="I13" i="1"/>
  <c r="L13" i="1"/>
  <c r="K13" i="1"/>
  <c r="I12" i="1"/>
  <c r="L12" i="1"/>
  <c r="K12" i="1"/>
  <c r="O11" i="1"/>
  <c r="M11" i="1"/>
  <c r="I11" i="1"/>
  <c r="L11" i="1"/>
  <c r="P10" i="1"/>
  <c r="O10" i="1"/>
  <c r="M10" i="1"/>
  <c r="I10" i="1"/>
  <c r="L10" i="1"/>
  <c r="M9" i="1"/>
  <c r="I9" i="1"/>
  <c r="L9" i="1"/>
  <c r="M8" i="1"/>
  <c r="O8" i="1"/>
  <c r="I8" i="1"/>
  <c r="L8" i="1"/>
  <c r="O7" i="1"/>
  <c r="I7" i="1"/>
  <c r="L7" i="1"/>
  <c r="P6" i="1"/>
  <c r="M6" i="1"/>
  <c r="O6" i="1"/>
  <c r="N6" i="1"/>
  <c r="I6" i="1"/>
  <c r="J6" i="1"/>
  <c r="L6" i="1"/>
  <c r="P5" i="1"/>
  <c r="N5" i="1"/>
  <c r="M5" i="1"/>
  <c r="O5" i="1"/>
  <c r="I4" i="1"/>
  <c r="I5" i="1"/>
  <c r="J5" i="1"/>
  <c r="L5" i="1"/>
  <c r="P4" i="1"/>
  <c r="N4" i="1"/>
  <c r="M4" i="1"/>
  <c r="O4" i="1"/>
  <c r="J4" i="1"/>
  <c r="L4" i="1"/>
  <c r="P3" i="1"/>
  <c r="N3" i="1"/>
  <c r="M3" i="1"/>
  <c r="O3" i="1"/>
  <c r="I3" i="1"/>
  <c r="J3" i="1"/>
  <c r="L3" i="1"/>
  <c r="P2" i="1"/>
  <c r="N2" i="1"/>
  <c r="M2" i="1"/>
  <c r="O2" i="1"/>
  <c r="I2" i="1"/>
  <c r="J2" i="1"/>
  <c r="L2" i="1"/>
</calcChain>
</file>

<file path=xl/comments1.xml><?xml version="1.0" encoding="utf-8"?>
<comments xmlns="http://schemas.openxmlformats.org/spreadsheetml/2006/main">
  <authors>
    <author>Lyndon Estes</author>
    <author>Labeeb</author>
    <author>LA</author>
    <author>ges_student</author>
    <author>Jason</author>
    <author>Paul R. Elsen</author>
    <author/>
    <author>Paul Elsen</author>
  </authors>
  <commentList>
    <comment ref="D1" authorId="0">
      <text>
        <r>
          <rPr>
            <b/>
            <sz val="9"/>
            <color indexed="81"/>
            <rFont val="Calibri"/>
            <family val="2"/>
          </rPr>
          <t>Lyndon Estes:</t>
        </r>
        <r>
          <rPr>
            <sz val="9"/>
            <color indexed="81"/>
            <rFont val="Calibri"/>
            <family val="2"/>
          </rPr>
          <t xml:space="preserve">
Notes on changes/deletions
27/5/2016: For some reason Paul had 10.1007/s00442-012-2366-0 in his draw, so I deleted record here
</t>
        </r>
      </text>
    </comment>
    <comment ref="J2" authorId="0">
      <text>
        <r>
          <rPr>
            <b/>
            <sz val="9"/>
            <color indexed="81"/>
            <rFont val="Arial"/>
          </rPr>
          <t>Lyndon Estes:</t>
        </r>
        <r>
          <rPr>
            <sz val="9"/>
            <color indexed="81"/>
            <rFont val="Arial"/>
          </rPr>
          <t xml:space="preserve">
6 sample plots on 4 bogs, 4 on the intact one</t>
        </r>
      </text>
    </comment>
    <comment ref="K2" authorId="0">
      <text>
        <r>
          <rPr>
            <b/>
            <sz val="9"/>
            <color indexed="81"/>
            <rFont val="Calibri"/>
            <family val="2"/>
          </rPr>
          <t>Lyndon Estes:</t>
        </r>
        <r>
          <rPr>
            <sz val="9"/>
            <color indexed="81"/>
            <rFont val="Calibri"/>
            <family val="2"/>
          </rPr>
          <t xml:space="preserve">
area around coordinates for fens provided extent, calcualted in R</t>
        </r>
      </text>
    </comment>
    <comment ref="O2" authorId="0">
      <text>
        <r>
          <rPr>
            <b/>
            <sz val="9"/>
            <color indexed="81"/>
            <rFont val="Arial"/>
          </rPr>
          <t>Lyndon Estes:</t>
        </r>
        <r>
          <rPr>
            <sz val="9"/>
            <color indexed="81"/>
            <rFont val="Arial"/>
          </rPr>
          <t xml:space="preserve">
assume average of 17.5 days between sample, and sampling season was 152 days, gives number of vists per season, times samp_duration, times n season</t>
        </r>
      </text>
    </comment>
    <comment ref="I3" authorId="0">
      <text>
        <r>
          <rPr>
            <b/>
            <sz val="9"/>
            <color indexed="81"/>
            <rFont val="Arial"/>
          </rPr>
          <t>Lyndon Estes:</t>
        </r>
        <r>
          <rPr>
            <sz val="9"/>
            <color indexed="81"/>
            <rFont val="Arial"/>
          </rPr>
          <t xml:space="preserve">
assume 10 cm radius well</t>
        </r>
      </text>
    </comment>
    <comment ref="J3" authorId="0">
      <text>
        <r>
          <rPr>
            <b/>
            <sz val="9"/>
            <color indexed="81"/>
            <rFont val="Arial"/>
          </rPr>
          <t>Lyndon Estes:</t>
        </r>
        <r>
          <rPr>
            <sz val="9"/>
            <color indexed="81"/>
            <rFont val="Arial"/>
          </rPr>
          <t xml:space="preserve">
6 sample plots on 4 bogs, 4 on the intact one</t>
        </r>
      </text>
    </comment>
    <comment ref="K3" authorId="0">
      <text>
        <r>
          <rPr>
            <b/>
            <sz val="9"/>
            <color indexed="81"/>
            <rFont val="Calibri"/>
            <family val="2"/>
          </rPr>
          <t>Lyndon Estes:</t>
        </r>
        <r>
          <rPr>
            <sz val="9"/>
            <color indexed="81"/>
            <rFont val="Calibri"/>
            <family val="2"/>
          </rPr>
          <t xml:space="preserve">
area around coordinates for fens provided extent, calcualted in R</t>
        </r>
      </text>
    </comment>
    <comment ref="O3" authorId="0">
      <text>
        <r>
          <rPr>
            <b/>
            <sz val="9"/>
            <color indexed="81"/>
            <rFont val="Arial"/>
          </rPr>
          <t>Lyndon Estes:</t>
        </r>
        <r>
          <rPr>
            <sz val="9"/>
            <color indexed="81"/>
            <rFont val="Arial"/>
          </rPr>
          <t xml:space="preserve">
assume average of 17.5 days between sample, and sampling season was 152 days, gives number of vists per season, times samp_duration, times n season</t>
        </r>
      </text>
    </comment>
    <comment ref="I4" authorId="0">
      <text>
        <r>
          <rPr>
            <b/>
            <sz val="9"/>
            <color indexed="81"/>
            <rFont val="Arial"/>
          </rPr>
          <t>Lyndon Estes:</t>
        </r>
        <r>
          <rPr>
            <sz val="9"/>
            <color indexed="81"/>
            <rFont val="Arial"/>
          </rPr>
          <t xml:space="preserve">
assume 1 cm radius temp measurements</t>
        </r>
      </text>
    </comment>
    <comment ref="J4" authorId="0">
      <text>
        <r>
          <rPr>
            <b/>
            <sz val="9"/>
            <color indexed="81"/>
            <rFont val="Arial"/>
          </rPr>
          <t>Lyndon Estes:</t>
        </r>
        <r>
          <rPr>
            <sz val="9"/>
            <color indexed="81"/>
            <rFont val="Arial"/>
          </rPr>
          <t xml:space="preserve">
6 sample plots on 4 bogs, 4 on the intact one</t>
        </r>
      </text>
    </comment>
    <comment ref="K4" authorId="0">
      <text>
        <r>
          <rPr>
            <b/>
            <sz val="9"/>
            <color indexed="81"/>
            <rFont val="Calibri"/>
            <family val="2"/>
          </rPr>
          <t>Lyndon Estes:</t>
        </r>
        <r>
          <rPr>
            <sz val="9"/>
            <color indexed="81"/>
            <rFont val="Calibri"/>
            <family val="2"/>
          </rPr>
          <t xml:space="preserve">
area around coordinates for fens provided extent, calcualted in R</t>
        </r>
      </text>
    </comment>
    <comment ref="O4" authorId="0">
      <text>
        <r>
          <rPr>
            <b/>
            <sz val="9"/>
            <color indexed="81"/>
            <rFont val="Arial"/>
          </rPr>
          <t>Lyndon Estes:</t>
        </r>
        <r>
          <rPr>
            <sz val="9"/>
            <color indexed="81"/>
            <rFont val="Arial"/>
          </rPr>
          <t xml:space="preserve">
assume average of 17.5 days between sample, and sampling season was 152 days, gives number of vists per season, times samp_duration, times n season</t>
        </r>
      </text>
    </comment>
    <comment ref="I5" authorId="0">
      <text>
        <r>
          <rPr>
            <b/>
            <sz val="9"/>
            <color indexed="81"/>
            <rFont val="Arial"/>
          </rPr>
          <t>Lyndon Estes:</t>
        </r>
        <r>
          <rPr>
            <sz val="9"/>
            <color indexed="81"/>
            <rFont val="Arial"/>
          </rPr>
          <t xml:space="preserve">
assume weather station is a point sample</t>
        </r>
      </text>
    </comment>
    <comment ref="K5" authorId="0">
      <text>
        <r>
          <rPr>
            <b/>
            <sz val="9"/>
            <color indexed="81"/>
            <rFont val="Calibri"/>
            <family val="2"/>
          </rPr>
          <t>Lyndon Estes:</t>
        </r>
        <r>
          <rPr>
            <sz val="9"/>
            <color indexed="81"/>
            <rFont val="Calibri"/>
            <family val="2"/>
          </rPr>
          <t xml:space="preserve">
"polygon" between two weather station coordinates (calculated in R), with 0.01 dd added to make a polygon, not just line</t>
        </r>
      </text>
    </comment>
    <comment ref="N5" authorId="0">
      <text>
        <r>
          <rPr>
            <b/>
            <sz val="9"/>
            <color indexed="81"/>
            <rFont val="Arial"/>
          </rPr>
          <t>Lyndon Estes:</t>
        </r>
        <r>
          <rPr>
            <sz val="9"/>
            <color indexed="81"/>
            <rFont val="Arial"/>
          </rPr>
          <t xml:space="preserve">
assume 1/2 hour between readings</t>
        </r>
      </text>
    </comment>
    <comment ref="O5" authorId="0">
      <text>
        <r>
          <rPr>
            <b/>
            <sz val="9"/>
            <color indexed="81"/>
            <rFont val="Arial"/>
          </rPr>
          <t>Lyndon Estes:</t>
        </r>
        <r>
          <rPr>
            <sz val="9"/>
            <color indexed="81"/>
            <rFont val="Arial"/>
          </rPr>
          <t xml:space="preserve">
assume average of 17.5 days between sample, and sampling season was 152 days, gives number of vists per season, times samp_duration, times n season</t>
        </r>
      </text>
    </comment>
    <comment ref="I6" authorId="0">
      <text>
        <r>
          <rPr>
            <b/>
            <sz val="9"/>
            <color indexed="81"/>
            <rFont val="Arial"/>
          </rPr>
          <t>Lyndon Estes:</t>
        </r>
        <r>
          <rPr>
            <sz val="9"/>
            <color indexed="81"/>
            <rFont val="Arial"/>
          </rPr>
          <t xml:space="preserve">
assume 10 cm diameter core</t>
        </r>
      </text>
    </comment>
    <comment ref="K6" authorId="0">
      <text>
        <r>
          <rPr>
            <b/>
            <sz val="9"/>
            <color indexed="81"/>
            <rFont val="Calibri"/>
            <family val="2"/>
          </rPr>
          <t>Lyndon Estes:</t>
        </r>
        <r>
          <rPr>
            <sz val="9"/>
            <color indexed="81"/>
            <rFont val="Calibri"/>
            <family val="2"/>
          </rPr>
          <t xml:space="preserve">
area around coordinates for fens provided extent, calcualted in R</t>
        </r>
      </text>
    </comment>
    <comment ref="M6" authorId="0">
      <text>
        <r>
          <rPr>
            <b/>
            <sz val="9"/>
            <color indexed="81"/>
            <rFont val="Arial"/>
          </rPr>
          <t>Lyndon Estes:</t>
        </r>
        <r>
          <rPr>
            <sz val="9"/>
            <color indexed="81"/>
            <rFont val="Arial"/>
          </rPr>
          <t xml:space="preserve">
4 weeks assigned because they let them sit for that long</t>
        </r>
      </text>
    </comment>
    <comment ref="F7" authorId="0">
      <text>
        <r>
          <rPr>
            <b/>
            <sz val="9"/>
            <color indexed="81"/>
            <rFont val="Calibri"/>
            <family val="2"/>
          </rPr>
          <t>Lyndon Estes:</t>
        </r>
        <r>
          <rPr>
            <sz val="9"/>
            <color indexed="81"/>
            <rFont val="Calibri"/>
            <family val="2"/>
          </rPr>
          <t xml:space="preserve">
Corrected on 12 Jan, 2017, because they were using automated activity recording</t>
        </r>
      </text>
    </comment>
    <comment ref="I7" authorId="0">
      <text>
        <r>
          <rPr>
            <b/>
            <sz val="9"/>
            <color indexed="81"/>
            <rFont val="Arial"/>
          </rPr>
          <t>Lyndon Estes:</t>
        </r>
        <r>
          <rPr>
            <sz val="9"/>
            <color indexed="81"/>
            <rFont val="Arial"/>
          </rPr>
          <t xml:space="preserve">
assume bird is sample resolution, with 6 cm diameter</t>
        </r>
      </text>
    </comment>
    <comment ref="J7" authorId="0">
      <text>
        <r>
          <rPr>
            <b/>
            <sz val="9"/>
            <color indexed="81"/>
            <rFont val="Arial"/>
          </rPr>
          <t>Lyndon Estes:</t>
        </r>
        <r>
          <rPr>
            <sz val="9"/>
            <color indexed="81"/>
            <rFont val="Arial"/>
          </rPr>
          <t xml:space="preserve">
I count 39 birds in results contributing to data</t>
        </r>
      </text>
    </comment>
    <comment ref="K7" authorId="0">
      <text>
        <r>
          <rPr>
            <b/>
            <sz val="9"/>
            <color indexed="81"/>
            <rFont val="Calibri"/>
            <family val="2"/>
          </rPr>
          <t>Lyndon Estes:</t>
        </r>
        <r>
          <rPr>
            <sz val="9"/>
            <color indexed="81"/>
            <rFont val="Calibri"/>
            <family val="2"/>
          </rPr>
          <t xml:space="preserve">
study site given as 2 km2. Did birds leave this?  Was all of it covered? 
</t>
        </r>
      </text>
    </comment>
    <comment ref="M7" authorId="0">
      <text>
        <r>
          <rPr>
            <b/>
            <sz val="9"/>
            <color indexed="81"/>
            <rFont val="Arial"/>
          </rPr>
          <t>Lyndon Estes:</t>
        </r>
        <r>
          <rPr>
            <sz val="9"/>
            <color indexed="81"/>
            <rFont val="Arial"/>
          </rPr>
          <t xml:space="preserve">
assume 5 seconds to scan channels</t>
        </r>
      </text>
    </comment>
    <comment ref="N7" authorId="0">
      <text>
        <r>
          <rPr>
            <b/>
            <sz val="9"/>
            <color indexed="81"/>
            <rFont val="Arial"/>
          </rPr>
          <t>Lyndon Estes:</t>
        </r>
        <r>
          <rPr>
            <sz val="9"/>
            <color indexed="81"/>
            <rFont val="Arial"/>
          </rPr>
          <t xml:space="preserve">
assume 1 minunte between samples</t>
        </r>
      </text>
    </comment>
    <comment ref="O7" authorId="0">
      <text>
        <r>
          <rPr>
            <b/>
            <sz val="9"/>
            <color indexed="81"/>
            <rFont val="Arial"/>
          </rPr>
          <t>Lyndon Estes:</t>
        </r>
        <r>
          <rPr>
            <sz val="9"/>
            <color indexed="81"/>
            <rFont val="Arial"/>
          </rPr>
          <t xml:space="preserve">
28/3/2016: Remove 46+41 estimate, which was more like study_span, and changed to 130 * samp_duration, because birds were observed every 30 minutes every 1 minute
</t>
        </r>
      </text>
    </comment>
    <comment ref="F8" authorId="0">
      <text>
        <r>
          <rPr>
            <b/>
            <sz val="9"/>
            <color indexed="81"/>
            <rFont val="Arial"/>
          </rPr>
          <t>Lyndon Estes:</t>
        </r>
        <r>
          <rPr>
            <sz val="9"/>
            <color indexed="81"/>
            <rFont val="Arial"/>
          </rPr>
          <t xml:space="preserve">
8/12/15: corrected to field study</t>
        </r>
      </text>
    </comment>
    <comment ref="I8" authorId="0">
      <text>
        <r>
          <rPr>
            <b/>
            <sz val="9"/>
            <color indexed="81"/>
            <rFont val="Arial"/>
          </rPr>
          <t>Lyndon Estes:</t>
        </r>
        <r>
          <rPr>
            <sz val="9"/>
            <color indexed="81"/>
            <rFont val="Arial"/>
          </rPr>
          <t xml:space="preserve">
assume bird is sample resolution, with 6 cm diameter</t>
        </r>
      </text>
    </comment>
    <comment ref="K8" authorId="0">
      <text>
        <r>
          <rPr>
            <b/>
            <sz val="9"/>
            <color indexed="81"/>
            <rFont val="Calibri"/>
            <family val="2"/>
          </rPr>
          <t>Lyndon Estes:</t>
        </r>
        <r>
          <rPr>
            <sz val="9"/>
            <color indexed="81"/>
            <rFont val="Calibri"/>
            <family val="2"/>
          </rPr>
          <t xml:space="preserve">
study site given as 2 km2. Did birds leave this?  Was all of it covered? 
</t>
        </r>
      </text>
    </comment>
    <comment ref="M8" authorId="0">
      <text>
        <r>
          <rPr>
            <b/>
            <sz val="9"/>
            <color indexed="81"/>
            <rFont val="Arial"/>
          </rPr>
          <t>Lyndon Estes:</t>
        </r>
        <r>
          <rPr>
            <sz val="9"/>
            <color indexed="81"/>
            <rFont val="Arial"/>
          </rPr>
          <t xml:space="preserve">
assume 1 minute to draw blood</t>
        </r>
      </text>
    </comment>
    <comment ref="N8" authorId="0">
      <text>
        <r>
          <rPr>
            <b/>
            <sz val="9"/>
            <color indexed="81"/>
            <rFont val="Arial"/>
          </rPr>
          <t>Lyndon Estes:</t>
        </r>
        <r>
          <rPr>
            <sz val="9"/>
            <color indexed="81"/>
            <rFont val="Arial"/>
          </rPr>
          <t xml:space="preserve">
assume 1 minunte between samples</t>
        </r>
      </text>
    </comment>
    <comment ref="I9" authorId="0">
      <text>
        <r>
          <rPr>
            <b/>
            <sz val="9"/>
            <color indexed="81"/>
            <rFont val="Arial"/>
          </rPr>
          <t>Lyndon Estes:</t>
        </r>
        <r>
          <rPr>
            <sz val="9"/>
            <color indexed="81"/>
            <rFont val="Arial"/>
          </rPr>
          <t xml:space="preserve">
assume 1.5 m long snake on average of 20 cm width
</t>
        </r>
      </text>
    </comment>
    <comment ref="K9" authorId="0">
      <text>
        <r>
          <rPr>
            <b/>
            <sz val="9"/>
            <color indexed="81"/>
            <rFont val="Calibri"/>
            <family val="2"/>
          </rPr>
          <t>Lyndon Estes:</t>
        </r>
        <r>
          <rPr>
            <sz val="9"/>
            <color indexed="81"/>
            <rFont val="Calibri"/>
            <family val="2"/>
          </rPr>
          <t xml:space="preserve">
Area of nature reserve in which study conducted (Foggs Dam).  From wikipedia</t>
        </r>
      </text>
    </comment>
    <comment ref="M9" authorId="0">
      <text>
        <r>
          <rPr>
            <b/>
            <sz val="9"/>
            <color indexed="81"/>
            <rFont val="Arial"/>
          </rPr>
          <t>Lyndon Estes:</t>
        </r>
        <r>
          <rPr>
            <sz val="9"/>
            <color indexed="81"/>
            <rFont val="Arial"/>
          </rPr>
          <t xml:space="preserve">
caught at night, released next morning</t>
        </r>
      </text>
    </comment>
    <comment ref="O9" authorId="0">
      <text>
        <r>
          <rPr>
            <b/>
            <sz val="9"/>
            <color indexed="81"/>
            <rFont val="Arial"/>
          </rPr>
          <t>Lyndon Estes:</t>
        </r>
        <r>
          <rPr>
            <sz val="9"/>
            <color indexed="81"/>
            <rFont val="Arial"/>
          </rPr>
          <t xml:space="preserve">
Study duration only as long as time to sample one python</t>
        </r>
      </text>
    </comment>
    <comment ref="P9" authorId="0">
      <text>
        <r>
          <rPr>
            <b/>
            <sz val="9"/>
            <color indexed="81"/>
            <rFont val="Arial"/>
          </rPr>
          <t>Lyndon Estes:</t>
        </r>
        <r>
          <rPr>
            <sz val="9"/>
            <color indexed="81"/>
            <rFont val="Arial"/>
          </rPr>
          <t xml:space="preserve">
2001-2003
11/4/2017: Changed from 365*2 to same as act_dur, as this was treated as once-off, even if snakes from different dates examined
</t>
        </r>
      </text>
    </comment>
    <comment ref="I10" authorId="0">
      <text>
        <r>
          <rPr>
            <b/>
            <sz val="9"/>
            <color indexed="81"/>
            <rFont val="Arial"/>
          </rPr>
          <t>Lyndon Estes:</t>
        </r>
        <r>
          <rPr>
            <sz val="9"/>
            <color indexed="81"/>
            <rFont val="Arial"/>
          </rPr>
          <t xml:space="preserve">
assume 1.5 m long snake on average of 20 cm width
</t>
        </r>
      </text>
    </comment>
    <comment ref="K10" authorId="0">
      <text>
        <r>
          <rPr>
            <b/>
            <sz val="9"/>
            <color indexed="81"/>
            <rFont val="Calibri"/>
            <family val="2"/>
          </rPr>
          <t>Lyndon Estes:</t>
        </r>
        <r>
          <rPr>
            <sz val="9"/>
            <color indexed="81"/>
            <rFont val="Calibri"/>
            <family val="2"/>
          </rPr>
          <t xml:space="preserve">
Area of nature reserve in which study conducted (Foggs Dam).  From wikipedia</t>
        </r>
      </text>
    </comment>
    <comment ref="M10" authorId="0">
      <text>
        <r>
          <rPr>
            <b/>
            <sz val="9"/>
            <color indexed="81"/>
            <rFont val="Arial"/>
          </rPr>
          <t>Lyndon Estes:</t>
        </r>
        <r>
          <rPr>
            <sz val="9"/>
            <color indexed="81"/>
            <rFont val="Arial"/>
          </rPr>
          <t xml:space="preserve">
caught at night, released next morning</t>
        </r>
      </text>
    </comment>
    <comment ref="O10" authorId="0">
      <text>
        <r>
          <rPr>
            <b/>
            <sz val="9"/>
            <color indexed="81"/>
            <rFont val="Arial"/>
          </rPr>
          <t>Lyndon Estes:</t>
        </r>
        <r>
          <rPr>
            <sz val="9"/>
            <color indexed="81"/>
            <rFont val="Arial"/>
          </rPr>
          <t xml:space="preserve">
Study duration only as long as time to sample one python, and these were sampled twice</t>
        </r>
      </text>
    </comment>
    <comment ref="P10" authorId="0">
      <text>
        <r>
          <rPr>
            <b/>
            <sz val="9"/>
            <color indexed="81"/>
            <rFont val="Arial"/>
          </rPr>
          <t>Lyndon Estes:</t>
        </r>
        <r>
          <rPr>
            <sz val="9"/>
            <color indexed="81"/>
            <rFont val="Arial"/>
          </rPr>
          <t xml:space="preserve">
2001-2003</t>
        </r>
      </text>
    </comment>
    <comment ref="I11" authorId="0">
      <text>
        <r>
          <rPr>
            <b/>
            <sz val="9"/>
            <color indexed="81"/>
            <rFont val="Arial"/>
          </rPr>
          <t>Lyndon Estes:</t>
        </r>
        <r>
          <rPr>
            <sz val="9"/>
            <color indexed="81"/>
            <rFont val="Arial"/>
          </rPr>
          <t xml:space="preserve">
assume 1.5 m long snake on average of 20 cm width
</t>
        </r>
      </text>
    </comment>
    <comment ref="K11" authorId="0">
      <text>
        <r>
          <rPr>
            <b/>
            <sz val="9"/>
            <color indexed="81"/>
            <rFont val="Calibri"/>
            <family val="2"/>
          </rPr>
          <t>Lyndon Estes:</t>
        </r>
        <r>
          <rPr>
            <sz val="9"/>
            <color indexed="81"/>
            <rFont val="Calibri"/>
            <family val="2"/>
          </rPr>
          <t xml:space="preserve">
Area of nature reserve in which study conducted (Foggs Dam).  From wikipedia</t>
        </r>
      </text>
    </comment>
    <comment ref="M11" authorId="0">
      <text>
        <r>
          <rPr>
            <b/>
            <sz val="9"/>
            <color indexed="81"/>
            <rFont val="Arial"/>
          </rPr>
          <t>Lyndon Estes:</t>
        </r>
        <r>
          <rPr>
            <sz val="9"/>
            <color indexed="81"/>
            <rFont val="Arial"/>
          </rPr>
          <t xml:space="preserve">
caught at night, released next morning</t>
        </r>
      </text>
    </comment>
    <comment ref="N11" authorId="0">
      <text>
        <r>
          <rPr>
            <b/>
            <sz val="9"/>
            <color indexed="81"/>
            <rFont val="Arial"/>
          </rPr>
          <t>Lyndon Estes:</t>
        </r>
        <r>
          <rPr>
            <sz val="9"/>
            <color indexed="81"/>
            <rFont val="Arial"/>
          </rPr>
          <t xml:space="preserve">
sampled twice within a month. Assume 15 days between sample
</t>
        </r>
      </text>
    </comment>
    <comment ref="O11" authorId="0">
      <text>
        <r>
          <rPr>
            <b/>
            <sz val="9"/>
            <color indexed="81"/>
            <rFont val="Arial"/>
          </rPr>
          <t>Lyndon Estes:</t>
        </r>
        <r>
          <rPr>
            <sz val="9"/>
            <color indexed="81"/>
            <rFont val="Arial"/>
          </rPr>
          <t xml:space="preserve">
Study duration only as long as time to sample one python, and these were sampled twice</t>
        </r>
      </text>
    </comment>
    <comment ref="P11" authorId="0">
      <text>
        <r>
          <rPr>
            <b/>
            <sz val="9"/>
            <color indexed="81"/>
            <rFont val="Arial"/>
          </rPr>
          <t>Lyndon Estes:</t>
        </r>
        <r>
          <rPr>
            <sz val="9"/>
            <color indexed="81"/>
            <rFont val="Arial"/>
          </rPr>
          <t xml:space="preserve">
2001-2003
11/4/2017: Changed from 365*2, because these just lasted one month, set to equal sampling interval</t>
        </r>
      </text>
    </comment>
    <comment ref="I12" authorId="0">
      <text>
        <r>
          <rPr>
            <b/>
            <sz val="9"/>
            <color indexed="81"/>
            <rFont val="Arial"/>
          </rPr>
          <t>Lyndon Estes:</t>
        </r>
        <r>
          <rPr>
            <sz val="9"/>
            <color indexed="81"/>
            <rFont val="Arial"/>
          </rPr>
          <t xml:space="preserve">
assume mean prey size of 0.5 m long and 0.2 m wide
</t>
        </r>
      </text>
    </comment>
    <comment ref="K12" authorId="0">
      <text>
        <r>
          <rPr>
            <b/>
            <sz val="9"/>
            <color indexed="81"/>
            <rFont val="Calibri"/>
            <family val="2"/>
          </rPr>
          <t>Lyndon Estes:</t>
        </r>
        <r>
          <rPr>
            <sz val="9"/>
            <color indexed="81"/>
            <rFont val="Calibri"/>
            <family val="2"/>
          </rPr>
          <t xml:space="preserve">
Reported hunting area of 131 km2</t>
        </r>
      </text>
    </comment>
    <comment ref="M12" authorId="0">
      <text>
        <r>
          <rPr>
            <b/>
            <sz val="9"/>
            <color indexed="81"/>
            <rFont val="Arial"/>
          </rPr>
          <t>Lyndon Estes:</t>
        </r>
        <r>
          <rPr>
            <sz val="9"/>
            <color indexed="81"/>
            <rFont val="Arial"/>
          </rPr>
          <t xml:space="preserve">
Assume average of 1 day to capture animal</t>
        </r>
      </text>
    </comment>
    <comment ref="N12" authorId="0">
      <text>
        <r>
          <rPr>
            <b/>
            <sz val="9"/>
            <color indexed="81"/>
            <rFont val="Arial"/>
          </rPr>
          <t>Lyndon Estes:</t>
        </r>
        <r>
          <rPr>
            <sz val="9"/>
            <color indexed="81"/>
            <rFont val="Arial"/>
          </rPr>
          <t xml:space="preserve">
Treating each hunted animal as discrete sample</t>
        </r>
      </text>
    </comment>
    <comment ref="P12" authorId="0">
      <text>
        <r>
          <rPr>
            <b/>
            <sz val="9"/>
            <color indexed="81"/>
            <rFont val="Calibri"/>
            <family val="2"/>
          </rPr>
          <t>Lyndon Estes:</t>
        </r>
        <r>
          <rPr>
            <sz val="9"/>
            <color indexed="81"/>
            <rFont val="Calibri"/>
            <family val="2"/>
          </rPr>
          <t xml:space="preserve">
11/4/2017: Changed from 232 because unreplicated</t>
        </r>
      </text>
    </comment>
    <comment ref="I13" authorId="0">
      <text>
        <r>
          <rPr>
            <b/>
            <sz val="9"/>
            <color indexed="81"/>
            <rFont val="Arial"/>
          </rPr>
          <t>Lyndon Estes:</t>
        </r>
        <r>
          <rPr>
            <sz val="9"/>
            <color indexed="81"/>
            <rFont val="Arial"/>
          </rPr>
          <t xml:space="preserve">
assume weather station and range rain gauge have 0.5 m diameter</t>
        </r>
      </text>
    </comment>
    <comment ref="K13" authorId="0">
      <text>
        <r>
          <rPr>
            <b/>
            <sz val="9"/>
            <color indexed="81"/>
            <rFont val="Calibri"/>
            <family val="2"/>
          </rPr>
          <t>Lyndon Estes:</t>
        </r>
        <r>
          <rPr>
            <sz val="9"/>
            <color indexed="81"/>
            <rFont val="Calibri"/>
            <family val="2"/>
          </rPr>
          <t xml:space="preserve">
Looks like they just used main station measurements</t>
        </r>
      </text>
    </comment>
    <comment ref="M13" authorId="0">
      <text>
        <r>
          <rPr>
            <b/>
            <sz val="9"/>
            <color indexed="81"/>
            <rFont val="Calibri"/>
            <family val="2"/>
          </rPr>
          <t>Lyndon Estes:</t>
        </r>
        <r>
          <rPr>
            <sz val="9"/>
            <color indexed="81"/>
            <rFont val="Calibri"/>
            <family val="2"/>
          </rPr>
          <t xml:space="preserve">
11/4/2017: Monthly values were used, so this became the interval. Corrected here</t>
        </r>
      </text>
    </comment>
    <comment ref="N13" authorId="0">
      <text>
        <r>
          <rPr>
            <b/>
            <sz val="9"/>
            <color indexed="81"/>
            <rFont val="Calibri"/>
            <family val="2"/>
          </rPr>
          <t>Lyndon Estes:</t>
        </r>
        <r>
          <rPr>
            <sz val="9"/>
            <color indexed="81"/>
            <rFont val="Calibri"/>
            <family val="2"/>
          </rPr>
          <t xml:space="preserve">
11/4/2017: Monthly values were used, so this became the interval. Corrected here</t>
        </r>
      </text>
    </comment>
    <comment ref="I14" authorId="0">
      <text>
        <r>
          <rPr>
            <b/>
            <sz val="9"/>
            <color indexed="81"/>
            <rFont val="Arial"/>
          </rPr>
          <t>Lyndon Estes:</t>
        </r>
        <r>
          <rPr>
            <sz val="9"/>
            <color indexed="81"/>
            <rFont val="Arial"/>
          </rPr>
          <t xml:space="preserve">
Assume that runoff is from whole catchment, thus gauge gives resolution</t>
        </r>
      </text>
    </comment>
    <comment ref="O14" authorId="0">
      <text>
        <r>
          <rPr>
            <b/>
            <sz val="9"/>
            <color indexed="81"/>
            <rFont val="Arial"/>
          </rPr>
          <t>Lyndon Estes:</t>
        </r>
        <r>
          <rPr>
            <sz val="9"/>
            <color indexed="81"/>
            <rFont val="Arial"/>
          </rPr>
          <t xml:space="preserve">
assume each discharge reading is 1 second, happens every 15 minutes per day over 11 years</t>
        </r>
      </text>
    </comment>
    <comment ref="I15" authorId="0">
      <text>
        <r>
          <rPr>
            <b/>
            <sz val="9"/>
            <color indexed="81"/>
            <rFont val="Arial"/>
          </rPr>
          <t>Lyndon Estes:</t>
        </r>
        <r>
          <rPr>
            <sz val="9"/>
            <color indexed="81"/>
            <rFont val="Arial"/>
          </rPr>
          <t xml:space="preserve">
assume sampler for sediments is 5 cm diameter</t>
        </r>
      </text>
    </comment>
    <comment ref="K15" authorId="0">
      <text>
        <r>
          <rPr>
            <b/>
            <sz val="9"/>
            <color indexed="81"/>
            <rFont val="Calibri"/>
            <family val="2"/>
          </rPr>
          <t>Lyndon Estes:</t>
        </r>
        <r>
          <rPr>
            <sz val="9"/>
            <color indexed="81"/>
            <rFont val="Calibri"/>
            <family val="2"/>
          </rPr>
          <t xml:space="preserve">
Assume sediments representative of sediments from whole basin</t>
        </r>
      </text>
    </comment>
    <comment ref="O15" authorId="0">
      <text>
        <r>
          <rPr>
            <b/>
            <sz val="9"/>
            <color indexed="81"/>
            <rFont val="Arial"/>
          </rPr>
          <t>Lyndon Estes:</t>
        </r>
        <r>
          <rPr>
            <sz val="9"/>
            <color indexed="81"/>
            <rFont val="Arial"/>
          </rPr>
          <t xml:space="preserve">
assume each discharge reading is 1 second, happens every 15 minutes per day over 11 years</t>
        </r>
      </text>
    </comment>
    <comment ref="I16" authorId="0">
      <text>
        <r>
          <rPr>
            <b/>
            <sz val="9"/>
            <color indexed="81"/>
            <rFont val="Arial"/>
          </rPr>
          <t>Lyndon Estes:</t>
        </r>
        <r>
          <rPr>
            <sz val="9"/>
            <color indexed="81"/>
            <rFont val="Arial"/>
          </rPr>
          <t xml:space="preserve">
Assume grasses occupy 20X20 cm area</t>
        </r>
      </text>
    </comment>
    <comment ref="J16" authorId="0">
      <text>
        <r>
          <rPr>
            <b/>
            <sz val="9"/>
            <color indexed="81"/>
            <rFont val="Arial"/>
          </rPr>
          <t>Lyndon Estes:</t>
        </r>
        <r>
          <rPr>
            <sz val="9"/>
            <color indexed="81"/>
            <rFont val="Arial"/>
          </rPr>
          <t xml:space="preserve">
assume n_sites reflect number of plant of each species sampled (18 for one species, 10 for the other)</t>
        </r>
      </text>
    </comment>
    <comment ref="K16" authorId="0">
      <text>
        <r>
          <rPr>
            <b/>
            <sz val="9"/>
            <color indexed="81"/>
            <rFont val="Calibri"/>
            <family val="2"/>
          </rPr>
          <t>Lyndon Estes:</t>
        </r>
        <r>
          <rPr>
            <sz val="9"/>
            <color indexed="81"/>
            <rFont val="Calibri"/>
            <family val="2"/>
          </rPr>
          <t xml:space="preserve">
Calculated in spreadsheet from various online UCNAR maps, FWS maps, wikipedia mpages, to get size of reserves in ha. This will certainly overestimate area of sample, but far less so than if reserves were treated as points to onclose in polygon</t>
        </r>
      </text>
    </comment>
    <comment ref="M16" authorId="0">
      <text>
        <r>
          <rPr>
            <b/>
            <sz val="9"/>
            <color indexed="81"/>
            <rFont val="Arial"/>
          </rPr>
          <t>Lyndon Estes:</t>
        </r>
        <r>
          <rPr>
            <sz val="9"/>
            <color indexed="81"/>
            <rFont val="Arial"/>
          </rPr>
          <t xml:space="preserve">
Assume 1 minute to collect each plant</t>
        </r>
      </text>
    </comment>
    <comment ref="O16" authorId="0">
      <text>
        <r>
          <rPr>
            <b/>
            <sz val="9"/>
            <color indexed="81"/>
            <rFont val="Arial"/>
          </rPr>
          <t>Lyndon Estes:</t>
        </r>
        <r>
          <rPr>
            <sz val="9"/>
            <color indexed="81"/>
            <rFont val="Arial"/>
          </rPr>
          <t xml:space="preserve">
Assume 1 minute to collect each plant, so this is study duration</t>
        </r>
      </text>
    </comment>
    <comment ref="P16" authorId="0">
      <text>
        <r>
          <rPr>
            <b/>
            <sz val="9"/>
            <color indexed="81"/>
            <rFont val="Arial"/>
          </rPr>
          <t>Lyndon Estes:</t>
        </r>
        <r>
          <rPr>
            <sz val="9"/>
            <color indexed="81"/>
            <rFont val="Arial"/>
          </rPr>
          <t xml:space="preserve">
fieldwork done in May, 2006, thus assume 31 days
LDE: 11/4/2017. Changed to equal act_dur because these were once-off samples</t>
        </r>
      </text>
    </comment>
    <comment ref="K17" authorId="0">
      <text>
        <r>
          <rPr>
            <b/>
            <sz val="9"/>
            <color indexed="81"/>
            <rFont val="Calibri"/>
            <family val="2"/>
          </rPr>
          <t>Lyndon Estes:</t>
        </r>
        <r>
          <rPr>
            <sz val="9"/>
            <color indexed="81"/>
            <rFont val="Calibri"/>
            <family val="2"/>
          </rPr>
          <t xml:space="preserve">
Calculated in spreadsheet from various online UCNAR maps, FWS maps, wikipedia mpages, to get size of reserves in ha. This will certainly overestimate area of sample, but far less so than if reserves were treated as points to onclose in polygon</t>
        </r>
      </text>
    </comment>
    <comment ref="M17" authorId="0">
      <text>
        <r>
          <rPr>
            <b/>
            <sz val="9"/>
            <color indexed="81"/>
            <rFont val="Arial"/>
          </rPr>
          <t>Lyndon Estes:</t>
        </r>
        <r>
          <rPr>
            <sz val="9"/>
            <color indexed="81"/>
            <rFont val="Arial"/>
          </rPr>
          <t xml:space="preserve">
assume it takes  two hours to do one biomass sample</t>
        </r>
      </text>
    </comment>
    <comment ref="P17" authorId="0">
      <text>
        <r>
          <rPr>
            <b/>
            <sz val="9"/>
            <color indexed="81"/>
            <rFont val="Arial"/>
          </rPr>
          <t>Lyndon Estes:</t>
        </r>
        <r>
          <rPr>
            <sz val="9"/>
            <color indexed="81"/>
            <rFont val="Arial"/>
          </rPr>
          <t xml:space="preserve">
fieldwork done in May, 2006, thus assume 31 days
LDE: 11/4/2017. Changed to equal act_dur because these were once-off samples</t>
        </r>
      </text>
    </comment>
    <comment ref="K18" authorId="0">
      <text>
        <r>
          <rPr>
            <b/>
            <sz val="9"/>
            <color indexed="81"/>
            <rFont val="Calibri"/>
            <family val="2"/>
          </rPr>
          <t>Lyndon Estes:</t>
        </r>
        <r>
          <rPr>
            <sz val="9"/>
            <color indexed="81"/>
            <rFont val="Calibri"/>
            <family val="2"/>
          </rPr>
          <t xml:space="preserve">
Calculated in spreadsheet from various online UCNAR maps, FWS maps, wikipedia mpages, to get size of reserves in ha. This will certainly overestimate area of sample, but far less so than if reserves were treated as points to onclose in polygon</t>
        </r>
      </text>
    </comment>
    <comment ref="M18" authorId="0">
      <text>
        <r>
          <rPr>
            <b/>
            <sz val="9"/>
            <color indexed="81"/>
            <rFont val="Arial"/>
          </rPr>
          <t>Lyndon Estes:</t>
        </r>
        <r>
          <rPr>
            <sz val="9"/>
            <color indexed="81"/>
            <rFont val="Arial"/>
          </rPr>
          <t xml:space="preserve">
assume it takes 5 minutes to estimate areal cover</t>
        </r>
      </text>
    </comment>
    <comment ref="P18" authorId="0">
      <text>
        <r>
          <rPr>
            <b/>
            <sz val="9"/>
            <color indexed="81"/>
            <rFont val="Arial"/>
          </rPr>
          <t>Lyndon Estes:</t>
        </r>
        <r>
          <rPr>
            <sz val="9"/>
            <color indexed="81"/>
            <rFont val="Arial"/>
          </rPr>
          <t xml:space="preserve">
fieldwork done in May, 2006, thus assume 31 days
LDE: 11/4/2017. Changed to equal act_dur because these were once-off samples</t>
        </r>
      </text>
    </comment>
    <comment ref="I19" authorId="0">
      <text>
        <r>
          <rPr>
            <b/>
            <sz val="9"/>
            <color indexed="81"/>
            <rFont val="Arial"/>
          </rPr>
          <t>Lyndon Estes:</t>
        </r>
        <r>
          <rPr>
            <sz val="9"/>
            <color indexed="81"/>
            <rFont val="Arial"/>
          </rPr>
          <t xml:space="preserve">
assume 10 cm diameter core</t>
        </r>
      </text>
    </comment>
    <comment ref="K19" authorId="0">
      <text>
        <r>
          <rPr>
            <b/>
            <sz val="9"/>
            <color indexed="81"/>
            <rFont val="Calibri"/>
            <family val="2"/>
          </rPr>
          <t>Lyndon Estes:</t>
        </r>
        <r>
          <rPr>
            <sz val="9"/>
            <color indexed="81"/>
            <rFont val="Calibri"/>
            <family val="2"/>
          </rPr>
          <t xml:space="preserve">
Calculated in spreadsheet from various online UCNAR maps, FWS maps, wikipedia mpages, to get size of reserves in ha. This will certainly overestimate area of sample, but far less so than if reserves were treated as points to onclose in polygon</t>
        </r>
      </text>
    </comment>
    <comment ref="M19" authorId="0">
      <text>
        <r>
          <rPr>
            <b/>
            <sz val="9"/>
            <color indexed="81"/>
            <rFont val="Arial"/>
          </rPr>
          <t>Lyndon Estes:</t>
        </r>
        <r>
          <rPr>
            <sz val="9"/>
            <color indexed="81"/>
            <rFont val="Arial"/>
          </rPr>
          <t xml:space="preserve">
assume it takes  10 minutes to collect soil core</t>
        </r>
      </text>
    </comment>
    <comment ref="O19" authorId="0">
      <text>
        <r>
          <rPr>
            <b/>
            <sz val="9"/>
            <color indexed="81"/>
            <rFont val="Arial"/>
          </rPr>
          <t>Lyndon Estes:</t>
        </r>
        <r>
          <rPr>
            <sz val="9"/>
            <color indexed="81"/>
            <rFont val="Arial"/>
          </rPr>
          <t xml:space="preserve">
assume it takes  10 minutes to collect soil core</t>
        </r>
      </text>
    </comment>
    <comment ref="P19" authorId="0">
      <text>
        <r>
          <rPr>
            <b/>
            <sz val="9"/>
            <color indexed="81"/>
            <rFont val="Arial"/>
          </rPr>
          <t>Lyndon Estes:</t>
        </r>
        <r>
          <rPr>
            <sz val="9"/>
            <color indexed="81"/>
            <rFont val="Arial"/>
          </rPr>
          <t xml:space="preserve">
fieldwork done in May, 2006, thus assume 31 days
LDE: 11/4/2017. Changed to equal act_dur because these were once-off samples</t>
        </r>
      </text>
    </comment>
    <comment ref="I20" authorId="0">
      <text>
        <r>
          <rPr>
            <b/>
            <sz val="9"/>
            <color indexed="81"/>
            <rFont val="Calibri"/>
            <family val="2"/>
          </rPr>
          <t>Lyndon Estes:</t>
        </r>
        <r>
          <rPr>
            <sz val="9"/>
            <color indexed="81"/>
            <rFont val="Calibri"/>
            <family val="2"/>
          </rPr>
          <t xml:space="preserve">
average field size of 20 ha</t>
        </r>
      </text>
    </comment>
    <comment ref="J20" authorId="0">
      <text>
        <r>
          <rPr>
            <b/>
            <sz val="9"/>
            <color indexed="81"/>
            <rFont val="Calibri"/>
            <family val="2"/>
          </rPr>
          <t>Lyndon Estes:</t>
        </r>
        <r>
          <rPr>
            <sz val="9"/>
            <color indexed="81"/>
            <rFont val="Calibri"/>
            <family val="2"/>
          </rPr>
          <t xml:space="preserve">
Assume 80 total fields
</t>
        </r>
      </text>
    </comment>
    <comment ref="K20" authorId="0">
      <text>
        <r>
          <rPr>
            <b/>
            <sz val="9"/>
            <color indexed="81"/>
            <rFont val="Calibri"/>
            <family val="2"/>
          </rPr>
          <t>Lyndon Estes:</t>
        </r>
        <r>
          <rPr>
            <sz val="9"/>
            <color indexed="81"/>
            <rFont val="Calibri"/>
            <family val="2"/>
          </rPr>
          <t xml:space="preserve">
Google Maps digitization around surveyed farms in Figure 1. Doesn't match to weather stations thogh</t>
        </r>
      </text>
    </comment>
    <comment ref="M20" authorId="0">
      <text>
        <r>
          <rPr>
            <b/>
            <sz val="9"/>
            <color indexed="81"/>
            <rFont val="Calibri"/>
            <family val="2"/>
          </rPr>
          <t>Lyndon Estes:</t>
        </r>
        <r>
          <rPr>
            <sz val="9"/>
            <color indexed="81"/>
            <rFont val="Calibri"/>
            <family val="2"/>
          </rPr>
          <t xml:space="preserve">
Assume 2 hour survey per farmer</t>
        </r>
      </text>
    </comment>
    <comment ref="O20" authorId="0">
      <text>
        <r>
          <rPr>
            <b/>
            <sz val="9"/>
            <color indexed="81"/>
            <rFont val="Calibri"/>
            <family val="2"/>
          </rPr>
          <t>Lyndon Estes:</t>
        </r>
        <r>
          <rPr>
            <sz val="9"/>
            <color indexed="81"/>
            <rFont val="Calibri"/>
            <family val="2"/>
          </rPr>
          <t xml:space="preserve">
Because survey, assume duration of managements actions reflect whole season</t>
        </r>
      </text>
    </comment>
    <comment ref="P20" authorId="0">
      <text>
        <r>
          <rPr>
            <b/>
            <sz val="9"/>
            <color indexed="81"/>
            <rFont val="Calibri"/>
            <family val="2"/>
          </rPr>
          <t>Lyndon Estes:</t>
        </r>
        <r>
          <rPr>
            <sz val="9"/>
            <color indexed="81"/>
            <rFont val="Calibri"/>
            <family val="2"/>
          </rPr>
          <t xml:space="preserve">
Just use the 2003 survey results reported by Lobell et al (2003)</t>
        </r>
      </text>
    </comment>
    <comment ref="I21" authorId="0">
      <text>
        <r>
          <rPr>
            <b/>
            <sz val="9"/>
            <color indexed="81"/>
            <rFont val="Arial"/>
          </rPr>
          <t>Lyndon Estes:</t>
        </r>
        <r>
          <rPr>
            <sz val="9"/>
            <color indexed="81"/>
            <rFont val="Arial"/>
          </rPr>
          <t xml:space="preserve">
assume 10 cm diameter core, and 5 samples per field in bed and in furrow, thus 10
</t>
        </r>
      </text>
    </comment>
    <comment ref="J21" authorId="0">
      <text>
        <r>
          <rPr>
            <b/>
            <sz val="9"/>
            <color indexed="81"/>
            <rFont val="Arial"/>
          </rPr>
          <t>Lyndon Estes:</t>
        </r>
        <r>
          <rPr>
            <sz val="9"/>
            <color indexed="81"/>
            <rFont val="Arial"/>
          </rPr>
          <t xml:space="preserve">
5 major soil types and 3 farmers' fields per type</t>
        </r>
      </text>
    </comment>
    <comment ref="K21" authorId="0">
      <text>
        <r>
          <rPr>
            <b/>
            <sz val="9"/>
            <color indexed="81"/>
            <rFont val="Calibri"/>
            <family val="2"/>
          </rPr>
          <t>Lyndon Estes:</t>
        </r>
        <r>
          <rPr>
            <sz val="9"/>
            <color indexed="81"/>
            <rFont val="Calibri"/>
            <family val="2"/>
          </rPr>
          <t xml:space="preserve">
Google Maps digitization around surveyed farms in Figure 1. Doesn't match to weather stations though, or soil profile locations</t>
        </r>
      </text>
    </comment>
    <comment ref="M21" authorId="0">
      <text>
        <r>
          <rPr>
            <b/>
            <sz val="9"/>
            <color indexed="81"/>
            <rFont val="Arial"/>
          </rPr>
          <t>Lyndon Estes:</t>
        </r>
        <r>
          <rPr>
            <sz val="9"/>
            <color indexed="81"/>
            <rFont val="Arial"/>
          </rPr>
          <t xml:space="preserve">
assume it takes  10 minutes to collect soil core, and 10 cores per sample</t>
        </r>
      </text>
    </comment>
    <comment ref="P21" authorId="0">
      <text>
        <r>
          <rPr>
            <b/>
            <sz val="9"/>
            <color indexed="81"/>
            <rFont val="Arial"/>
          </rPr>
          <t>Lyndon Estes:</t>
        </r>
        <r>
          <rPr>
            <sz val="9"/>
            <color indexed="81"/>
            <rFont val="Arial"/>
          </rPr>
          <t xml:space="preserve">
Seems like simulation was for a single growing season
LDE: 11/4/2017
Changed from 6*30 to reflect fact that soil samples appear to be just one-offs collected at beginning of season, therefore represent values at just that period of time</t>
        </r>
      </text>
    </comment>
    <comment ref="I22" authorId="0">
      <text>
        <r>
          <rPr>
            <b/>
            <sz val="9"/>
            <color indexed="81"/>
            <rFont val="Arial"/>
          </rPr>
          <t>Lyndon Estes:</t>
        </r>
        <r>
          <rPr>
            <sz val="9"/>
            <color indexed="81"/>
            <rFont val="Arial"/>
          </rPr>
          <t xml:space="preserve">
assume weather station and range rain gauge have 0.5 m diameter</t>
        </r>
      </text>
    </comment>
    <comment ref="K22" authorId="0">
      <text>
        <r>
          <rPr>
            <b/>
            <sz val="9"/>
            <color indexed="81"/>
            <rFont val="Calibri"/>
            <family val="2"/>
          </rPr>
          <t>Lyndon Estes:</t>
        </r>
        <r>
          <rPr>
            <sz val="9"/>
            <color indexed="81"/>
            <rFont val="Calibri"/>
            <family val="2"/>
          </rPr>
          <t xml:space="preserve">
Google Maps digitization around surveyed farms in Figure 1. Doesn't match to weather stations though, or soil profile locations</t>
        </r>
      </text>
    </comment>
    <comment ref="M22" authorId="0">
      <text>
        <r>
          <rPr>
            <b/>
            <sz val="9"/>
            <color indexed="81"/>
            <rFont val="Arial"/>
          </rPr>
          <t>Lyndon Estes:</t>
        </r>
        <r>
          <rPr>
            <sz val="9"/>
            <color indexed="81"/>
            <rFont val="Arial"/>
          </rPr>
          <t xml:space="preserve">
Assume weather stations make continuous measurements, and record was for 180 days of simulation period</t>
        </r>
      </text>
    </comment>
    <comment ref="N22" authorId="0">
      <text>
        <r>
          <rPr>
            <b/>
            <sz val="9"/>
            <color indexed="81"/>
            <rFont val="Calibri"/>
            <family val="2"/>
          </rPr>
          <t>Lyndon Estes:</t>
        </r>
        <r>
          <rPr>
            <sz val="9"/>
            <color indexed="81"/>
            <rFont val="Calibri"/>
            <family val="2"/>
          </rPr>
          <t xml:space="preserve">
11/4/2017: Changed to 1 day because daily weather data were used</t>
        </r>
      </text>
    </comment>
    <comment ref="O22" authorId="0">
      <text>
        <r>
          <rPr>
            <b/>
            <sz val="9"/>
            <color indexed="81"/>
            <rFont val="Arial"/>
          </rPr>
          <t>Lyndon Estes:</t>
        </r>
        <r>
          <rPr>
            <sz val="9"/>
            <color indexed="81"/>
            <rFont val="Arial"/>
          </rPr>
          <t xml:space="preserve">
Assume weather stations make continuous measurements, and record was for 180 days of simulation period</t>
        </r>
      </text>
    </comment>
    <comment ref="P22" authorId="0">
      <text>
        <r>
          <rPr>
            <b/>
            <sz val="9"/>
            <color indexed="81"/>
            <rFont val="Arial"/>
          </rPr>
          <t>Lyndon Estes:</t>
        </r>
        <r>
          <rPr>
            <sz val="9"/>
            <color indexed="81"/>
            <rFont val="Arial"/>
          </rPr>
          <t xml:space="preserve">
Assume weather stations make continuous measurements, and record was for 180 days of simulation period</t>
        </r>
      </text>
    </comment>
    <comment ref="I23" authorId="0">
      <text>
        <r>
          <rPr>
            <b/>
            <sz val="9"/>
            <color indexed="81"/>
            <rFont val="Arial"/>
          </rPr>
          <t>Lyndon Estes:</t>
        </r>
        <r>
          <rPr>
            <sz val="9"/>
            <color indexed="81"/>
            <rFont val="Arial"/>
          </rPr>
          <t xml:space="preserve">
Assume transect is mean of 30-100 m range they give. 
Update: 25/3/2016 Mixed the mean as 2/3 smaller quadrat, 1/3 larger, because paper source mentions that "some" were the larger quadrat size, so assume larger
</t>
        </r>
      </text>
    </comment>
    <comment ref="J23" authorId="0">
      <text>
        <r>
          <rPr>
            <b/>
            <sz val="9"/>
            <color indexed="81"/>
            <rFont val="Arial"/>
          </rPr>
          <t>Lyndon Estes:</t>
        </r>
        <r>
          <rPr>
            <sz val="9"/>
            <color indexed="81"/>
            <rFont val="Arial"/>
          </rPr>
          <t xml:space="preserve">
I assumed a mean sample quadrat by averaging 0.2^2 and 1 m^2, and then divided by the value of the twoal sampled area they provided to get N samples
Update: 25/3/16 - Fig. 2 in data source paper has 426 quadrats reported</t>
        </r>
      </text>
    </comment>
    <comment ref="K23" authorId="0">
      <text>
        <r>
          <rPr>
            <b/>
            <sz val="9"/>
            <color indexed="81"/>
            <rFont val="Calibri"/>
            <family val="2"/>
          </rPr>
          <t>Lyndon Estes:</t>
        </r>
        <r>
          <rPr>
            <sz val="9"/>
            <color indexed="81"/>
            <rFont val="Calibri"/>
            <family val="2"/>
          </rPr>
          <t xml:space="preserve">
Used plot center coordinates in referenced paper Table 1 to create polygons linking points (in R), dcalculated area in mymaps</t>
        </r>
      </text>
    </comment>
    <comment ref="M23" authorId="0">
      <text>
        <r>
          <rPr>
            <b/>
            <sz val="9"/>
            <color indexed="81"/>
            <rFont val="Arial"/>
          </rPr>
          <t>Lyndon Estes:</t>
        </r>
        <r>
          <rPr>
            <sz val="9"/>
            <color indexed="81"/>
            <rFont val="Arial"/>
          </rPr>
          <t xml:space="preserve">
Assume one quadrat takes 10 minutes
</t>
        </r>
      </text>
    </comment>
    <comment ref="O23" authorId="0">
      <text>
        <r>
          <rPr>
            <b/>
            <sz val="9"/>
            <color indexed="81"/>
            <rFont val="Arial"/>
          </rPr>
          <t>Lyndon Estes:</t>
        </r>
        <r>
          <rPr>
            <sz val="9"/>
            <color indexed="81"/>
            <rFont val="Arial"/>
          </rPr>
          <t xml:space="preserve">
Assume 5 minute to collect quadrat, so this is study duration</t>
        </r>
      </text>
    </comment>
    <comment ref="P23" authorId="0">
      <text>
        <r>
          <rPr>
            <b/>
            <sz val="9"/>
            <color indexed="81"/>
            <rFont val="Calibri"/>
            <family val="2"/>
          </rPr>
          <t>Lyndon Estes:</t>
        </r>
        <r>
          <rPr>
            <sz val="9"/>
            <color indexed="81"/>
            <rFont val="Calibri"/>
            <family val="2"/>
          </rPr>
          <t xml:space="preserve">
11/4/2017: Changed from 9*30 because samples were one-offs</t>
        </r>
      </text>
    </comment>
    <comment ref="I24" authorId="0">
      <text>
        <r>
          <rPr>
            <b/>
            <sz val="9"/>
            <color indexed="81"/>
            <rFont val="Arial"/>
          </rPr>
          <t>Lyndon Estes:</t>
        </r>
        <r>
          <rPr>
            <sz val="9"/>
            <color indexed="81"/>
            <rFont val="Arial"/>
          </rPr>
          <t xml:space="preserve">
Fig.2 in source shows ~120 colonies/m2, so taking reported max of 4 colonies per photo, back out the average picture resolution of 20 cm</t>
        </r>
      </text>
    </comment>
    <comment ref="J24" authorId="0">
      <text>
        <r>
          <rPr>
            <b/>
            <sz val="9"/>
            <color indexed="81"/>
            <rFont val="Arial"/>
          </rPr>
          <t>Lyndon Estes:</t>
        </r>
        <r>
          <rPr>
            <sz val="9"/>
            <color indexed="81"/>
            <rFont val="Arial"/>
          </rPr>
          <t xml:space="preserve">
total sampled colonies, divided by 2, which is average number of colonies per picture</t>
        </r>
      </text>
    </comment>
    <comment ref="K24" authorId="0">
      <text>
        <r>
          <rPr>
            <b/>
            <sz val="9"/>
            <color indexed="81"/>
            <rFont val="Calibri"/>
            <family val="2"/>
          </rPr>
          <t>Lyndon Estes:</t>
        </r>
        <r>
          <rPr>
            <sz val="9"/>
            <color indexed="81"/>
            <rFont val="Calibri"/>
            <family val="2"/>
          </rPr>
          <t xml:space="preserve">
Used plot center coordinates in referenced paper Table 1 to create polygons linking points (in R), dcalculated area in mymaps</t>
        </r>
      </text>
    </comment>
    <comment ref="M24" authorId="0">
      <text>
        <r>
          <rPr>
            <b/>
            <sz val="9"/>
            <color indexed="81"/>
            <rFont val="Arial"/>
          </rPr>
          <t>Lyndon Estes:</t>
        </r>
        <r>
          <rPr>
            <sz val="9"/>
            <color indexed="81"/>
            <rFont val="Arial"/>
          </rPr>
          <t xml:space="preserve">
Assume one photo takes 5 seconds
</t>
        </r>
      </text>
    </comment>
    <comment ref="O24" authorId="0">
      <text>
        <r>
          <rPr>
            <b/>
            <sz val="9"/>
            <color indexed="81"/>
            <rFont val="Arial"/>
          </rPr>
          <t>Lyndon Estes:</t>
        </r>
        <r>
          <rPr>
            <sz val="9"/>
            <color indexed="81"/>
            <rFont val="Arial"/>
          </rPr>
          <t xml:space="preserve">
Assume 5 minute to collect quadrat, so this is study duration</t>
        </r>
      </text>
    </comment>
    <comment ref="P24" authorId="0">
      <text>
        <r>
          <rPr>
            <b/>
            <sz val="9"/>
            <color indexed="81"/>
            <rFont val="Calibri"/>
            <family val="2"/>
          </rPr>
          <t>Lyndon Estes:</t>
        </r>
        <r>
          <rPr>
            <sz val="9"/>
            <color indexed="81"/>
            <rFont val="Calibri"/>
            <family val="2"/>
          </rPr>
          <t xml:space="preserve">
11/4/2017: Changed from 9*30 because samples were one-offs</t>
        </r>
      </text>
    </comment>
    <comment ref="K25" authorId="0">
      <text>
        <r>
          <rPr>
            <b/>
            <sz val="9"/>
            <color indexed="81"/>
            <rFont val="Calibri"/>
            <family val="2"/>
          </rPr>
          <t>Lyndon Estes:</t>
        </r>
        <r>
          <rPr>
            <sz val="9"/>
            <color indexed="81"/>
            <rFont val="Calibri"/>
            <family val="2"/>
          </rPr>
          <t xml:space="preserve">
I summed the size of the different plots they listed, as this area is larger than a polygon connecting the three center points they list</t>
        </r>
      </text>
    </comment>
    <comment ref="M25" authorId="0">
      <text>
        <r>
          <rPr>
            <b/>
            <sz val="9"/>
            <color indexed="81"/>
            <rFont val="Arial"/>
          </rPr>
          <t>Lyndon Estes:</t>
        </r>
        <r>
          <rPr>
            <sz val="9"/>
            <color indexed="81"/>
            <rFont val="Arial"/>
          </rPr>
          <t xml:space="preserve">
assume 5 minutes per sample plot</t>
        </r>
      </text>
    </comment>
    <comment ref="O25" authorId="0">
      <text>
        <r>
          <rPr>
            <b/>
            <sz val="9"/>
            <color indexed="81"/>
            <rFont val="Arial"/>
          </rPr>
          <t>Lyndon Estes:</t>
        </r>
        <r>
          <rPr>
            <sz val="9"/>
            <color indexed="81"/>
            <rFont val="Arial"/>
          </rPr>
          <t xml:space="preserve">
sampled twice, assumed 5 minutes per plot</t>
        </r>
      </text>
    </comment>
    <comment ref="I26" authorId="0">
      <text>
        <r>
          <rPr>
            <b/>
            <sz val="9"/>
            <color indexed="81"/>
            <rFont val="Arial"/>
          </rPr>
          <t>Lyndon Estes:</t>
        </r>
        <r>
          <rPr>
            <sz val="9"/>
            <color indexed="81"/>
            <rFont val="Arial"/>
          </rPr>
          <t xml:space="preserve">
20 cm diameter dust deposition sampler
</t>
        </r>
      </text>
    </comment>
    <comment ref="K26" authorId="0">
      <text>
        <r>
          <rPr>
            <b/>
            <sz val="9"/>
            <color indexed="81"/>
            <rFont val="Calibri"/>
            <family val="2"/>
          </rPr>
          <t>Lyndon Estes:</t>
        </r>
        <r>
          <rPr>
            <sz val="9"/>
            <color indexed="81"/>
            <rFont val="Calibri"/>
            <family val="2"/>
          </rPr>
          <t xml:space="preserve">
Area of Xilin grassland given in Hoffman et al in J Arid Environments</t>
        </r>
      </text>
    </comment>
    <comment ref="M26" authorId="0">
      <text>
        <r>
          <rPr>
            <b/>
            <sz val="9"/>
            <color indexed="81"/>
            <rFont val="Arial"/>
          </rPr>
          <t>Lyndon Estes:</t>
        </r>
        <r>
          <rPr>
            <sz val="9"/>
            <color indexed="81"/>
            <rFont val="Arial"/>
          </rPr>
          <t xml:space="preserve">
Sampling interval based on mean duration for two seasons sampling</t>
        </r>
      </text>
    </comment>
    <comment ref="N26" authorId="0">
      <text>
        <r>
          <rPr>
            <b/>
            <sz val="9"/>
            <color indexed="81"/>
            <rFont val="Arial"/>
          </rPr>
          <t>Lyndon Estes:</t>
        </r>
        <r>
          <rPr>
            <sz val="9"/>
            <color indexed="81"/>
            <rFont val="Arial"/>
          </rPr>
          <t xml:space="preserve">
Assume it took a minute to collect dust between samples</t>
        </r>
      </text>
    </comment>
    <comment ref="O26" authorId="0">
      <text>
        <r>
          <rPr>
            <b/>
            <sz val="9"/>
            <color indexed="81"/>
            <rFont val="Arial"/>
          </rPr>
          <t>Lyndon Estes:</t>
        </r>
        <r>
          <rPr>
            <sz val="9"/>
            <color indexed="81"/>
            <rFont val="Arial"/>
          </rPr>
          <t xml:space="preserve">
Total time spent dust sampling in both seasons</t>
        </r>
      </text>
    </comment>
    <comment ref="K27" authorId="0">
      <text>
        <r>
          <rPr>
            <b/>
            <sz val="9"/>
            <color indexed="81"/>
            <rFont val="Calibri"/>
            <family val="2"/>
          </rPr>
          <t>Lyndon Estes:</t>
        </r>
        <r>
          <rPr>
            <sz val="9"/>
            <color indexed="81"/>
            <rFont val="Calibri"/>
            <family val="2"/>
          </rPr>
          <t xml:space="preserve">
I summed the size of the different plots they listed, as this area is larger than a polygon connecting the three center points they list</t>
        </r>
      </text>
    </comment>
    <comment ref="M27" authorId="0">
      <text>
        <r>
          <rPr>
            <b/>
            <sz val="9"/>
            <color indexed="81"/>
            <rFont val="Arial"/>
          </rPr>
          <t>Lyndon Estes:</t>
        </r>
        <r>
          <rPr>
            <sz val="9"/>
            <color indexed="81"/>
            <rFont val="Arial"/>
          </rPr>
          <t xml:space="preserve">
assume 5 minutes per sample plot</t>
        </r>
      </text>
    </comment>
    <comment ref="P27" authorId="0">
      <text>
        <r>
          <rPr>
            <b/>
            <sz val="9"/>
            <color indexed="81"/>
            <rFont val="Arial"/>
          </rPr>
          <t>Lyndon Estes:</t>
        </r>
        <r>
          <rPr>
            <sz val="9"/>
            <color indexed="81"/>
            <rFont val="Arial"/>
          </rPr>
          <t xml:space="preserve">
Assume sampling took a month total
11/4/2017: Corrected to actual duration, because not repeated</t>
        </r>
      </text>
    </comment>
    <comment ref="I28" authorId="0">
      <text>
        <r>
          <rPr>
            <b/>
            <sz val="9"/>
            <color indexed="81"/>
            <rFont val="Arial"/>
          </rPr>
          <t>Lyndon Estes:</t>
        </r>
        <r>
          <rPr>
            <sz val="9"/>
            <color indexed="81"/>
            <rFont val="Arial"/>
          </rPr>
          <t xml:space="preserve">
0.7X0.7 and 0.5X0.5 m chambers</t>
        </r>
      </text>
    </comment>
    <comment ref="J28" authorId="0">
      <text>
        <r>
          <rPr>
            <b/>
            <sz val="9"/>
            <color indexed="81"/>
            <rFont val="Arial"/>
          </rPr>
          <t>Lyndon Estes:</t>
        </r>
        <r>
          <rPr>
            <sz val="9"/>
            <color indexed="81"/>
            <rFont val="Arial"/>
          </rPr>
          <t xml:space="preserve">
2 sites, 3 chambers per site</t>
        </r>
      </text>
    </comment>
    <comment ref="K28" authorId="0">
      <text>
        <r>
          <rPr>
            <b/>
            <sz val="9"/>
            <color indexed="81"/>
            <rFont val="Calibri"/>
            <family val="2"/>
          </rPr>
          <t>Lyndon Estes:</t>
        </r>
        <r>
          <rPr>
            <sz val="9"/>
            <color indexed="81"/>
            <rFont val="Calibri"/>
            <family val="2"/>
          </rPr>
          <t xml:space="preserve">
From Holst et al (2007)--measured on only two sites</t>
        </r>
      </text>
    </comment>
    <comment ref="M28" authorId="0">
      <text>
        <r>
          <rPr>
            <b/>
            <sz val="9"/>
            <color indexed="81"/>
            <rFont val="Arial"/>
          </rPr>
          <t>Lyndon Estes:</t>
        </r>
        <r>
          <rPr>
            <sz val="9"/>
            <color indexed="81"/>
            <rFont val="Arial"/>
          </rPr>
          <t xml:space="preserve">
1 flux measurement is 5 injections each with sampling time of 3 minutes each, I think</t>
        </r>
      </text>
    </comment>
    <comment ref="O28" authorId="0">
      <text>
        <r>
          <rPr>
            <b/>
            <sz val="9"/>
            <color indexed="81"/>
            <rFont val="Arial"/>
          </rPr>
          <t>Lyndon Estes:</t>
        </r>
        <r>
          <rPr>
            <sz val="9"/>
            <color indexed="81"/>
            <rFont val="Arial"/>
          </rPr>
          <t xml:space="preserve">
sampling seasons estimated from figure 2 and 3, 8 measurements per day, X sample duratin</t>
        </r>
      </text>
    </comment>
    <comment ref="P28" authorId="0">
      <text>
        <r>
          <rPr>
            <b/>
            <sz val="9"/>
            <color indexed="81"/>
            <rFont val="Arial"/>
          </rPr>
          <t>Lyndon Estes:</t>
        </r>
        <r>
          <rPr>
            <sz val="9"/>
            <color indexed="81"/>
            <rFont val="Arial"/>
          </rPr>
          <t xml:space="preserve">
estimated duration from figure 2 and 3</t>
        </r>
      </text>
    </comment>
    <comment ref="I29" authorId="0">
      <text>
        <r>
          <rPr>
            <b/>
            <sz val="9"/>
            <color indexed="81"/>
            <rFont val="Arial"/>
          </rPr>
          <t>Lyndon Estes:</t>
        </r>
        <r>
          <rPr>
            <sz val="9"/>
            <color indexed="81"/>
            <rFont val="Arial"/>
          </rPr>
          <t xml:space="preserve">
0.7X0.7 and 0.5X0.5 m chambers</t>
        </r>
      </text>
    </comment>
    <comment ref="J29" authorId="0">
      <text>
        <r>
          <rPr>
            <b/>
            <sz val="9"/>
            <color indexed="81"/>
            <rFont val="Arial"/>
          </rPr>
          <t>Lyndon Estes:</t>
        </r>
        <r>
          <rPr>
            <sz val="9"/>
            <color indexed="81"/>
            <rFont val="Arial"/>
          </rPr>
          <t xml:space="preserve">
2 sites, 3 chambers per site</t>
        </r>
      </text>
    </comment>
    <comment ref="K29" authorId="0">
      <text>
        <r>
          <rPr>
            <b/>
            <sz val="9"/>
            <color indexed="81"/>
            <rFont val="Calibri"/>
            <family val="2"/>
          </rPr>
          <t>Lyndon Estes:</t>
        </r>
        <r>
          <rPr>
            <sz val="9"/>
            <color indexed="81"/>
            <rFont val="Calibri"/>
            <family val="2"/>
          </rPr>
          <t xml:space="preserve">
Second set of sites where measurements were done. One site, OG, does not have area listed, so I tookaverage of other three areas</t>
        </r>
      </text>
    </comment>
    <comment ref="M29" authorId="0">
      <text>
        <r>
          <rPr>
            <b/>
            <sz val="9"/>
            <color indexed="81"/>
            <rFont val="Arial"/>
          </rPr>
          <t>Lyndon Estes:</t>
        </r>
        <r>
          <rPr>
            <sz val="9"/>
            <color indexed="81"/>
            <rFont val="Arial"/>
          </rPr>
          <t xml:space="preserve">
1 flux measurement is 5 injections each with sampling time of 3 minutes each, I think</t>
        </r>
      </text>
    </comment>
    <comment ref="O29" authorId="0">
      <text>
        <r>
          <rPr>
            <b/>
            <sz val="9"/>
            <color indexed="81"/>
            <rFont val="Arial"/>
          </rPr>
          <t>Lyndon Estes:</t>
        </r>
        <r>
          <rPr>
            <sz val="9"/>
            <color indexed="81"/>
            <rFont val="Arial"/>
          </rPr>
          <t xml:space="preserve">
sampling season estimated from figure 5, 1/0.05 measurements per day, X sample duration</t>
        </r>
      </text>
    </comment>
    <comment ref="P29" authorId="0">
      <text>
        <r>
          <rPr>
            <b/>
            <sz val="9"/>
            <color indexed="81"/>
            <rFont val="Arial"/>
          </rPr>
          <t>Lyndon Estes:
estimated duration from figure 5</t>
        </r>
      </text>
    </comment>
    <comment ref="I30" authorId="0">
      <text>
        <r>
          <rPr>
            <b/>
            <sz val="9"/>
            <color indexed="81"/>
            <rFont val="Arial"/>
          </rPr>
          <t>Lyndon Estes:</t>
        </r>
        <r>
          <rPr>
            <sz val="9"/>
            <color indexed="81"/>
            <rFont val="Arial"/>
          </rPr>
          <t xml:space="preserve">
This study provides no detail on the biomass sampling resolution, so assume it is same as in Gao et al (2008)</t>
        </r>
      </text>
    </comment>
    <comment ref="J30" authorId="0">
      <text>
        <r>
          <rPr>
            <b/>
            <sz val="9"/>
            <color indexed="81"/>
            <rFont val="Arial"/>
          </rPr>
          <t>Lyndon Estes:</t>
        </r>
        <r>
          <rPr>
            <sz val="9"/>
            <color indexed="81"/>
            <rFont val="Arial"/>
          </rPr>
          <t xml:space="preserve">
Also, this is hard to say, but based on Gao et al (2008), each replicate is from different 1 m^2 plot, so treat as different plots</t>
        </r>
      </text>
    </comment>
    <comment ref="K30" authorId="0">
      <text>
        <r>
          <rPr>
            <b/>
            <sz val="9"/>
            <color indexed="81"/>
            <rFont val="Calibri"/>
            <family val="2"/>
          </rPr>
          <t>Lyndon Estes:</t>
        </r>
        <r>
          <rPr>
            <sz val="9"/>
            <color indexed="81"/>
            <rFont val="Calibri"/>
            <family val="2"/>
          </rPr>
          <t xml:space="preserve">
I summed the size of the different plots they listed, as this area is larger than a polygon connecting the three center points they list</t>
        </r>
      </text>
    </comment>
    <comment ref="M30" authorId="0">
      <text>
        <r>
          <rPr>
            <b/>
            <sz val="9"/>
            <color indexed="81"/>
            <rFont val="Arial"/>
          </rPr>
          <t>Lyndon Estes:</t>
        </r>
        <r>
          <rPr>
            <sz val="9"/>
            <color indexed="81"/>
            <rFont val="Arial"/>
          </rPr>
          <t xml:space="preserve">
assume 10 minutes per biomass sample plot</t>
        </r>
      </text>
    </comment>
    <comment ref="N30" authorId="0">
      <text>
        <r>
          <rPr>
            <b/>
            <sz val="9"/>
            <color indexed="81"/>
            <rFont val="Arial"/>
          </rPr>
          <t>Lyndon Estes:</t>
        </r>
        <r>
          <rPr>
            <sz val="9"/>
            <color indexed="81"/>
            <rFont val="Arial"/>
          </rPr>
          <t xml:space="preserve">
The plots taken in each year are not true repeat samples, so I am going to assume that the replicate is on the total season dynamics between years, so time between samples is the average between the start and end dates in each of the three seasons. Estimates of these are from Gao et al (2008)</t>
        </r>
      </text>
    </comment>
    <comment ref="I31" authorId="0">
      <text>
        <r>
          <rPr>
            <b/>
            <sz val="9"/>
            <color indexed="81"/>
            <rFont val="Arial"/>
          </rPr>
          <t>Lyndon Estes:</t>
        </r>
        <r>
          <rPr>
            <sz val="9"/>
            <color indexed="81"/>
            <rFont val="Arial"/>
          </rPr>
          <t xml:space="preserve">
8.5 cm diameter soil augur</t>
        </r>
      </text>
    </comment>
    <comment ref="K31" authorId="0">
      <text>
        <r>
          <rPr>
            <b/>
            <sz val="9"/>
            <color indexed="81"/>
            <rFont val="Calibri"/>
            <family val="2"/>
          </rPr>
          <t>Lyndon Estes:</t>
        </r>
        <r>
          <rPr>
            <sz val="9"/>
            <color indexed="81"/>
            <rFont val="Calibri"/>
            <family val="2"/>
          </rPr>
          <t xml:space="preserve">
I summed the size of the different plots they listed, as this area is larger than a polygon connecting the three center points they list</t>
        </r>
      </text>
    </comment>
    <comment ref="M31" authorId="0">
      <text>
        <r>
          <rPr>
            <b/>
            <sz val="9"/>
            <color indexed="81"/>
            <rFont val="Arial"/>
          </rPr>
          <t>Lyndon Estes:</t>
        </r>
        <r>
          <rPr>
            <sz val="9"/>
            <color indexed="81"/>
            <rFont val="Arial"/>
          </rPr>
          <t xml:space="preserve">
assume 10 minutes per soil augur</t>
        </r>
      </text>
    </comment>
    <comment ref="N31" authorId="0">
      <text>
        <r>
          <rPr>
            <b/>
            <sz val="9"/>
            <color indexed="81"/>
            <rFont val="Arial"/>
          </rPr>
          <t>Lyndon Estes:</t>
        </r>
        <r>
          <rPr>
            <sz val="9"/>
            <color indexed="81"/>
            <rFont val="Arial"/>
          </rPr>
          <t xml:space="preserve">
The plots taken in each year are not true repeat samples, so I am going to assume that the replicate is on the total season dynamics between years, so time between samples is the average between the start and end dates in each of the three seasons. Estimates of these are from Gao et al (2008)</t>
        </r>
      </text>
    </comment>
    <comment ref="J32" authorId="0">
      <text>
        <r>
          <rPr>
            <b/>
            <sz val="9"/>
            <color indexed="81"/>
            <rFont val="Arial"/>
          </rPr>
          <t>Lyndon Estes:</t>
        </r>
        <r>
          <rPr>
            <sz val="9"/>
            <color indexed="81"/>
            <rFont val="Arial"/>
          </rPr>
          <t xml:space="preserve">
Unsure about the number of sites: assume these are true repeats, but never stated how many plots there were total</t>
        </r>
      </text>
    </comment>
    <comment ref="K32" authorId="0">
      <text>
        <r>
          <rPr>
            <b/>
            <sz val="9"/>
            <color indexed="81"/>
            <rFont val="Calibri"/>
            <family val="2"/>
          </rPr>
          <t>Lyndon Estes:</t>
        </r>
        <r>
          <rPr>
            <sz val="9"/>
            <color indexed="81"/>
            <rFont val="Calibri"/>
            <family val="2"/>
          </rPr>
          <t xml:space="preserve">
I summed the size of the different plots they listed, as this area is larger than a polygon connecting the three center points they list</t>
        </r>
      </text>
    </comment>
    <comment ref="M32" authorId="0">
      <text>
        <r>
          <rPr>
            <b/>
            <sz val="9"/>
            <color indexed="81"/>
            <rFont val="Arial"/>
          </rPr>
          <t>Lyndon Estes:</t>
        </r>
        <r>
          <rPr>
            <sz val="9"/>
            <color indexed="81"/>
            <rFont val="Arial"/>
          </rPr>
          <t xml:space="preserve">
Assume 1 hour per sample</t>
        </r>
      </text>
    </comment>
    <comment ref="N32" authorId="0">
      <text>
        <r>
          <rPr>
            <b/>
            <sz val="9"/>
            <color indexed="81"/>
            <rFont val="Arial"/>
          </rPr>
          <t>Lyndon Estes:</t>
        </r>
        <r>
          <rPr>
            <sz val="9"/>
            <color indexed="81"/>
            <rFont val="Arial"/>
          </rPr>
          <t xml:space="preserve">
Average of sampling dates given in Gao et al (2008) on page 43, including when they first inserted cores pre-season</t>
        </r>
      </text>
    </comment>
    <comment ref="I33" authorId="0">
      <text>
        <r>
          <rPr>
            <b/>
            <sz val="9"/>
            <color indexed="81"/>
            <rFont val="Arial"/>
          </rPr>
          <t>Lyndon Estes:</t>
        </r>
        <r>
          <rPr>
            <sz val="9"/>
            <color indexed="81"/>
            <rFont val="Arial"/>
          </rPr>
          <t xml:space="preserve">
8.5 cm diameter soil augur</t>
        </r>
      </text>
    </comment>
    <comment ref="K33" authorId="0">
      <text>
        <r>
          <rPr>
            <b/>
            <sz val="9"/>
            <color indexed="81"/>
            <rFont val="Calibri"/>
            <family val="2"/>
          </rPr>
          <t>Lyndon Estes:</t>
        </r>
        <r>
          <rPr>
            <sz val="9"/>
            <color indexed="81"/>
            <rFont val="Calibri"/>
            <family val="2"/>
          </rPr>
          <t xml:space="preserve">
I summed the size of the different plots they listed, as this area is larger than a polygon connecting the three center points they list</t>
        </r>
      </text>
    </comment>
    <comment ref="M33" authorId="0">
      <text>
        <r>
          <rPr>
            <b/>
            <sz val="9"/>
            <color indexed="81"/>
            <rFont val="Arial"/>
          </rPr>
          <t>Lyndon Estes:</t>
        </r>
        <r>
          <rPr>
            <sz val="9"/>
            <color indexed="81"/>
            <rFont val="Arial"/>
          </rPr>
          <t xml:space="preserve">
assume 10 minutes per soil augur</t>
        </r>
      </text>
    </comment>
    <comment ref="P33" authorId="0">
      <text>
        <r>
          <rPr>
            <b/>
            <sz val="9"/>
            <color indexed="81"/>
            <rFont val="Arial"/>
          </rPr>
          <t>Lyndon Estes:</t>
        </r>
        <r>
          <rPr>
            <sz val="9"/>
            <color indexed="81"/>
            <rFont val="Arial"/>
          </rPr>
          <t xml:space="preserve">
Assume did this over one season only
12/4/2017: Changed from 120 to equal actual duration, because once-off</t>
        </r>
      </text>
    </comment>
    <comment ref="I34" authorId="0">
      <text>
        <r>
          <rPr>
            <b/>
            <sz val="9"/>
            <color indexed="81"/>
            <rFont val="Arial"/>
          </rPr>
          <t>Lyndon Estes:</t>
        </r>
        <r>
          <rPr>
            <sz val="9"/>
            <color indexed="81"/>
            <rFont val="Arial"/>
          </rPr>
          <t xml:space="preserve">
Assume 1 X 1 m soil pit</t>
        </r>
      </text>
    </comment>
    <comment ref="K34" authorId="0">
      <text>
        <r>
          <rPr>
            <b/>
            <sz val="9"/>
            <color indexed="81"/>
            <rFont val="Calibri"/>
            <family val="2"/>
          </rPr>
          <t>Lyndon Estes:</t>
        </r>
        <r>
          <rPr>
            <sz val="9"/>
            <color indexed="81"/>
            <rFont val="Calibri"/>
            <family val="2"/>
          </rPr>
          <t xml:space="preserve">
I summed the size of the different plots they listed, as this area is larger than a polygon connecting the three center points they list</t>
        </r>
      </text>
    </comment>
    <comment ref="M34" authorId="0">
      <text>
        <r>
          <rPr>
            <b/>
            <sz val="9"/>
            <color indexed="81"/>
            <rFont val="Arial"/>
          </rPr>
          <t>Lyndon Estes:</t>
        </r>
        <r>
          <rPr>
            <sz val="9"/>
            <color indexed="81"/>
            <rFont val="Arial"/>
          </rPr>
          <t xml:space="preserve">
Assume 2 days to dig pits and then: "A combined aggregate size,
density, and particle size fractionation procedure was
applied to soil samples from three horizons of each pit to
separate functional SOM fractions and pools. The
horizons were sampled based on diagnostic features,
e.g., color, texture, structure, and aggregation. All
physical fractions were analyzed for C and N concentrations
while the SOM quality of selected fractions was
analyzed for neutral sugar and radio carbon content
using solid-state 13C NMR spectroscopy (Steffens et al.
2008, 2009, 2011)."</t>
        </r>
      </text>
    </comment>
    <comment ref="P34" authorId="0">
      <text>
        <r>
          <rPr>
            <b/>
            <sz val="9"/>
            <color indexed="81"/>
            <rFont val="Arial"/>
          </rPr>
          <t>Lyndon Estes:</t>
        </r>
        <r>
          <rPr>
            <sz val="9"/>
            <color indexed="81"/>
            <rFont val="Arial"/>
          </rPr>
          <t xml:space="preserve">
Assume did this over one season only
12/4/2017: Changed from 120 to equal actual duration, because once-off</t>
        </r>
      </text>
    </comment>
    <comment ref="K35" authorId="0">
      <text>
        <r>
          <rPr>
            <b/>
            <sz val="9"/>
            <color indexed="81"/>
            <rFont val="Calibri"/>
            <family val="2"/>
          </rPr>
          <t>Lyndon Estes:</t>
        </r>
        <r>
          <rPr>
            <sz val="9"/>
            <color indexed="81"/>
            <rFont val="Calibri"/>
            <family val="2"/>
          </rPr>
          <t xml:space="preserve">
Coordinates provided in paper appear wrong, so I take a rough guess and assume 1 km between sties and assume 200 m width transects stretch 100 m, but factoring in some herky jerky
</t>
        </r>
      </text>
    </comment>
    <comment ref="M35" authorId="0">
      <text>
        <r>
          <rPr>
            <b/>
            <sz val="9"/>
            <color indexed="81"/>
            <rFont val="Arial"/>
          </rPr>
          <t>Lyndon Estes:</t>
        </r>
        <r>
          <rPr>
            <sz val="9"/>
            <color indexed="81"/>
            <rFont val="Arial"/>
          </rPr>
          <t xml:space="preserve">
Assume 30 minutes per quadrat</t>
        </r>
      </text>
    </comment>
    <comment ref="P35" authorId="0">
      <text>
        <r>
          <rPr>
            <b/>
            <sz val="9"/>
            <color indexed="81"/>
            <rFont val="Arial"/>
          </rPr>
          <t>Lyndon Estes:</t>
        </r>
        <r>
          <rPr>
            <sz val="9"/>
            <color indexed="81"/>
            <rFont val="Arial"/>
          </rPr>
          <t xml:space="preserve">
Assume three months for the whole study
12/4/2017: Changed from 120 to equal actual duration, because once-off</t>
        </r>
      </text>
    </comment>
    <comment ref="I36" authorId="0">
      <text>
        <r>
          <rPr>
            <b/>
            <sz val="9"/>
            <color indexed="81"/>
            <rFont val="Arial"/>
          </rPr>
          <t>Lyndon Estes:</t>
        </r>
        <r>
          <rPr>
            <sz val="9"/>
            <color indexed="81"/>
            <rFont val="Arial"/>
          </rPr>
          <t xml:space="preserve">
8.5 cm diameter soil augur</t>
        </r>
      </text>
    </comment>
    <comment ref="J36" authorId="0">
      <text>
        <r>
          <rPr>
            <b/>
            <sz val="9"/>
            <color indexed="81"/>
            <rFont val="Arial"/>
          </rPr>
          <t>Lyndon Estes:</t>
        </r>
        <r>
          <rPr>
            <sz val="9"/>
            <color indexed="81"/>
            <rFont val="Arial"/>
          </rPr>
          <t xml:space="preserve">
3 soil sample per quadrat</t>
        </r>
      </text>
    </comment>
    <comment ref="K36" authorId="0">
      <text>
        <r>
          <rPr>
            <b/>
            <sz val="9"/>
            <color indexed="81"/>
            <rFont val="Calibri"/>
            <family val="2"/>
          </rPr>
          <t>Lyndon Estes:</t>
        </r>
        <r>
          <rPr>
            <sz val="9"/>
            <color indexed="81"/>
            <rFont val="Calibri"/>
            <family val="2"/>
          </rPr>
          <t xml:space="preserve">
Coordinates provided in paper appear wrong, so I take a rough guess and assume 1 km between sties and assume 200 m width transects stretch 100 m, but factoring in some herky jerky
</t>
        </r>
      </text>
    </comment>
    <comment ref="M36" authorId="0">
      <text>
        <r>
          <rPr>
            <b/>
            <sz val="9"/>
            <color indexed="81"/>
            <rFont val="Arial"/>
          </rPr>
          <t>Lyndon Estes:</t>
        </r>
        <r>
          <rPr>
            <sz val="9"/>
            <color indexed="81"/>
            <rFont val="Arial"/>
          </rPr>
          <t xml:space="preserve">
Assume 20 minutes to collect 3 soil samples per quadrat</t>
        </r>
      </text>
    </comment>
    <comment ref="P36" authorId="0">
      <text>
        <r>
          <rPr>
            <b/>
            <sz val="9"/>
            <color indexed="81"/>
            <rFont val="Arial"/>
          </rPr>
          <t>Lyndon Estes:</t>
        </r>
        <r>
          <rPr>
            <sz val="9"/>
            <color indexed="81"/>
            <rFont val="Arial"/>
          </rPr>
          <t xml:space="preserve">
Assume three months for the whole study
12/4/2017: Changed from 90 to equal actual duration, because once-off</t>
        </r>
      </text>
    </comment>
    <comment ref="K37" authorId="0">
      <text>
        <r>
          <rPr>
            <b/>
            <sz val="9"/>
            <color indexed="81"/>
            <rFont val="Calibri"/>
            <family val="2"/>
          </rPr>
          <t>Lyndon Estes:</t>
        </r>
        <r>
          <rPr>
            <sz val="9"/>
            <color indexed="81"/>
            <rFont val="Calibri"/>
            <family val="2"/>
          </rPr>
          <t xml:space="preserve">
Took linear length estimates of both caves and assumed each was about 20 m wide</t>
        </r>
      </text>
    </comment>
    <comment ref="M37" authorId="0">
      <text>
        <r>
          <rPr>
            <b/>
            <sz val="9"/>
            <color indexed="81"/>
            <rFont val="Arial"/>
          </rPr>
          <t>Lyndon Estes:</t>
        </r>
        <r>
          <rPr>
            <sz val="9"/>
            <color indexed="81"/>
            <rFont val="Arial"/>
          </rPr>
          <t xml:space="preserve">
Authors say at least 25 minutes done to scan for arthropods, so that's a minimum</t>
        </r>
      </text>
    </comment>
    <comment ref="O37" authorId="0">
      <text>
        <r>
          <rPr>
            <b/>
            <sz val="9"/>
            <color indexed="81"/>
            <rFont val="Arial"/>
          </rPr>
          <t>Lyndon Estes:</t>
        </r>
        <r>
          <rPr>
            <sz val="9"/>
            <color indexed="81"/>
            <rFont val="Arial"/>
          </rPr>
          <t xml:space="preserve">
Authors say at least 25 minutes done to scan for arthropods, so that's a minimum</t>
        </r>
      </text>
    </comment>
    <comment ref="P37" authorId="0">
      <text>
        <r>
          <rPr>
            <b/>
            <sz val="9"/>
            <color indexed="81"/>
            <rFont val="Arial"/>
          </rPr>
          <t>Lyndon Estes:</t>
        </r>
        <r>
          <rPr>
            <sz val="9"/>
            <color indexed="81"/>
            <rFont val="Arial"/>
          </rPr>
          <t xml:space="preserve">
February, 2001
12/4/2017: Changed from 28 to equal actual duration, because once-off</t>
        </r>
      </text>
    </comment>
    <comment ref="I38" authorId="0">
      <text>
        <r>
          <rPr>
            <b/>
            <sz val="9"/>
            <color indexed="81"/>
            <rFont val="Arial"/>
          </rPr>
          <t>Lyndon Estes:</t>
        </r>
        <r>
          <rPr>
            <sz val="9"/>
            <color indexed="81"/>
            <rFont val="Arial"/>
          </rPr>
          <t xml:space="preserve">
assume instruments has 1 cm diameter for t/soil moisture, etc.</t>
        </r>
      </text>
    </comment>
    <comment ref="J38" authorId="0">
      <text>
        <r>
          <rPr>
            <b/>
            <sz val="9"/>
            <color indexed="81"/>
            <rFont val="Arial"/>
          </rPr>
          <t>Lyndon Estes:</t>
        </r>
        <r>
          <rPr>
            <sz val="9"/>
            <color indexed="81"/>
            <rFont val="Arial"/>
          </rPr>
          <t xml:space="preserve">
Measurements were made beyond the first 20 meters into the cave, but results not provided beyond that
</t>
        </r>
      </text>
    </comment>
    <comment ref="K38" authorId="0">
      <text>
        <r>
          <rPr>
            <b/>
            <sz val="9"/>
            <color indexed="81"/>
            <rFont val="Calibri"/>
            <family val="2"/>
          </rPr>
          <t>Lyndon Estes:</t>
        </r>
        <r>
          <rPr>
            <sz val="9"/>
            <color indexed="81"/>
            <rFont val="Calibri"/>
            <family val="2"/>
          </rPr>
          <t xml:space="preserve">
Took linear length estimates of both caves and assumed each was about 20 m wide</t>
        </r>
      </text>
    </comment>
    <comment ref="M38" authorId="0">
      <text>
        <r>
          <rPr>
            <b/>
            <sz val="9"/>
            <color indexed="81"/>
            <rFont val="Arial"/>
          </rPr>
          <t>Lyndon Estes:</t>
        </r>
        <r>
          <rPr>
            <sz val="9"/>
            <color indexed="81"/>
            <rFont val="Arial"/>
          </rPr>
          <t xml:space="preserve">
assume readings were taken at end of 25 minute athropod sample, to equilibrate</t>
        </r>
      </text>
    </comment>
    <comment ref="P38" authorId="0">
      <text>
        <r>
          <rPr>
            <b/>
            <sz val="9"/>
            <color indexed="81"/>
            <rFont val="Arial"/>
          </rPr>
          <t>Lyndon Estes:</t>
        </r>
        <r>
          <rPr>
            <sz val="9"/>
            <color indexed="81"/>
            <rFont val="Arial"/>
          </rPr>
          <t xml:space="preserve">
February, 2001
12/4/2017: Changed from 28 to equal actual duration, because once-off</t>
        </r>
      </text>
    </comment>
    <comment ref="I39" authorId="0">
      <text>
        <r>
          <rPr>
            <b/>
            <sz val="9"/>
            <color indexed="81"/>
            <rFont val="Arial"/>
          </rPr>
          <t>Lyndon Estes:</t>
        </r>
        <r>
          <rPr>
            <sz val="9"/>
            <color indexed="81"/>
            <rFont val="Arial"/>
          </rPr>
          <t xml:space="preserve">
assume 1X1 m raccoon trap</t>
        </r>
      </text>
    </comment>
    <comment ref="J39" authorId="0">
      <text>
        <r>
          <rPr>
            <b/>
            <sz val="9"/>
            <color indexed="81"/>
            <rFont val="Arial"/>
          </rPr>
          <t>Lyndon Estes:</t>
        </r>
        <r>
          <rPr>
            <sz val="9"/>
            <color indexed="81"/>
            <rFont val="Arial"/>
          </rPr>
          <t xml:space="preserve">
Hard to tell, but maximum N of traps reported per woodlot was 30.  I assume 20here</t>
        </r>
      </text>
    </comment>
    <comment ref="K39" authorId="0">
      <text>
        <r>
          <rPr>
            <b/>
            <sz val="9"/>
            <color indexed="81"/>
            <rFont val="Calibri"/>
            <family val="2"/>
          </rPr>
          <t>Lyndon Estes:</t>
        </r>
        <r>
          <rPr>
            <sz val="9"/>
            <color indexed="81"/>
            <rFont val="Calibri"/>
            <family val="2"/>
          </rPr>
          <t xml:space="preserve">
Polygon around estimated location of control woodlots estimated in my maps (under layer Nally, Olson, and onward)</t>
        </r>
      </text>
    </comment>
    <comment ref="O39" authorId="0">
      <text>
        <r>
          <rPr>
            <b/>
            <sz val="9"/>
            <color indexed="81"/>
            <rFont val="Arial"/>
          </rPr>
          <t>Lyndon Estes:</t>
        </r>
        <r>
          <rPr>
            <sz val="9"/>
            <color indexed="81"/>
            <rFont val="Arial"/>
          </rPr>
          <t xml:space="preserve">
Assuming trapping was constant. 4 years of trapping. Start and end dates assumed, inferred from ref study</t>
        </r>
      </text>
    </comment>
    <comment ref="P39" authorId="0">
      <text>
        <r>
          <rPr>
            <b/>
            <sz val="9"/>
            <color indexed="81"/>
            <rFont val="Arial"/>
          </rPr>
          <t>Lyndon Estes:</t>
        </r>
        <r>
          <rPr>
            <sz val="9"/>
            <color indexed="81"/>
            <rFont val="Arial"/>
          </rPr>
          <t xml:space="preserve">
Start and end dates not quite known</t>
        </r>
      </text>
    </comment>
    <comment ref="I40" authorId="0">
      <text>
        <r>
          <rPr>
            <b/>
            <sz val="9"/>
            <color indexed="81"/>
            <rFont val="Arial"/>
          </rPr>
          <t>Lyndon Estes:</t>
        </r>
        <r>
          <rPr>
            <sz val="9"/>
            <color indexed="81"/>
            <rFont val="Arial"/>
          </rPr>
          <t xml:space="preserve">
30 cm diameter sampling sieve, repeated 7 time for one sample</t>
        </r>
      </text>
    </comment>
    <comment ref="K40" authorId="0">
      <text>
        <r>
          <rPr>
            <b/>
            <sz val="9"/>
            <color indexed="81"/>
            <rFont val="Calibri"/>
            <family val="2"/>
          </rPr>
          <t>Lyndon Estes:</t>
        </r>
        <r>
          <rPr>
            <sz val="9"/>
            <color indexed="81"/>
            <rFont val="Calibri"/>
            <family val="2"/>
          </rPr>
          <t xml:space="preserve">
Assume that 1 ha in all is covered because sampling done from anchored position or "slowly circling around". Thus assume movement within this area</t>
        </r>
      </text>
    </comment>
    <comment ref="M40" authorId="0">
      <text>
        <r>
          <rPr>
            <b/>
            <sz val="9"/>
            <color indexed="81"/>
            <rFont val="Arial"/>
          </rPr>
          <t>Lyndon Estes:</t>
        </r>
        <r>
          <rPr>
            <sz val="9"/>
            <color indexed="81"/>
            <rFont val="Arial"/>
          </rPr>
          <t xml:space="preserve">
Assume the 7 samples took 1 hour to do</t>
        </r>
      </text>
    </comment>
    <comment ref="N40" authorId="0">
      <text>
        <r>
          <rPr>
            <b/>
            <sz val="9"/>
            <color indexed="81"/>
            <rFont val="Arial"/>
          </rPr>
          <t>Lyndon Estes:</t>
        </r>
        <r>
          <rPr>
            <sz val="9"/>
            <color indexed="81"/>
            <rFont val="Arial"/>
          </rPr>
          <t xml:space="preserve">
Sampling from about January, 2009 to May, 2012.  Counted data points, and looks like 35-36)</t>
        </r>
      </text>
    </comment>
    <comment ref="P40" authorId="0">
      <text>
        <r>
          <rPr>
            <b/>
            <sz val="9"/>
            <color indexed="81"/>
            <rFont val="Arial"/>
          </rPr>
          <t>Lyndon Estes:</t>
        </r>
        <r>
          <rPr>
            <sz val="9"/>
            <color indexed="81"/>
            <rFont val="Arial"/>
          </rPr>
          <t xml:space="preserve">
Assume January 1, 2009 until 31 May, 2012</t>
        </r>
      </text>
    </comment>
    <comment ref="I41" authorId="0">
      <text>
        <r>
          <rPr>
            <b/>
            <sz val="9"/>
            <color indexed="81"/>
            <rFont val="Arial"/>
          </rPr>
          <t>Lyndon Estes:</t>
        </r>
        <r>
          <rPr>
            <sz val="9"/>
            <color indexed="81"/>
            <rFont val="Arial"/>
          </rPr>
          <t xml:space="preserve">
Seabird sensor looks about 1 m diameter, and lowered to collect full profile</t>
        </r>
      </text>
    </comment>
    <comment ref="J41" authorId="0">
      <text>
        <r>
          <rPr>
            <b/>
            <sz val="9"/>
            <color indexed="81"/>
            <rFont val="Arial"/>
          </rPr>
          <t>Lyndon Estes:</t>
        </r>
        <r>
          <rPr>
            <sz val="9"/>
            <color indexed="81"/>
            <rFont val="Arial"/>
          </rPr>
          <t xml:space="preserve">
based on counting n samples in depth profiles fig. 6b</t>
        </r>
      </text>
    </comment>
    <comment ref="K41" authorId="0">
      <text>
        <r>
          <rPr>
            <b/>
            <sz val="9"/>
            <color indexed="81"/>
            <rFont val="Calibri"/>
            <family val="2"/>
          </rPr>
          <t>Lyndon Estes:</t>
        </r>
        <r>
          <rPr>
            <sz val="9"/>
            <color indexed="81"/>
            <rFont val="Calibri"/>
            <family val="2"/>
          </rPr>
          <t xml:space="preserve">
Measured length of Figure track along latitude lines in Google Earth. Assumed 50 m wide track</t>
        </r>
      </text>
    </comment>
    <comment ref="M41" authorId="0">
      <text>
        <r>
          <rPr>
            <b/>
            <sz val="9"/>
            <color indexed="81"/>
            <rFont val="Arial"/>
          </rPr>
          <t>Lyndon Estes:</t>
        </r>
        <r>
          <rPr>
            <sz val="9"/>
            <color indexed="81"/>
            <rFont val="Arial"/>
          </rPr>
          <t xml:space="preserve">
Assume took 2 hours to do depth profile</t>
        </r>
      </text>
    </comment>
    <comment ref="P41" authorId="0">
      <text>
        <r>
          <rPr>
            <b/>
            <sz val="9"/>
            <color indexed="81"/>
            <rFont val="Calibri"/>
            <family val="2"/>
          </rPr>
          <t>Lyndon Estes:</t>
        </r>
        <r>
          <rPr>
            <sz val="9"/>
            <color indexed="81"/>
            <rFont val="Calibri"/>
            <family val="2"/>
          </rPr>
          <t xml:space="preserve">
12/4/17: changed from DATEDIF("28/12/2011", "25/1/2012", "d") because single measurments at each station, so equals actual duration</t>
        </r>
      </text>
    </comment>
    <comment ref="I42" authorId="0">
      <text>
        <r>
          <rPr>
            <sz val="9"/>
            <color indexed="81"/>
            <rFont val="Arial"/>
          </rPr>
          <t>shipborne PAR detector, assume 10 cm diameter</t>
        </r>
      </text>
    </comment>
    <comment ref="J42" authorId="0">
      <text>
        <r>
          <rPr>
            <b/>
            <sz val="9"/>
            <color indexed="81"/>
            <rFont val="Arial"/>
          </rPr>
          <t>Lyndon Estes:</t>
        </r>
        <r>
          <rPr>
            <sz val="9"/>
            <color indexed="81"/>
            <rFont val="Arial"/>
          </rPr>
          <t xml:space="preserve">
they took PAR readings every 10 minutes over the 28 days
12/4/2017: 
Changed this to represent number of stations that they stopped at. Original calculation was: ((P42*24*60) / 10)</t>
        </r>
      </text>
    </comment>
    <comment ref="K42" authorId="0">
      <text>
        <r>
          <rPr>
            <b/>
            <sz val="9"/>
            <color indexed="81"/>
            <rFont val="Calibri"/>
            <family val="2"/>
          </rPr>
          <t>Lyndon Estes:</t>
        </r>
        <r>
          <rPr>
            <sz val="9"/>
            <color indexed="81"/>
            <rFont val="Calibri"/>
            <family val="2"/>
          </rPr>
          <t xml:space="preserve">
Measured length of Figure track along latitude lines in Google Earth. Assumed 50 m wide track</t>
        </r>
      </text>
    </comment>
    <comment ref="M42" authorId="0">
      <text>
        <r>
          <rPr>
            <b/>
            <sz val="9"/>
            <color indexed="81"/>
            <rFont val="Arial"/>
          </rPr>
          <t>Lyndon Estes:</t>
        </r>
        <r>
          <rPr>
            <sz val="9"/>
            <color indexed="81"/>
            <rFont val="Arial"/>
          </rPr>
          <t xml:space="preserve">
instantaneous</t>
        </r>
      </text>
    </comment>
    <comment ref="O42" authorId="0">
      <text>
        <r>
          <rPr>
            <b/>
            <sz val="9"/>
            <color indexed="81"/>
            <rFont val="Calibri"/>
            <family val="2"/>
          </rPr>
          <t>Lyndon Estes:</t>
        </r>
        <r>
          <rPr>
            <sz val="9"/>
            <color indexed="81"/>
            <rFont val="Calibri"/>
            <family val="2"/>
          </rPr>
          <t xml:space="preserve">
12/4/2017: 
Changed from M42*J42 to be actual duration for repeat counts taken every 10 minutes over average time spent at station (1.333 days)</t>
        </r>
      </text>
    </comment>
    <comment ref="P42" authorId="0">
      <text>
        <r>
          <rPr>
            <b/>
            <sz val="9"/>
            <color indexed="81"/>
            <rFont val="Calibri"/>
            <family val="2"/>
          </rPr>
          <t>Lyndon Estes:</t>
        </r>
        <r>
          <rPr>
            <sz val="9"/>
            <color indexed="81"/>
            <rFont val="Calibri"/>
            <family val="2"/>
          </rPr>
          <t xml:space="preserve">
12/4/2017: 
These were continuous, over voyage, but basically doesn't represent the same place in time, so assume repeats are actually for approximate time spent at each of 21 stations</t>
        </r>
      </text>
    </comment>
    <comment ref="I43" authorId="0">
      <text>
        <r>
          <rPr>
            <b/>
            <sz val="9"/>
            <color indexed="81"/>
            <rFont val="Arial"/>
          </rPr>
          <t>Lyndon Estes:</t>
        </r>
        <r>
          <rPr>
            <sz val="9"/>
            <color indexed="81"/>
            <rFont val="Arial"/>
          </rPr>
          <t xml:space="preserve">
assume they used 1 km modis products, which is 0.00833 degrees. Estimate area from area in R after defining bounding extents with this resolution</t>
        </r>
      </text>
    </comment>
    <comment ref="M43" authorId="0">
      <text>
        <r>
          <rPr>
            <b/>
            <sz val="9"/>
            <color indexed="81"/>
            <rFont val="Arial"/>
          </rPr>
          <t>Lyndon Estes:</t>
        </r>
        <r>
          <rPr>
            <sz val="9"/>
            <color indexed="81"/>
            <rFont val="Arial"/>
          </rPr>
          <t xml:space="preserve">
instantaneous</t>
        </r>
      </text>
    </comment>
    <comment ref="O43" authorId="0">
      <text>
        <r>
          <rPr>
            <b/>
            <sz val="9"/>
            <color indexed="81"/>
            <rFont val="Arial"/>
          </rPr>
          <t>Lyndon Estes:</t>
        </r>
        <r>
          <rPr>
            <sz val="9"/>
            <color indexed="81"/>
            <rFont val="Arial"/>
          </rPr>
          <t xml:space="preserve">
assume daily modis data from 1/9/11 to 29/2/12</t>
        </r>
      </text>
    </comment>
    <comment ref="P43" authorId="0">
      <text>
        <r>
          <rPr>
            <b/>
            <sz val="9"/>
            <color indexed="81"/>
            <rFont val="Arial"/>
          </rPr>
          <t>Lyndon Estes:</t>
        </r>
        <r>
          <rPr>
            <sz val="9"/>
            <color indexed="81"/>
            <rFont val="Arial"/>
          </rPr>
          <t xml:space="preserve">
assume daily modis data from 1/9/11 to 29/2/12</t>
        </r>
      </text>
    </comment>
    <comment ref="I44" authorId="0">
      <text>
        <r>
          <rPr>
            <sz val="9"/>
            <color indexed="81"/>
            <rFont val="Arial"/>
          </rPr>
          <t xml:space="preserve">assume 10 cm diameter for towed fish intake
</t>
        </r>
      </text>
    </comment>
    <comment ref="J44" authorId="0">
      <text>
        <r>
          <rPr>
            <b/>
            <sz val="9"/>
            <color indexed="81"/>
            <rFont val="Arial"/>
          </rPr>
          <t>Lyndon Estes:</t>
        </r>
        <r>
          <rPr>
            <sz val="9"/>
            <color indexed="81"/>
            <rFont val="Arial"/>
          </rPr>
          <t xml:space="preserve">
based on counting fig. 2 observations (d)
Recounted on 24/3/2017, changed from 13 to 29</t>
        </r>
      </text>
    </comment>
    <comment ref="K44" authorId="0">
      <text>
        <r>
          <rPr>
            <b/>
            <sz val="9"/>
            <color indexed="81"/>
            <rFont val="Calibri"/>
            <family val="2"/>
          </rPr>
          <t>Lyndon Estes:</t>
        </r>
        <r>
          <rPr>
            <sz val="9"/>
            <color indexed="81"/>
            <rFont val="Calibri"/>
            <family val="2"/>
          </rPr>
          <t xml:space="preserve">
Measured length of Figure track along latitude lines in Google Earth. Assumed 50 m wide track</t>
        </r>
      </text>
    </comment>
    <comment ref="M44" authorId="0">
      <text>
        <r>
          <rPr>
            <b/>
            <sz val="9"/>
            <color indexed="81"/>
            <rFont val="Arial"/>
          </rPr>
          <t>Lyndon Estes:</t>
        </r>
        <r>
          <rPr>
            <sz val="9"/>
            <color indexed="81"/>
            <rFont val="Arial"/>
          </rPr>
          <t xml:space="preserve">
instantaneous
12/4/2017: Assumed two minutes per collection</t>
        </r>
      </text>
    </comment>
    <comment ref="N44" authorId="0">
      <text>
        <r>
          <rPr>
            <b/>
            <sz val="9"/>
            <color indexed="81"/>
            <rFont val="Arial"/>
          </rPr>
          <t>Lyndon Estes:</t>
        </r>
        <r>
          <rPr>
            <sz val="9"/>
            <color indexed="81"/>
            <rFont val="Arial"/>
          </rPr>
          <t xml:space="preserve">
Sampling from about January, 2009 to May, 2012.  Fish used 13 times)
12/4/2017: 
This was a mistake, I belief. Originally had it as =(365*3+5*30) / 13 (95.8), but this was only a 28 day cruise. Furthermore, this was not a once-off. Must have copied this from another study. 
Reset to 0 repeats, because this was just once-off per station</t>
        </r>
      </text>
    </comment>
    <comment ref="O44" authorId="0">
      <text>
        <r>
          <rPr>
            <b/>
            <sz val="9"/>
            <color indexed="81"/>
            <rFont val="Calibri"/>
            <family val="2"/>
          </rPr>
          <t>Lyndon Estes:</t>
        </r>
        <r>
          <rPr>
            <sz val="9"/>
            <color indexed="81"/>
            <rFont val="Calibri"/>
            <family val="2"/>
          </rPr>
          <t xml:space="preserve">
12/4/2017: Set to sample duration, because just once-off per station</t>
        </r>
      </text>
    </comment>
    <comment ref="P44" authorId="0">
      <text>
        <r>
          <rPr>
            <b/>
            <sz val="9"/>
            <color indexed="81"/>
            <rFont val="Calibri"/>
            <family val="2"/>
          </rPr>
          <t>Lyndon Estes:</t>
        </r>
        <r>
          <rPr>
            <sz val="9"/>
            <color indexed="81"/>
            <rFont val="Calibri"/>
            <family val="2"/>
          </rPr>
          <t xml:space="preserve">
12/4/2017: Changed from cruise duration DATEDIF("28/12/2011", "25/1/2012", "d") to sample/actual duration, as each treatment is once-off (one replicate per station)</t>
        </r>
      </text>
    </comment>
    <comment ref="I45" authorId="0">
      <text>
        <r>
          <rPr>
            <b/>
            <sz val="9"/>
            <color indexed="81"/>
            <rFont val="Arial"/>
          </rPr>
          <t>Lyndon Estes:</t>
        </r>
        <r>
          <rPr>
            <sz val="9"/>
            <color indexed="81"/>
            <rFont val="Arial"/>
          </rPr>
          <t xml:space="preserve">
assume swallow nest is unit in this sample, 15 cm diameter</t>
        </r>
      </text>
    </comment>
    <comment ref="K45" authorId="0">
      <text>
        <r>
          <rPr>
            <b/>
            <sz val="9"/>
            <color indexed="81"/>
            <rFont val="Calibri"/>
            <family val="2"/>
          </rPr>
          <t>Lyndon Estes:</t>
        </r>
        <r>
          <rPr>
            <sz val="9"/>
            <color indexed="81"/>
            <rFont val="Calibri"/>
            <family val="2"/>
          </rPr>
          <t xml:space="preserve">
9 colonies mentioned, but no locations given</t>
        </r>
      </text>
    </comment>
    <comment ref="M45" authorId="0">
      <text>
        <r>
          <rPr>
            <b/>
            <sz val="9"/>
            <color indexed="81"/>
            <rFont val="Arial"/>
          </rPr>
          <t>Lyndon Estes:</t>
        </r>
        <r>
          <rPr>
            <sz val="9"/>
            <color indexed="81"/>
            <rFont val="Arial"/>
          </rPr>
          <t xml:space="preserve">
assume 5 minutes to sample nest</t>
        </r>
      </text>
    </comment>
    <comment ref="O45" authorId="0">
      <text>
        <r>
          <rPr>
            <b/>
            <sz val="9"/>
            <color indexed="81"/>
            <rFont val="Arial"/>
          </rPr>
          <t>Lyndon Estes:</t>
        </r>
        <r>
          <rPr>
            <sz val="9"/>
            <color indexed="81"/>
            <rFont val="Arial"/>
          </rPr>
          <t xml:space="preserve">
assume 1 month represents "spring" in each year of study, 2001-2002</t>
        </r>
      </text>
    </comment>
    <comment ref="P45" authorId="0">
      <text>
        <r>
          <rPr>
            <b/>
            <sz val="9"/>
            <color indexed="81"/>
            <rFont val="Arial"/>
          </rPr>
          <t>Lyndon Estes:</t>
        </r>
        <r>
          <rPr>
            <sz val="9"/>
            <color indexed="81"/>
            <rFont val="Arial"/>
          </rPr>
          <t xml:space="preserve">
Assume spring range from 1/4 to 15/5</t>
        </r>
      </text>
    </comment>
    <comment ref="I46" authorId="0">
      <text>
        <r>
          <rPr>
            <b/>
            <sz val="9"/>
            <color indexed="81"/>
            <rFont val="Arial"/>
          </rPr>
          <t>Lyndon Estes:</t>
        </r>
        <r>
          <rPr>
            <sz val="9"/>
            <color indexed="81"/>
            <rFont val="Arial"/>
          </rPr>
          <t xml:space="preserve">
assume baby swallow is 5 cm "diameter"</t>
        </r>
      </text>
    </comment>
    <comment ref="K46" authorId="0">
      <text>
        <r>
          <rPr>
            <b/>
            <sz val="9"/>
            <color indexed="81"/>
            <rFont val="Calibri"/>
            <family val="2"/>
          </rPr>
          <t>Lyndon Estes:</t>
        </r>
        <r>
          <rPr>
            <sz val="9"/>
            <color indexed="81"/>
            <rFont val="Calibri"/>
            <family val="2"/>
          </rPr>
          <t xml:space="preserve">
9 colonies mentioned, but no locations given</t>
        </r>
      </text>
    </comment>
    <comment ref="M46" authorId="0">
      <text>
        <r>
          <rPr>
            <b/>
            <sz val="9"/>
            <color indexed="81"/>
            <rFont val="Arial"/>
          </rPr>
          <t>Lyndon Estes:</t>
        </r>
        <r>
          <rPr>
            <sz val="9"/>
            <color indexed="81"/>
            <rFont val="Arial"/>
          </rPr>
          <t xml:space="preserve">
assume 10 minutes to measure bird bodies</t>
        </r>
      </text>
    </comment>
    <comment ref="N46" authorId="0">
      <text>
        <r>
          <rPr>
            <b/>
            <sz val="9"/>
            <color indexed="81"/>
            <rFont val="Arial"/>
          </rPr>
          <t>Lyndon Estes:</t>
        </r>
        <r>
          <rPr>
            <sz val="9"/>
            <color indexed="81"/>
            <rFont val="Arial"/>
          </rPr>
          <t xml:space="preserve">
birds measured on days 4, 7, 12 post hatching</t>
        </r>
      </text>
    </comment>
    <comment ref="O46" authorId="0">
      <text>
        <r>
          <rPr>
            <b/>
            <sz val="9"/>
            <color indexed="81"/>
            <rFont val="Arial"/>
          </rPr>
          <t>Lyndon Estes:</t>
        </r>
        <r>
          <rPr>
            <sz val="9"/>
            <color indexed="81"/>
            <rFont val="Arial"/>
          </rPr>
          <t xml:space="preserve">
assume this was done 3 times total per bird, because different birds in the two seasons</t>
        </r>
      </text>
    </comment>
    <comment ref="P46" authorId="0">
      <text>
        <r>
          <rPr>
            <b/>
            <sz val="9"/>
            <color indexed="81"/>
            <rFont val="Arial"/>
          </rPr>
          <t>Lyndon Estes:</t>
        </r>
        <r>
          <rPr>
            <sz val="9"/>
            <color indexed="81"/>
            <rFont val="Arial"/>
          </rPr>
          <t xml:space="preserve">
Assume spring range from 1/4 to 15/5</t>
        </r>
      </text>
    </comment>
    <comment ref="I47" authorId="0">
      <text>
        <r>
          <rPr>
            <b/>
            <sz val="9"/>
            <color indexed="81"/>
            <rFont val="Arial"/>
          </rPr>
          <t>Lyndon Estes:</t>
        </r>
        <r>
          <rPr>
            <sz val="9"/>
            <color indexed="81"/>
            <rFont val="Arial"/>
          </rPr>
          <t xml:space="preserve">
assume pinus taeda catkin is 0.5 cm radius
</t>
        </r>
      </text>
    </comment>
    <comment ref="J47" authorId="0">
      <text>
        <r>
          <rPr>
            <b/>
            <sz val="9"/>
            <color indexed="81"/>
            <rFont val="Arial"/>
          </rPr>
          <t>Lyndon Estes:</t>
        </r>
        <r>
          <rPr>
            <sz val="9"/>
            <color indexed="81"/>
            <rFont val="Arial"/>
          </rPr>
          <t xml:space="preserve">
No information given on how many catkins collected. Assume 3 per genotype, and there were a total of10 genotypes</t>
        </r>
      </text>
    </comment>
    <comment ref="K47" authorId="0">
      <text>
        <r>
          <rPr>
            <b/>
            <sz val="9"/>
            <color indexed="81"/>
            <rFont val="Calibri"/>
            <family val="2"/>
          </rPr>
          <t>Lyndon Estes:</t>
        </r>
        <r>
          <rPr>
            <sz val="9"/>
            <color indexed="81"/>
            <rFont val="Calibri"/>
            <family val="2"/>
          </rPr>
          <t xml:space="preserve">
Acres of Harrison Experiment forest in MS, given by USFS site. For Blackwood division of Duke forest, found wikipedia area of Duke Forest (2860 ha), and divided by 6 and adjusted down to 450 because it looked smaller than a few other section</t>
        </r>
      </text>
    </comment>
    <comment ref="M47" authorId="0">
      <text>
        <r>
          <rPr>
            <b/>
            <sz val="9"/>
            <color indexed="81"/>
            <rFont val="Arial"/>
          </rPr>
          <t>Lyndon Estes:</t>
        </r>
        <r>
          <rPr>
            <sz val="9"/>
            <color indexed="81"/>
            <rFont val="Arial"/>
          </rPr>
          <t xml:space="preserve">
assume 1 minute per catkin</t>
        </r>
      </text>
    </comment>
    <comment ref="P47" authorId="0">
      <text>
        <r>
          <rPr>
            <b/>
            <sz val="9"/>
            <color indexed="81"/>
            <rFont val="Calibri"/>
            <family val="2"/>
          </rPr>
          <t>Lyndon Estes:</t>
        </r>
        <r>
          <rPr>
            <sz val="9"/>
            <color indexed="81"/>
            <rFont val="Calibri"/>
            <family val="2"/>
          </rPr>
          <t xml:space="preserve">
12/4/2017: Changed from =DATEDIF("14/3/2006", "7/4/2006", "d") to actual duration, because once-off</t>
        </r>
      </text>
    </comment>
    <comment ref="K48" authorId="0">
      <text>
        <r>
          <rPr>
            <b/>
            <sz val="9"/>
            <color indexed="81"/>
            <rFont val="Calibri"/>
            <family val="2"/>
          </rPr>
          <t>Lyndon Estes:</t>
        </r>
        <r>
          <rPr>
            <sz val="9"/>
            <color indexed="81"/>
            <rFont val="Calibri"/>
            <family val="2"/>
          </rPr>
          <t xml:space="preserve">
Authors mention that plots are within 100 m of tower, so I assume radius of 100 m</t>
        </r>
      </text>
    </comment>
    <comment ref="M48" authorId="0">
      <text>
        <r>
          <rPr>
            <b/>
            <sz val="9"/>
            <color indexed="81"/>
            <rFont val="Arial"/>
          </rPr>
          <t>Lyndon Estes:</t>
        </r>
        <r>
          <rPr>
            <sz val="9"/>
            <color indexed="81"/>
            <rFont val="Arial"/>
          </rPr>
          <t xml:space="preserve">
assume took 60 minutes to sample each plot</t>
        </r>
      </text>
    </comment>
    <comment ref="O48" authorId="0">
      <text>
        <r>
          <rPr>
            <b/>
            <sz val="9"/>
            <color indexed="81"/>
            <rFont val="Arial"/>
          </rPr>
          <t>Lyndon Estes:</t>
        </r>
        <r>
          <rPr>
            <sz val="9"/>
            <color indexed="81"/>
            <rFont val="Arial"/>
          </rPr>
          <t xml:space="preserve">
collected once in each of 3 years</t>
        </r>
      </text>
    </comment>
    <comment ref="P48" authorId="0">
      <text>
        <r>
          <rPr>
            <b/>
            <sz val="9"/>
            <color indexed="81"/>
            <rFont val="Arial"/>
          </rPr>
          <t>Lyndon Estes:</t>
        </r>
        <r>
          <rPr>
            <sz val="9"/>
            <color indexed="81"/>
            <rFont val="Arial"/>
          </rPr>
          <t xml:space="preserve">
start and end date of study unclear</t>
        </r>
      </text>
    </comment>
    <comment ref="I49" authorId="0">
      <text>
        <r>
          <rPr>
            <b/>
            <sz val="9"/>
            <color indexed="81"/>
            <rFont val="Arial"/>
          </rPr>
          <t>Lyndon Estes:</t>
        </r>
        <r>
          <rPr>
            <sz val="9"/>
            <color indexed="81"/>
            <rFont val="Arial"/>
          </rPr>
          <t xml:space="preserve">
assume 1 cm radius temp measurements, for all variables in flux tower</t>
        </r>
      </text>
    </comment>
    <comment ref="K49" authorId="0">
      <text>
        <r>
          <rPr>
            <b/>
            <sz val="9"/>
            <color indexed="81"/>
            <rFont val="Calibri"/>
            <family val="2"/>
          </rPr>
          <t>Lyndon Estes:</t>
        </r>
        <r>
          <rPr>
            <sz val="9"/>
            <color indexed="81"/>
            <rFont val="Calibri"/>
            <family val="2"/>
          </rPr>
          <t xml:space="preserve">
Page 549 mentions that 80 radius is footprint of tower. Assuming that for biometric measurements and met data</t>
        </r>
      </text>
    </comment>
    <comment ref="N49" authorId="0">
      <text>
        <r>
          <rPr>
            <b/>
            <sz val="9"/>
            <color indexed="81"/>
            <rFont val="Arial"/>
          </rPr>
          <t>Lyndon Estes:</t>
        </r>
        <r>
          <rPr>
            <sz val="9"/>
            <color indexed="81"/>
            <rFont val="Arial"/>
          </rPr>
          <t xml:space="preserve">
10 seconds between samples</t>
        </r>
      </text>
    </comment>
    <comment ref="O49" authorId="0">
      <text>
        <r>
          <rPr>
            <b/>
            <sz val="9"/>
            <color indexed="81"/>
            <rFont val="Arial"/>
          </rPr>
          <t>Lyndon Estes:</t>
        </r>
        <r>
          <rPr>
            <sz val="9"/>
            <color indexed="81"/>
            <rFont val="Arial"/>
          </rPr>
          <t xml:space="preserve">
21/5/2016: Fixed because they were actually logging every 10 seconds, so summed every 10th second across 265 day period of measurement over 3 years</t>
        </r>
      </text>
    </comment>
    <comment ref="M50" authorId="0">
      <text>
        <r>
          <rPr>
            <b/>
            <sz val="9"/>
            <color indexed="81"/>
            <rFont val="Arial"/>
          </rPr>
          <t>Lyndon Estes:</t>
        </r>
        <r>
          <rPr>
            <sz val="9"/>
            <color indexed="81"/>
            <rFont val="Arial"/>
          </rPr>
          <t xml:space="preserve">
assume took 60 minutes to sample each plot</t>
        </r>
      </text>
    </comment>
    <comment ref="P50" authorId="0">
      <text>
        <r>
          <rPr>
            <b/>
            <sz val="9"/>
            <color indexed="81"/>
            <rFont val="Arial"/>
          </rPr>
          <t>Lyndon Estes:</t>
        </r>
        <r>
          <rPr>
            <sz val="9"/>
            <color indexed="81"/>
            <rFont val="Arial"/>
          </rPr>
          <t xml:space="preserve">
assume this part of study was a single day</t>
        </r>
      </text>
    </comment>
    <comment ref="I51" authorId="0">
      <text>
        <r>
          <rPr>
            <b/>
            <sz val="9"/>
            <color indexed="81"/>
            <rFont val="Arial"/>
          </rPr>
          <t>Lyndon Estes:</t>
        </r>
        <r>
          <rPr>
            <sz val="9"/>
            <color indexed="81"/>
            <rFont val="Arial"/>
          </rPr>
          <t xml:space="preserve">
Assume 1 cm wide core and 5 cm long core on average
</t>
        </r>
      </text>
    </comment>
    <comment ref="K51" authorId="0">
      <text>
        <r>
          <rPr>
            <b/>
            <sz val="9"/>
            <color indexed="81"/>
            <rFont val="Calibri"/>
            <family val="2"/>
          </rPr>
          <t>Lyndon Estes:</t>
        </r>
        <r>
          <rPr>
            <sz val="9"/>
            <color indexed="81"/>
            <rFont val="Calibri"/>
            <family val="2"/>
          </rPr>
          <t xml:space="preserve">
Page 549 mentions that 80 radius is footprint of tower. Assuming that for biometric measurements and met data</t>
        </r>
      </text>
    </comment>
    <comment ref="M51" authorId="0">
      <text>
        <r>
          <rPr>
            <b/>
            <sz val="9"/>
            <color indexed="81"/>
            <rFont val="Arial"/>
          </rPr>
          <t>Lyndon Estes:</t>
        </r>
        <r>
          <rPr>
            <sz val="9"/>
            <color indexed="81"/>
            <rFont val="Arial"/>
          </rPr>
          <t xml:space="preserve">
assume 15
 minutes to take a core</t>
        </r>
      </text>
    </comment>
    <comment ref="P51" authorId="0">
      <text>
        <r>
          <rPr>
            <b/>
            <sz val="9"/>
            <color indexed="81"/>
            <rFont val="Arial"/>
          </rPr>
          <t>Lyndon Estes:</t>
        </r>
        <r>
          <rPr>
            <sz val="9"/>
            <color indexed="81"/>
            <rFont val="Arial"/>
          </rPr>
          <t xml:space="preserve">
assume this part of study was a single day</t>
        </r>
      </text>
    </comment>
    <comment ref="K52" authorId="0">
      <text>
        <r>
          <rPr>
            <b/>
            <sz val="9"/>
            <color indexed="81"/>
            <rFont val="Calibri"/>
            <family val="2"/>
          </rPr>
          <t>Lyndon Estes:</t>
        </r>
        <r>
          <rPr>
            <sz val="9"/>
            <color indexed="81"/>
            <rFont val="Calibri"/>
            <family val="2"/>
          </rPr>
          <t xml:space="preserve">
Authors mention that litter baskets were within 100 m of tower, so I assume radius of 100 m</t>
        </r>
      </text>
    </comment>
    <comment ref="O52" authorId="0">
      <text>
        <r>
          <rPr>
            <b/>
            <sz val="9"/>
            <color indexed="81"/>
            <rFont val="Arial"/>
          </rPr>
          <t>Lyndon Estes:</t>
        </r>
        <r>
          <rPr>
            <sz val="9"/>
            <color indexed="81"/>
            <rFont val="Arial"/>
          </rPr>
          <t xml:space="preserve">
assume 15 months of sampling, May-Sept each year to get litterfall rates</t>
        </r>
      </text>
    </comment>
    <comment ref="P52" authorId="0">
      <text>
        <r>
          <rPr>
            <b/>
            <sz val="9"/>
            <color indexed="81"/>
            <rFont val="Arial"/>
          </rPr>
          <t>Lyndon Estes:</t>
        </r>
        <r>
          <rPr>
            <sz val="9"/>
            <color indexed="81"/>
            <rFont val="Arial"/>
          </rPr>
          <t xml:space="preserve">
start and end date of study unclear, assume began spring and ended in early October`</t>
        </r>
      </text>
    </comment>
    <comment ref="I53" authorId="0">
      <text>
        <r>
          <rPr>
            <b/>
            <sz val="9"/>
            <color indexed="81"/>
            <rFont val="Arial"/>
          </rPr>
          <t>Lyndon Estes:</t>
        </r>
        <r>
          <rPr>
            <sz val="9"/>
            <color indexed="81"/>
            <rFont val="Arial"/>
          </rPr>
          <t xml:space="preserve">
assume diameter of mature trees is 20 c, and that sample unit is whole tree stem</t>
        </r>
      </text>
    </comment>
    <comment ref="O53" authorId="0">
      <text>
        <r>
          <rPr>
            <b/>
            <sz val="9"/>
            <color indexed="81"/>
            <rFont val="Arial"/>
          </rPr>
          <t>Lyndon Estes:</t>
        </r>
        <r>
          <rPr>
            <sz val="9"/>
            <color indexed="81"/>
            <rFont val="Arial"/>
          </rPr>
          <t xml:space="preserve">
assume 48 of these measurements made in a day, which are effectively 30 minute readings because they are averaged</t>
        </r>
      </text>
    </comment>
    <comment ref="I54" authorId="0">
      <text>
        <r>
          <rPr>
            <b/>
            <sz val="9"/>
            <color indexed="81"/>
            <rFont val="Arial"/>
          </rPr>
          <t>Lyndon Estes:</t>
        </r>
        <r>
          <rPr>
            <sz val="9"/>
            <color indexed="81"/>
            <rFont val="Arial"/>
          </rPr>
          <t xml:space="preserve">
assume oak leaf is 10X10 cm of each oak species (over and understorey), huckleberry is 2 X 1 cm, pine 0.5 X 4 cm. Weighted average</t>
        </r>
      </text>
    </comment>
    <comment ref="K54" authorId="0">
      <text>
        <r>
          <rPr>
            <b/>
            <sz val="9"/>
            <color indexed="81"/>
            <rFont val="Calibri"/>
            <family val="2"/>
          </rPr>
          <t>Lyndon Estes:</t>
        </r>
        <r>
          <rPr>
            <sz val="9"/>
            <color indexed="81"/>
            <rFont val="Calibri"/>
            <family val="2"/>
          </rPr>
          <t xml:space="preserve">
It doesn't say, but I assume leaf measurements were made in pie-slice plot also</t>
        </r>
      </text>
    </comment>
    <comment ref="M54" authorId="0">
      <text>
        <r>
          <rPr>
            <b/>
            <sz val="9"/>
            <color indexed="81"/>
            <rFont val="Arial"/>
          </rPr>
          <t>Lyndon Estes:</t>
        </r>
        <r>
          <rPr>
            <sz val="9"/>
            <color indexed="81"/>
            <rFont val="Arial"/>
          </rPr>
          <t xml:space="preserve">
assume 5 minutes per reading, per Adam's answer on this</t>
        </r>
      </text>
    </comment>
    <comment ref="O54" authorId="0">
      <text>
        <r>
          <rPr>
            <b/>
            <sz val="9"/>
            <color indexed="81"/>
            <rFont val="Arial"/>
          </rPr>
          <t>Lyndon Estes:</t>
        </r>
        <r>
          <rPr>
            <sz val="9"/>
            <color indexed="81"/>
            <rFont val="Arial"/>
          </rPr>
          <t xml:space="preserve">
5 measurements made per leaf</t>
        </r>
      </text>
    </comment>
    <comment ref="K55" authorId="0">
      <text>
        <r>
          <rPr>
            <b/>
            <sz val="9"/>
            <color indexed="81"/>
            <rFont val="Calibri"/>
            <family val="2"/>
          </rPr>
          <t>Lyndon Estes:</t>
        </r>
        <r>
          <rPr>
            <sz val="9"/>
            <color indexed="81"/>
            <rFont val="Calibri"/>
            <family val="2"/>
          </rPr>
          <t xml:space="preserve">
Page 549 mentions that 80 radius is footprint of tower. Assuming that for biometric measurements and met data</t>
        </r>
      </text>
    </comment>
    <comment ref="M55" authorId="0">
      <text>
        <r>
          <rPr>
            <b/>
            <sz val="9"/>
            <color indexed="81"/>
            <rFont val="Arial"/>
          </rPr>
          <t>Lyndon Estes:</t>
        </r>
        <r>
          <rPr>
            <sz val="9"/>
            <color indexed="81"/>
            <rFont val="Arial"/>
          </rPr>
          <t xml:space="preserve">
30 minute averages for C)2 concentrations</t>
        </r>
      </text>
    </comment>
    <comment ref="P55" authorId="0">
      <text>
        <r>
          <rPr>
            <b/>
            <sz val="9"/>
            <color indexed="81"/>
            <rFont val="Arial"/>
          </rPr>
          <t>Lyndon Estes:</t>
        </r>
        <r>
          <rPr>
            <sz val="9"/>
            <color indexed="81"/>
            <rFont val="Arial"/>
          </rPr>
          <t xml:space="preserve">
assume this is from Clark et al, started in Nov 2004, assume end was December 31, 2007</t>
        </r>
      </text>
    </comment>
    <comment ref="J56" authorId="0">
      <text>
        <r>
          <rPr>
            <b/>
            <sz val="9"/>
            <color indexed="81"/>
            <rFont val="Arial"/>
          </rPr>
          <t>Lyndon Estes:</t>
        </r>
        <r>
          <rPr>
            <sz val="9"/>
            <color indexed="81"/>
            <rFont val="Arial"/>
          </rPr>
          <t xml:space="preserve">
10-20 given as range of clip plots. Mean selected here</t>
        </r>
      </text>
    </comment>
    <comment ref="K56" authorId="0">
      <text>
        <r>
          <rPr>
            <b/>
            <sz val="9"/>
            <color indexed="81"/>
            <rFont val="Calibri"/>
            <family val="2"/>
          </rPr>
          <t>Lyndon Estes:</t>
        </r>
        <r>
          <rPr>
            <sz val="9"/>
            <color indexed="81"/>
            <rFont val="Calibri"/>
            <family val="2"/>
          </rPr>
          <t xml:space="preserve">
Page 549 mentions that 80 radius is footprint of tower. Assuming that for biometric measurements and met data</t>
        </r>
      </text>
    </comment>
    <comment ref="M56" authorId="0">
      <text>
        <r>
          <rPr>
            <b/>
            <sz val="9"/>
            <color indexed="81"/>
            <rFont val="Arial"/>
          </rPr>
          <t>Lyndon Estes:</t>
        </r>
        <r>
          <rPr>
            <sz val="9"/>
            <color indexed="81"/>
            <rFont val="Arial"/>
          </rPr>
          <t xml:space="preserve">
assume 10 minute per clip plot</t>
        </r>
      </text>
    </comment>
    <comment ref="P56" authorId="0">
      <text>
        <r>
          <rPr>
            <b/>
            <sz val="9"/>
            <color indexed="81"/>
            <rFont val="Calibri"/>
            <family val="2"/>
          </rPr>
          <t>Lyndon Estes:</t>
        </r>
        <r>
          <rPr>
            <sz val="9"/>
            <color indexed="81"/>
            <rFont val="Calibri"/>
            <family val="2"/>
          </rPr>
          <t xml:space="preserve">
12/4/2017: Changed from 146 to actual duration, because once-off</t>
        </r>
      </text>
    </comment>
    <comment ref="I57" authorId="0">
      <text>
        <r>
          <rPr>
            <b/>
            <sz val="9"/>
            <color indexed="81"/>
            <rFont val="Arial"/>
          </rPr>
          <t>Lyndon Estes:</t>
        </r>
        <r>
          <rPr>
            <sz val="9"/>
            <color indexed="81"/>
            <rFont val="Arial"/>
          </rPr>
          <t xml:space="preserve">
have no idea plot res, but asusme it was tied to the forest plots around the study site. Same with n sites
</t>
        </r>
      </text>
    </comment>
    <comment ref="K57" authorId="0">
      <text>
        <r>
          <rPr>
            <b/>
            <sz val="9"/>
            <color indexed="81"/>
            <rFont val="Calibri"/>
            <family val="2"/>
          </rPr>
          <t>Lyndon Estes:</t>
        </r>
        <r>
          <rPr>
            <sz val="9"/>
            <color indexed="81"/>
            <rFont val="Calibri"/>
            <family val="2"/>
          </rPr>
          <t xml:space="preserve">
Assume lidar profiles were done in same "within 100m" area of tower as well</t>
        </r>
      </text>
    </comment>
    <comment ref="M57" authorId="0">
      <text>
        <r>
          <rPr>
            <b/>
            <sz val="9"/>
            <color indexed="81"/>
            <rFont val="Arial"/>
          </rPr>
          <t>Lyndon Estes:</t>
        </r>
        <r>
          <rPr>
            <sz val="9"/>
            <color indexed="81"/>
            <rFont val="Arial"/>
          </rPr>
          <t xml:space="preserve">
assume 1 hour to do upward looking lidar. 0 detail given, however</t>
        </r>
      </text>
    </comment>
    <comment ref="N57" authorId="0">
      <text>
        <r>
          <rPr>
            <b/>
            <sz val="9"/>
            <color indexed="81"/>
            <rFont val="Arial"/>
          </rPr>
          <t>Lyndon Estes:</t>
        </r>
        <r>
          <rPr>
            <sz val="9"/>
            <color indexed="81"/>
            <rFont val="Arial"/>
          </rPr>
          <t xml:space="preserve">
assume 30 days average between leaf-up, disturbance, and re-shooting
12/4/2017: Changed to 50 from 30, roughly the average of two intervals between each measurement</t>
        </r>
      </text>
    </comment>
    <comment ref="P57" authorId="0">
      <text>
        <r>
          <rPr>
            <b/>
            <sz val="9"/>
            <color indexed="81"/>
            <rFont val="Calibri"/>
            <family val="2"/>
          </rPr>
          <t>Lyndon Estes:</t>
        </r>
        <r>
          <rPr>
            <sz val="9"/>
            <color indexed="81"/>
            <rFont val="Calibri"/>
            <family val="2"/>
          </rPr>
          <t xml:space="preserve">
12/4/2017:
Changed from DATEDIF("7/5/2006","30/9/2006","d") to estimate from time of two intervals between three measurments periods (roughly 50 days assumed between)</t>
        </r>
      </text>
    </comment>
    <comment ref="K58" authorId="0">
      <text>
        <r>
          <rPr>
            <b/>
            <sz val="9"/>
            <color indexed="81"/>
            <rFont val="Calibri"/>
            <family val="2"/>
          </rPr>
          <t>Lyndon Estes
Drew polygon around feeding areas in Weimerskirch et al 2005, their Fig. 2 a</t>
        </r>
      </text>
    </comment>
    <comment ref="L58" authorId="0">
      <text>
        <r>
          <rPr>
            <b/>
            <sz val="9"/>
            <color indexed="81"/>
            <rFont val="Arial"/>
          </rPr>
          <t>Lyndon Estes:</t>
        </r>
        <r>
          <rPr>
            <sz val="9"/>
            <color indexed="81"/>
            <rFont val="Arial"/>
          </rPr>
          <t xml:space="preserve">
n gps point data from table s1 in supporting data. Assume sample is total flight length birds, multipled by bird 2-d area to get area</t>
        </r>
      </text>
    </comment>
    <comment ref="M58" authorId="0">
      <text>
        <r>
          <rPr>
            <b/>
            <sz val="9"/>
            <color indexed="81"/>
            <rFont val="Arial"/>
          </rPr>
          <t>Lyndon Estes:</t>
        </r>
        <r>
          <rPr>
            <sz val="9"/>
            <color indexed="81"/>
            <rFont val="Arial"/>
          </rPr>
          <t xml:space="preserve">
assume instantaneous GPS measurement
</t>
        </r>
      </text>
    </comment>
    <comment ref="N58" authorId="0">
      <text>
        <r>
          <rPr>
            <b/>
            <sz val="9"/>
            <color indexed="81"/>
            <rFont val="Arial"/>
          </rPr>
          <t>Lyndon Estes:</t>
        </r>
        <r>
          <rPr>
            <sz val="9"/>
            <color indexed="81"/>
            <rFont val="Arial"/>
          </rPr>
          <t xml:space="preserve">
calculated from supplementary table S1 in supporting paper 10.1073/pnas.1121201109</t>
        </r>
      </text>
    </comment>
    <comment ref="O58" authorId="0">
      <text>
        <r>
          <rPr>
            <b/>
            <sz val="9"/>
            <color indexed="81"/>
            <rFont val="Arial"/>
          </rPr>
          <t>Lyndon Estes:</t>
        </r>
        <r>
          <rPr>
            <sz val="9"/>
            <color indexed="81"/>
            <rFont val="Arial"/>
          </rPr>
          <t xml:space="preserve">
from calc sheet for albatrosses</t>
        </r>
      </text>
    </comment>
    <comment ref="P58" authorId="0">
      <text>
        <r>
          <rPr>
            <b/>
            <sz val="9"/>
            <color indexed="81"/>
            <rFont val="Arial"/>
          </rPr>
          <t>Lyndon Estes:</t>
        </r>
        <r>
          <rPr>
            <sz val="9"/>
            <color indexed="81"/>
            <rFont val="Arial"/>
          </rPr>
          <t xml:space="preserve">
they say 2002-2010, but not sure of start and end months in supporting study
12/4/2017: 
Changed this to mean of flight hours logged in Table in supplementals, from my original datasheets calc-sheet. Was 2952 days (DATEDIF("1/11/2002","1/12/2010","d"))</t>
        </r>
      </text>
    </comment>
    <comment ref="I59" authorId="0">
      <text>
        <r>
          <rPr>
            <b/>
            <sz val="9"/>
            <color indexed="81"/>
            <rFont val="Arial"/>
          </rPr>
          <t>Lyndon Estes:</t>
        </r>
        <r>
          <rPr>
            <sz val="9"/>
            <color indexed="81"/>
            <rFont val="Arial"/>
          </rPr>
          <t xml:space="preserve">
sample unit is individual plant, assume 20 cm diameter average based on max size of 40X30 given</t>
        </r>
      </text>
    </comment>
    <comment ref="J59" authorId="0">
      <text>
        <r>
          <rPr>
            <b/>
            <sz val="9"/>
            <color indexed="81"/>
            <rFont val="Arial"/>
          </rPr>
          <t>Lyndon Estes:</t>
        </r>
        <r>
          <rPr>
            <sz val="9"/>
            <color indexed="81"/>
            <rFont val="Arial"/>
          </rPr>
          <t xml:space="preserve">
Using the number they sampled representing mortality, which includes all growing plus ones they infereed to be dead, so presumably max number they did repeat samples on</t>
        </r>
      </text>
    </comment>
    <comment ref="K59" authorId="0">
      <text>
        <r>
          <rPr>
            <b/>
            <sz val="9"/>
            <color indexed="81"/>
            <rFont val="Calibri"/>
            <family val="2"/>
          </rPr>
          <t>Lyndon Estes:</t>
        </r>
        <r>
          <rPr>
            <sz val="9"/>
            <color indexed="81"/>
            <rFont val="Calibri"/>
            <family val="2"/>
          </rPr>
          <t xml:space="preserve">
No map or points given. I looked up a second paper they cited, describing plots near roads going north, east, and southeast, which I found on map in my maps.  Drew very rough polygons around it. Worked out to just over 3 ha, which thye mentioned as being the area of a previous study
</t>
        </r>
      </text>
    </comment>
    <comment ref="M59" authorId="0">
      <text>
        <r>
          <rPr>
            <b/>
            <sz val="9"/>
            <color indexed="81"/>
            <rFont val="Arial"/>
          </rPr>
          <t>Lyndon Estes:</t>
        </r>
        <r>
          <rPr>
            <sz val="9"/>
            <color indexed="81"/>
            <rFont val="Arial"/>
          </rPr>
          <t xml:space="preserve">
assume it took 10 minutes to sample size, etc on each plant</t>
        </r>
      </text>
    </comment>
    <comment ref="N59" authorId="0">
      <text>
        <r>
          <rPr>
            <b/>
            <sz val="9"/>
            <color indexed="81"/>
            <rFont val="Arial"/>
          </rPr>
          <t>Lyndon Estes:</t>
        </r>
        <r>
          <rPr>
            <sz val="9"/>
            <color indexed="81"/>
            <rFont val="Arial"/>
          </rPr>
          <t xml:space="preserve">
assume resampling done in Jan 1998 and Jan 2003</t>
        </r>
      </text>
    </comment>
    <comment ref="O59" authorId="0">
      <text>
        <r>
          <rPr>
            <b/>
            <sz val="9"/>
            <color indexed="81"/>
            <rFont val="Arial"/>
          </rPr>
          <t>Lyndon Estes:</t>
        </r>
        <r>
          <rPr>
            <sz val="9"/>
            <color indexed="81"/>
            <rFont val="Arial"/>
          </rPr>
          <t xml:space="preserve">
4/4/2017: Corrected n_sites * study_duration error</t>
        </r>
      </text>
    </comment>
    <comment ref="P59" authorId="0">
      <text>
        <r>
          <rPr>
            <b/>
            <sz val="9"/>
            <color indexed="81"/>
            <rFont val="Arial"/>
          </rPr>
          <t>Lyndon Estes:</t>
        </r>
        <r>
          <rPr>
            <sz val="9"/>
            <color indexed="81"/>
            <rFont val="Arial"/>
          </rPr>
          <t xml:space="preserve">
only years given for study span, 1998-2003, but measurement started around flowering time (Jan-Feb) given. Assume end date was after fruiting period given (May)
12/4/2017: Corrected to match interval estimate (was =DATEDIF("7/5/2006","30/9/2006","d")</t>
        </r>
      </text>
    </comment>
    <comment ref="I60" authorId="0">
      <text>
        <r>
          <rPr>
            <b/>
            <sz val="9"/>
            <color indexed="81"/>
            <rFont val="Arial"/>
          </rPr>
          <t>Lyndon Estes:</t>
        </r>
        <r>
          <rPr>
            <sz val="9"/>
            <color indexed="81"/>
            <rFont val="Arial"/>
          </rPr>
          <t xml:space="preserve">
sample unit is individual plant, assume 20 cm diameter average based on max size of 40X30 given</t>
        </r>
      </text>
    </comment>
    <comment ref="K60" authorId="0">
      <text>
        <r>
          <rPr>
            <b/>
            <sz val="9"/>
            <color indexed="81"/>
            <rFont val="Calibri"/>
            <family val="2"/>
          </rPr>
          <t>Lyndon Estes:</t>
        </r>
        <r>
          <rPr>
            <sz val="9"/>
            <color indexed="81"/>
            <rFont val="Calibri"/>
            <family val="2"/>
          </rPr>
          <t xml:space="preserve">
No map or points given. I looked up a second paper they cited, describing plots near roads going north, east, and southeast, which I found on map in my maps.  Drew very rough polygons around it. Worked out to just over 3 ha, which thye mentioned as being the area of a previous study
</t>
        </r>
      </text>
    </comment>
    <comment ref="M60" authorId="0">
      <text>
        <r>
          <rPr>
            <b/>
            <sz val="9"/>
            <color indexed="81"/>
            <rFont val="Arial"/>
          </rPr>
          <t>Lyndon Estes:</t>
        </r>
        <r>
          <rPr>
            <sz val="9"/>
            <color indexed="81"/>
            <rFont val="Arial"/>
          </rPr>
          <t xml:space="preserve">
assume it took 10 minutes to sample size, etc on each plant</t>
        </r>
      </text>
    </comment>
    <comment ref="O60" authorId="0">
      <text>
        <r>
          <rPr>
            <b/>
            <sz val="9"/>
            <color indexed="81"/>
            <rFont val="Arial"/>
          </rPr>
          <t>Lyndon Estes:</t>
        </r>
        <r>
          <rPr>
            <sz val="9"/>
            <color indexed="81"/>
            <rFont val="Arial"/>
          </rPr>
          <t xml:space="preserve">
4/4/2017: Corrected n_sites * study_duration error</t>
        </r>
      </text>
    </comment>
    <comment ref="P60" authorId="0">
      <text>
        <r>
          <rPr>
            <b/>
            <sz val="9"/>
            <color indexed="81"/>
            <rFont val="Calibri"/>
            <family val="2"/>
          </rPr>
          <t>Lyndon Estes:</t>
        </r>
        <r>
          <rPr>
            <sz val="9"/>
            <color indexed="81"/>
            <rFont val="Calibri"/>
            <family val="2"/>
          </rPr>
          <t xml:space="preserve">
12/4/2017: Changed to actual_duration because seedling samplings were a one-off</t>
        </r>
      </text>
    </comment>
    <comment ref="I61" authorId="0">
      <text>
        <r>
          <rPr>
            <b/>
            <sz val="9"/>
            <color indexed="81"/>
            <rFont val="Arial"/>
          </rPr>
          <t>Lyndon Estes:</t>
        </r>
        <r>
          <rPr>
            <sz val="9"/>
            <color indexed="81"/>
            <rFont val="Arial"/>
          </rPr>
          <t xml:space="preserve">
average area of plots, 0.012-0.05 ha</t>
        </r>
      </text>
    </comment>
    <comment ref="K61" authorId="0">
      <text>
        <r>
          <rPr>
            <b/>
            <sz val="9"/>
            <color indexed="81"/>
            <rFont val="Calibri"/>
            <family val="2"/>
          </rPr>
          <t>Lyndon Estes:</t>
        </r>
        <r>
          <rPr>
            <sz val="9"/>
            <color indexed="81"/>
            <rFont val="Calibri"/>
            <family val="2"/>
          </rPr>
          <t xml:space="preserve">
Drew estimated polygon boundaries around points in Fig. 2, using San Juan shapefile as guide</t>
        </r>
      </text>
    </comment>
    <comment ref="M61" authorId="0">
      <text>
        <r>
          <rPr>
            <b/>
            <sz val="9"/>
            <color indexed="81"/>
            <rFont val="Arial"/>
          </rPr>
          <t>Lyndon Estes:</t>
        </r>
        <r>
          <rPr>
            <sz val="9"/>
            <color indexed="81"/>
            <rFont val="Arial"/>
          </rPr>
          <t xml:space="preserve">
assume 30 minutes per plot</t>
        </r>
      </text>
    </comment>
    <comment ref="N61" authorId="0">
      <text>
        <r>
          <rPr>
            <b/>
            <sz val="9"/>
            <color indexed="81"/>
            <rFont val="Arial"/>
          </rPr>
          <t>Lyndon Estes:</t>
        </r>
        <r>
          <rPr>
            <sz val="9"/>
            <color indexed="81"/>
            <rFont val="Arial"/>
          </rPr>
          <t xml:space="preserve">
assume only one sample for each of three seasons
</t>
        </r>
      </text>
    </comment>
    <comment ref="O61" authorId="0">
      <text>
        <r>
          <rPr>
            <b/>
            <sz val="9"/>
            <color indexed="81"/>
            <rFont val="Arial"/>
          </rPr>
          <t>Lyndon Estes:</t>
        </r>
        <r>
          <rPr>
            <sz val="9"/>
            <color indexed="81"/>
            <rFont val="Arial"/>
          </rPr>
          <t xml:space="preserve">
60 sites X 30 minutes each X 3 seasons</t>
        </r>
      </text>
    </comment>
    <comment ref="J62" authorId="0">
      <text>
        <r>
          <rPr>
            <b/>
            <sz val="9"/>
            <color indexed="81"/>
            <rFont val="Arial"/>
          </rPr>
          <t>Lyndon Estes:</t>
        </r>
        <r>
          <rPr>
            <sz val="9"/>
            <color indexed="81"/>
            <rFont val="Arial"/>
          </rPr>
          <t xml:space="preserve">
n pixels in landsat scene
updated from http://landsathandbook.gsfc.nasa.gov/data_properties/prog_sect6_2.html
</t>
        </r>
      </text>
    </comment>
    <comment ref="L62" authorId="0">
      <text>
        <r>
          <rPr>
            <b/>
            <sz val="9"/>
            <color indexed="81"/>
            <rFont val="Arial"/>
          </rPr>
          <t>Lyndon Estes:</t>
        </r>
        <r>
          <rPr>
            <sz val="9"/>
            <color indexed="81"/>
            <rFont val="Arial"/>
          </rPr>
          <t xml:space="preserve">
Corrected because faulty calculation first time around. Updated from NASA landsat handbook
2/2/17: Updated this from original estimate of (J62*I62) / 10000 (Landsat footprint to area of San Juan Forest mapped from Landsat in Figure 2. Calculated by editing SF shapef to match, importing to mymaps for area</t>
        </r>
      </text>
    </comment>
    <comment ref="P62" authorId="0">
      <text>
        <r>
          <rPr>
            <b/>
            <sz val="9"/>
            <color indexed="81"/>
            <rFont val="Calibri"/>
            <family val="2"/>
          </rPr>
          <t>Lyndon Estes:</t>
        </r>
        <r>
          <rPr>
            <sz val="9"/>
            <color indexed="81"/>
            <rFont val="Calibri"/>
            <family val="2"/>
          </rPr>
          <t xml:space="preserve">
12/4/2017: Changed from token 1 day to actual duration</t>
        </r>
      </text>
    </comment>
    <comment ref="K63" authorId="0">
      <text>
        <r>
          <rPr>
            <b/>
            <sz val="9"/>
            <color indexed="81"/>
            <rFont val="Calibri"/>
            <family val="2"/>
          </rPr>
          <t>Lyndon Estes:</t>
        </r>
        <r>
          <rPr>
            <sz val="9"/>
            <color indexed="81"/>
            <rFont val="Calibri"/>
            <family val="2"/>
          </rPr>
          <t xml:space="preserve">
Drew polygon around red points in Fig. 1 in mymaps</t>
        </r>
      </text>
    </comment>
    <comment ref="M63" authorId="0">
      <text>
        <r>
          <rPr>
            <b/>
            <sz val="9"/>
            <color indexed="81"/>
            <rFont val="Arial"/>
          </rPr>
          <t>Lyndon Estes:</t>
        </r>
        <r>
          <rPr>
            <sz val="9"/>
            <color indexed="81"/>
            <rFont val="Arial"/>
          </rPr>
          <t xml:space="preserve">
Samples collected 2-3 times during a 24 hour period--setup in morning, sampling at sunset and next morning. Assume samples were mixed to make one</t>
        </r>
      </text>
    </comment>
    <comment ref="N63" authorId="0">
      <text>
        <r>
          <rPr>
            <b/>
            <sz val="9"/>
            <color indexed="81"/>
            <rFont val="Arial"/>
          </rPr>
          <t>Lyndon Estes:</t>
        </r>
        <r>
          <rPr>
            <sz val="9"/>
            <color indexed="81"/>
            <rFont val="Arial"/>
          </rPr>
          <t xml:space="preserve">
monthly samples</t>
        </r>
      </text>
    </comment>
    <comment ref="O63" authorId="0">
      <text>
        <r>
          <rPr>
            <b/>
            <sz val="9"/>
            <color indexed="81"/>
            <rFont val="Arial"/>
          </rPr>
          <t>Lyndon Estes:</t>
        </r>
        <r>
          <rPr>
            <sz val="9"/>
            <color indexed="81"/>
            <rFont val="Arial"/>
          </rPr>
          <t xml:space="preserve">
20 months worth of samples, but 19 data points</t>
        </r>
      </text>
    </comment>
    <comment ref="P63" authorId="0">
      <text>
        <r>
          <rPr>
            <b/>
            <sz val="9"/>
            <color indexed="81"/>
            <rFont val="Arial"/>
          </rPr>
          <t>Lyndon Estes:</t>
        </r>
        <r>
          <rPr>
            <sz val="9"/>
            <color indexed="81"/>
            <rFont val="Arial"/>
          </rPr>
          <t xml:space="preserve">
start and end date of months listed assumed 1 and 30</t>
        </r>
      </text>
    </comment>
    <comment ref="I64" authorId="0">
      <text>
        <r>
          <rPr>
            <b/>
            <sz val="9"/>
            <color indexed="81"/>
            <rFont val="Arial"/>
          </rPr>
          <t>Lyndon Estes:</t>
        </r>
        <r>
          <rPr>
            <sz val="9"/>
            <color indexed="81"/>
            <rFont val="Arial"/>
          </rPr>
          <t xml:space="preserve">
assume ctd is 75 cm diameter</t>
        </r>
      </text>
    </comment>
    <comment ref="J64" authorId="0">
      <text>
        <r>
          <rPr>
            <b/>
            <sz val="9"/>
            <color indexed="81"/>
            <rFont val="Calibri"/>
            <family val="2"/>
          </rPr>
          <t>Lyndon Estes:</t>
        </r>
        <r>
          <rPr>
            <sz val="9"/>
            <color indexed="81"/>
            <rFont val="Calibri"/>
            <family val="2"/>
          </rPr>
          <t xml:space="preserve">
12/4/2017: Fixing these because these were repeat observations made on each cruise. Took average of number of casts made on each cruise. Deleted second record that used less dense observations as separate record</t>
        </r>
      </text>
    </comment>
    <comment ref="K64" authorId="0">
      <text>
        <r>
          <rPr>
            <b/>
            <sz val="9"/>
            <color indexed="81"/>
            <rFont val="Calibri"/>
            <family val="2"/>
          </rPr>
          <t>Lyndon Estes:</t>
        </r>
        <r>
          <rPr>
            <sz val="9"/>
            <color indexed="81"/>
            <rFont val="Calibri"/>
            <family val="2"/>
          </rPr>
          <t xml:space="preserve">
Drew polygon around blue points in Fig. 1 in mymaps
27/4/2017: Instead of the blue polygon, I took the average sampling resolution that they provided in the text (page 46), and multiplied that by number of casts to estimate total area covered (converted to ha, of course)</t>
        </r>
      </text>
    </comment>
    <comment ref="M64" authorId="0">
      <text>
        <r>
          <rPr>
            <b/>
            <sz val="9"/>
            <color indexed="81"/>
            <rFont val="Arial"/>
          </rPr>
          <t>Lyndon Estes:</t>
        </r>
        <r>
          <rPr>
            <sz val="9"/>
            <color indexed="81"/>
            <rFont val="Arial"/>
          </rPr>
          <t xml:space="preserve">
Read that sondes are lowered at 0.5 m/s, this one went to 18 m</t>
        </r>
      </text>
    </comment>
    <comment ref="N64" authorId="0">
      <text>
        <r>
          <rPr>
            <b/>
            <sz val="9"/>
            <color indexed="81"/>
            <rFont val="Calibri"/>
            <family val="2"/>
          </rPr>
          <t>Lyndon Estes:</t>
        </r>
        <r>
          <rPr>
            <sz val="9"/>
            <color indexed="81"/>
            <rFont val="Calibri"/>
            <family val="2"/>
          </rPr>
          <t xml:space="preserve">
12/4/2017: Originally this was recorded as non-repeating, but that is not correct on a re-read. I therefore took the average between cruise (including between EU-Bal1 and 2 interval) that was listed on calcs tab of mergedfff.xlsx. </t>
        </r>
      </text>
    </comment>
    <comment ref="P64" authorId="0">
      <text>
        <r>
          <rPr>
            <b/>
            <sz val="9"/>
            <color indexed="81"/>
            <rFont val="Calibri"/>
            <family val="2"/>
          </rPr>
          <t>Lyndon Estes:</t>
        </r>
        <r>
          <rPr>
            <sz val="9"/>
            <color indexed="81"/>
            <rFont val="Calibri"/>
            <family val="2"/>
          </rPr>
          <t xml:space="preserve">
12/4/2017: Beginning to end of EuBal 1 and 2</t>
        </r>
      </text>
    </comment>
    <comment ref="W64" authorId="0">
      <text>
        <r>
          <rPr>
            <b/>
            <sz val="9"/>
            <color indexed="81"/>
            <rFont val="Calibri"/>
            <family val="2"/>
          </rPr>
          <t>Lyndon Estes:</t>
        </r>
        <r>
          <rPr>
            <sz val="9"/>
            <color indexed="81"/>
            <rFont val="Calibri"/>
            <family val="2"/>
          </rPr>
          <t xml:space="preserve">
12/4/2017: Edited this from original "EUBAL-1 first cruise densest readings on this", and also deleted record immediately below that was related to the less dense observations. These were repeat observations of ocean salinity and temp.</t>
        </r>
      </text>
    </comment>
    <comment ref="F65" authorId="0">
      <text>
        <r>
          <rPr>
            <b/>
            <sz val="9"/>
            <color indexed="81"/>
            <rFont val="Calibri"/>
            <family val="2"/>
          </rPr>
          <t>Lyndon Estes:</t>
        </r>
        <r>
          <rPr>
            <sz val="9"/>
            <color indexed="81"/>
            <rFont val="Calibri"/>
            <family val="2"/>
          </rPr>
          <t xml:space="preserve">
12/4/2017: Call this remote sensing, rather than passive/automated, because it is a radar method basically</t>
        </r>
      </text>
    </comment>
    <comment ref="I65" authorId="0">
      <text>
        <r>
          <rPr>
            <b/>
            <sz val="9"/>
            <color indexed="81"/>
            <rFont val="Arial"/>
          </rPr>
          <t>Lyndon Estes:</t>
        </r>
        <r>
          <rPr>
            <sz val="9"/>
            <color indexed="81"/>
            <rFont val="Arial"/>
          </rPr>
          <t xml:space="preserve">
Teledyne Ryan doppler profiler radius
12/4/2017: Was originally =PI()*0.15^2, but I assume the resolution of the sounder is more like 20-50 m at bottom, so let's say 25 m
</t>
        </r>
      </text>
    </comment>
    <comment ref="J65" authorId="0">
      <text>
        <r>
          <rPr>
            <b/>
            <sz val="9"/>
            <color indexed="81"/>
            <rFont val="Calibri"/>
            <family val="2"/>
          </rPr>
          <t>Lyndon Estes:</t>
        </r>
        <r>
          <rPr>
            <sz val="9"/>
            <color indexed="81"/>
            <rFont val="Calibri"/>
            <family val="2"/>
          </rPr>
          <t xml:space="preserve">
12/4/2017: Changed from 4*9 to average number of depth profiles taken over each of the 4 cruises. This was done by very roughly estimating arrows in Fig. 3A-D</t>
        </r>
      </text>
    </comment>
    <comment ref="K65" authorId="0">
      <text>
        <r>
          <rPr>
            <b/>
            <sz val="9"/>
            <color indexed="81"/>
            <rFont val="Calibri"/>
            <family val="2"/>
          </rPr>
          <t>Lyndon Estes:</t>
        </r>
        <r>
          <rPr>
            <sz val="9"/>
            <color indexed="81"/>
            <rFont val="Calibri"/>
            <family val="2"/>
          </rPr>
          <t xml:space="preserve">
Drew polygon around blue points in Fig. 1 in mymaps
17/4/2017: Done on same cruises (subset) as CTD scans</t>
        </r>
      </text>
    </comment>
    <comment ref="M65" authorId="0">
      <text>
        <r>
          <rPr>
            <b/>
            <sz val="9"/>
            <color indexed="81"/>
            <rFont val="Arial"/>
          </rPr>
          <t>Lyndon Estes:</t>
        </r>
        <r>
          <rPr>
            <sz val="9"/>
            <color indexed="81"/>
            <rFont val="Arial"/>
          </rPr>
          <t xml:space="preserve">
Averaged depths from table 1 to get typical depth, 4 m intervals on current measurements, so 6 per profile, X 2 m2 minutes per porifile</t>
        </r>
      </text>
    </comment>
    <comment ref="N65" authorId="0">
      <text>
        <r>
          <rPr>
            <b/>
            <sz val="9"/>
            <color indexed="81"/>
            <rFont val="Calibri"/>
            <family val="2"/>
          </rPr>
          <t>Lyndon Estes:</t>
        </r>
        <r>
          <rPr>
            <sz val="9"/>
            <color indexed="81"/>
            <rFont val="Calibri"/>
            <family val="2"/>
          </rPr>
          <t xml:space="preserve">
17/4/2017: Took average interval of EUBAL cruise dates (Fig. 3)</t>
        </r>
      </text>
    </comment>
    <comment ref="O65" authorId="0">
      <text>
        <r>
          <rPr>
            <b/>
            <sz val="9"/>
            <color indexed="81"/>
            <rFont val="Calibri"/>
            <family val="2"/>
          </rPr>
          <t>Lyndon Estes:</t>
        </r>
        <r>
          <rPr>
            <sz val="9"/>
            <color indexed="81"/>
            <rFont val="Calibri"/>
            <family val="2"/>
          </rPr>
          <t xml:space="preserve">
12/4/2017: Each sounding repeated about 4 times (once per cruise). Effectively same areas covered 4 times)</t>
        </r>
      </text>
    </comment>
    <comment ref="P65" authorId="0">
      <text>
        <r>
          <rPr>
            <b/>
            <sz val="9"/>
            <color indexed="81"/>
            <rFont val="Arial"/>
          </rPr>
          <t>Lyndon Estes:</t>
        </r>
        <r>
          <rPr>
            <sz val="9"/>
            <color indexed="81"/>
            <rFont val="Arial"/>
          </rPr>
          <t xml:space="preserve">
start and end date of months listed assumed 1 and 30</t>
        </r>
      </text>
    </comment>
    <comment ref="I66" authorId="0">
      <text>
        <r>
          <rPr>
            <b/>
            <sz val="9"/>
            <color indexed="81"/>
            <rFont val="Arial"/>
          </rPr>
          <t>Lyndon Estes:</t>
        </r>
        <r>
          <rPr>
            <sz val="9"/>
            <color indexed="81"/>
            <rFont val="Arial"/>
          </rPr>
          <t xml:space="preserve">
Teledyne Ryan doppler profiler radius</t>
        </r>
      </text>
    </comment>
    <comment ref="K66" authorId="0">
      <text>
        <r>
          <rPr>
            <b/>
            <sz val="9"/>
            <color indexed="81"/>
            <rFont val="Calibri"/>
            <family val="2"/>
          </rPr>
          <t>Lyndon Estes:</t>
        </r>
        <r>
          <rPr>
            <sz val="9"/>
            <color indexed="81"/>
            <rFont val="Calibri"/>
            <family val="2"/>
          </rPr>
          <t xml:space="preserve">
Drew polygon around blue points in Fig. 1 in mymaps</t>
        </r>
      </text>
    </comment>
    <comment ref="N66" authorId="0">
      <text>
        <r>
          <rPr>
            <b/>
            <sz val="9"/>
            <color indexed="81"/>
            <rFont val="Arial"/>
          </rPr>
          <t>Lyndon Estes:</t>
        </r>
        <r>
          <rPr>
            <sz val="9"/>
            <color indexed="81"/>
            <rFont val="Arial"/>
          </rPr>
          <t xml:space="preserve">
average of time between cruises
</t>
        </r>
      </text>
    </comment>
    <comment ref="P66" authorId="0">
      <text>
        <r>
          <rPr>
            <b/>
            <sz val="9"/>
            <color indexed="81"/>
            <rFont val="Calibri"/>
            <family val="2"/>
          </rPr>
          <t>Lyndon Estes:</t>
        </r>
        <r>
          <rPr>
            <sz val="9"/>
            <color indexed="81"/>
            <rFont val="Calibri"/>
            <family val="2"/>
          </rPr>
          <t xml:space="preserve">
Since only two repeats were made, seems that eff_dur should be set to that</t>
        </r>
      </text>
    </comment>
    <comment ref="I67" authorId="0">
      <text>
        <r>
          <rPr>
            <b/>
            <sz val="9"/>
            <color indexed="81"/>
            <rFont val="Arial"/>
          </rPr>
          <t>Lyndon Estes:</t>
        </r>
        <r>
          <rPr>
            <sz val="9"/>
            <color indexed="81"/>
            <rFont val="Arial"/>
          </rPr>
          <t xml:space="preserve">
assume ctd is 75 cm diameter</t>
        </r>
      </text>
    </comment>
    <comment ref="K67" authorId="0">
      <text>
        <r>
          <rPr>
            <b/>
            <sz val="9"/>
            <color indexed="81"/>
            <rFont val="Calibri"/>
            <family val="2"/>
          </rPr>
          <t>Lyndon Estes:</t>
        </r>
        <r>
          <rPr>
            <sz val="9"/>
            <color indexed="81"/>
            <rFont val="Calibri"/>
            <family val="2"/>
          </rPr>
          <t xml:space="preserve">
Drew polygon around blue points in Fig. 1 in mymaps</t>
        </r>
      </text>
    </comment>
    <comment ref="M67" authorId="0">
      <text>
        <r>
          <rPr>
            <b/>
            <sz val="9"/>
            <color indexed="81"/>
            <rFont val="Arial"/>
          </rPr>
          <t>Lyndon Estes:</t>
        </r>
        <r>
          <rPr>
            <sz val="9"/>
            <color indexed="81"/>
            <rFont val="Arial"/>
          </rPr>
          <t xml:space="preserve">
Read that sondes are lowered at 0.5 m/s, this one went to 18 m</t>
        </r>
      </text>
    </comment>
    <comment ref="N67" authorId="0">
      <text>
        <r>
          <rPr>
            <b/>
            <sz val="9"/>
            <color indexed="81"/>
            <rFont val="Arial"/>
          </rPr>
          <t>Lyndon Estes:</t>
        </r>
        <r>
          <rPr>
            <sz val="9"/>
            <color indexed="81"/>
            <rFont val="Arial"/>
          </rPr>
          <t xml:space="preserve">
2 CTD scans for fluor made twice on each cruise, so assume minimum time between cruises</t>
        </r>
      </text>
    </comment>
    <comment ref="P67" authorId="0">
      <text>
        <r>
          <rPr>
            <b/>
            <sz val="9"/>
            <color indexed="81"/>
            <rFont val="Calibri"/>
            <family val="2"/>
          </rPr>
          <t>Lyndon Estes:</t>
        </r>
        <r>
          <rPr>
            <sz val="9"/>
            <color indexed="81"/>
            <rFont val="Calibri"/>
            <family val="2"/>
          </rPr>
          <t xml:space="preserve">
Since only two repeats were made, seems that eff_dur should be set to that</t>
        </r>
      </text>
    </comment>
    <comment ref="I68" authorId="0">
      <text>
        <r>
          <rPr>
            <b/>
            <sz val="9"/>
            <color indexed="81"/>
            <rFont val="Arial"/>
          </rPr>
          <t>Lyndon Estes:</t>
        </r>
        <r>
          <rPr>
            <sz val="9"/>
            <color indexed="81"/>
            <rFont val="Arial"/>
          </rPr>
          <t xml:space="preserve">
Li-Cor diameter</t>
        </r>
      </text>
    </comment>
    <comment ref="J68" authorId="0">
      <text>
        <r>
          <rPr>
            <b/>
            <sz val="9"/>
            <color indexed="81"/>
            <rFont val="Calibri"/>
            <family val="2"/>
          </rPr>
          <t>Lyndon Estes:</t>
        </r>
        <r>
          <rPr>
            <sz val="9"/>
            <color indexed="81"/>
            <rFont val="Calibri"/>
            <family val="2"/>
          </rPr>
          <t xml:space="preserve">
These were only done at incubation stations</t>
        </r>
      </text>
    </comment>
    <comment ref="K68" authorId="0">
      <text>
        <r>
          <rPr>
            <b/>
            <sz val="9"/>
            <color indexed="81"/>
            <rFont val="Calibri"/>
            <family val="2"/>
          </rPr>
          <t>Lyndon Estes:</t>
        </r>
        <r>
          <rPr>
            <sz val="9"/>
            <color indexed="81"/>
            <rFont val="Calibri"/>
            <family val="2"/>
          </rPr>
          <t xml:space="preserve">
Drew polygon around blue points in Fig. 1 in mymaps</t>
        </r>
      </text>
    </comment>
    <comment ref="M68" authorId="0">
      <text>
        <r>
          <rPr>
            <b/>
            <sz val="9"/>
            <color indexed="81"/>
            <rFont val="Arial"/>
          </rPr>
          <t>Lyndon Estes:</t>
        </r>
        <r>
          <rPr>
            <sz val="9"/>
            <color indexed="81"/>
            <rFont val="Arial"/>
          </rPr>
          <t xml:space="preserve">
Assume 30 seconds to take light penetration reading
LDE: actually more like 10 minutes if they are dropping it into column</t>
        </r>
      </text>
    </comment>
    <comment ref="N68" authorId="0">
      <text>
        <r>
          <rPr>
            <b/>
            <sz val="9"/>
            <color indexed="81"/>
            <rFont val="Arial"/>
          </rPr>
          <t>Lyndon Estes:</t>
        </r>
        <r>
          <rPr>
            <sz val="9"/>
            <color indexed="81"/>
            <rFont val="Arial"/>
          </rPr>
          <t xml:space="preserve">
average of time between cruises
</t>
        </r>
      </text>
    </comment>
    <comment ref="P68" authorId="0">
      <text>
        <r>
          <rPr>
            <b/>
            <sz val="9"/>
            <color indexed="81"/>
            <rFont val="Calibri"/>
            <family val="2"/>
          </rPr>
          <t>Lyndon Estes:</t>
        </r>
        <r>
          <rPr>
            <sz val="9"/>
            <color indexed="81"/>
            <rFont val="Calibri"/>
            <family val="2"/>
          </rPr>
          <t xml:space="preserve">
Since only two repeats were made, seems that eff_dur should be set to that</t>
        </r>
      </text>
    </comment>
    <comment ref="I69" authorId="0">
      <text>
        <r>
          <rPr>
            <b/>
            <sz val="9"/>
            <color indexed="81"/>
            <rFont val="Arial"/>
          </rPr>
          <t>Lyndon Estes:</t>
        </r>
        <r>
          <rPr>
            <sz val="9"/>
            <color indexed="81"/>
            <rFont val="Arial"/>
          </rPr>
          <t xml:space="preserve">
Li-Cor diameter</t>
        </r>
      </text>
    </comment>
    <comment ref="J69" authorId="0">
      <text>
        <r>
          <rPr>
            <b/>
            <sz val="9"/>
            <color indexed="81"/>
            <rFont val="Arial"/>
          </rPr>
          <t>Lyndon Estes:</t>
        </r>
        <r>
          <rPr>
            <sz val="9"/>
            <color indexed="81"/>
            <rFont val="Arial"/>
          </rPr>
          <t xml:space="preserve">
Really had to guess on this.  Looking at map, I fgure: 
=SQRT(((2.7-2.55) * 110)^2 + ((39.5-39.37) * 110)^2)*(AVERAGE(4, 4, 4, 3))
gives the distance they cruised each cruise per day.  I took approximate coordinates from map to calculate the diagonal distance for each of four cruise lengths.  Then, assume they took 12 hours per cruise, and readings every 15 minutes, that means it was a different radiation observation each 15 miuntes for 12 hours
LDE: Redid this because it is just 4 stations they reported srad for</t>
        </r>
      </text>
    </comment>
    <comment ref="K69" authorId="0">
      <text>
        <r>
          <rPr>
            <b/>
            <sz val="9"/>
            <color indexed="81"/>
            <rFont val="Calibri"/>
            <family val="2"/>
          </rPr>
          <t>Lyndon Estes:</t>
        </r>
        <r>
          <rPr>
            <sz val="9"/>
            <color indexed="81"/>
            <rFont val="Calibri"/>
            <family val="2"/>
          </rPr>
          <t xml:space="preserve">
Drew polygon around blue points in Fig. 1 in mymaps</t>
        </r>
      </text>
    </comment>
    <comment ref="M69" authorId="0">
      <text>
        <r>
          <rPr>
            <b/>
            <sz val="9"/>
            <color indexed="81"/>
            <rFont val="Arial"/>
          </rPr>
          <t>Lyndon Estes:</t>
        </r>
        <r>
          <rPr>
            <sz val="9"/>
            <color indexed="81"/>
            <rFont val="Arial"/>
          </rPr>
          <t xml:space="preserve">
assume instantaneous (1 second
LDE: they averaged daily irradiance (12 hours daylight assume), with an instantaneous measurement made every 15 minutes</t>
        </r>
      </text>
    </comment>
    <comment ref="N69" authorId="0">
      <text>
        <r>
          <rPr>
            <b/>
            <sz val="9"/>
            <color indexed="81"/>
            <rFont val="Arial"/>
          </rPr>
          <t>Lyndon Estes:</t>
        </r>
        <r>
          <rPr>
            <sz val="9"/>
            <color indexed="81"/>
            <rFont val="Arial"/>
          </rPr>
          <t xml:space="preserve">
Since each solar radiation observation is separate, and cruises were repeated, we have an average of 2 days betweens cruise and the between cruise interval also
LDE: changed on 27/5/2016. Re-reading suggests that repeats were not made on four cruise transects, so repeats only made once.  Calcs on next sheet of days</t>
        </r>
      </text>
    </comment>
    <comment ref="O69" authorId="0">
      <text>
        <r>
          <rPr>
            <b/>
            <sz val="9"/>
            <color indexed="81"/>
            <rFont val="Arial"/>
          </rPr>
          <t>Lyndon Estes:</t>
        </r>
        <r>
          <rPr>
            <sz val="9"/>
            <color indexed="81"/>
            <rFont val="Arial"/>
          </rPr>
          <t xml:space="preserve">
Actual solar radiation measurements--assumed instantaneous observations, but could be thought of legitimately as representing continuous observations
LDE: 2 visits</t>
        </r>
      </text>
    </comment>
    <comment ref="P69" authorId="0">
      <text>
        <r>
          <rPr>
            <b/>
            <sz val="9"/>
            <color indexed="81"/>
            <rFont val="Arial"/>
          </rPr>
          <t>Lyndon Estes:</t>
        </r>
        <r>
          <rPr>
            <sz val="9"/>
            <color indexed="81"/>
            <rFont val="Arial"/>
          </rPr>
          <t xml:space="preserve">
start and end date of months listed assumed 1 and 30
LDE: 8/4/2-16
Since only two repeats were made, seems that eff_dur should be set to that</t>
        </r>
      </text>
    </comment>
    <comment ref="I70" authorId="0">
      <text>
        <r>
          <rPr>
            <b/>
            <sz val="9"/>
            <color indexed="81"/>
            <rFont val="Arial"/>
          </rPr>
          <t>Lyndon Estes:</t>
        </r>
        <r>
          <rPr>
            <sz val="9"/>
            <color indexed="81"/>
            <rFont val="Arial"/>
          </rPr>
          <t xml:space="preserve">
pump inlet in ship</t>
        </r>
      </text>
    </comment>
    <comment ref="J70" authorId="0">
      <text>
        <r>
          <rPr>
            <b/>
            <sz val="9"/>
            <color indexed="81"/>
            <rFont val="Arial"/>
          </rPr>
          <t>Lyndon Estes:</t>
        </r>
        <r>
          <rPr>
            <sz val="9"/>
            <color indexed="81"/>
            <rFont val="Arial"/>
          </rPr>
          <t xml:space="preserve">
sampling of underwater variables (T, etc.) taken every minute during cruise. Assume this was done over 24 hours, and that they were stationary for about 4 of those 24 hours. </t>
        </r>
      </text>
    </comment>
    <comment ref="K70" authorId="0">
      <text>
        <r>
          <rPr>
            <b/>
            <sz val="9"/>
            <color indexed="81"/>
            <rFont val="Calibri"/>
            <family val="2"/>
          </rPr>
          <t>Lyndon Estes:</t>
        </r>
        <r>
          <rPr>
            <sz val="9"/>
            <color indexed="81"/>
            <rFont val="Calibri"/>
            <family val="2"/>
          </rPr>
          <t xml:space="preserve">
Drew polygon around blue points in Fig. 1 in mymaps</t>
        </r>
      </text>
    </comment>
    <comment ref="M70" authorId="0">
      <text>
        <r>
          <rPr>
            <b/>
            <sz val="9"/>
            <color indexed="81"/>
            <rFont val="Arial"/>
          </rPr>
          <t>Lyndon Estes:</t>
        </r>
        <r>
          <rPr>
            <sz val="9"/>
            <color indexed="81"/>
            <rFont val="Arial"/>
          </rPr>
          <t xml:space="preserve">
assume instantaneous (1 second</t>
        </r>
      </text>
    </comment>
    <comment ref="N70" authorId="0">
      <text>
        <r>
          <rPr>
            <b/>
            <sz val="9"/>
            <color indexed="81"/>
            <rFont val="Calibri"/>
            <family val="2"/>
          </rPr>
          <t>Lyndon Estes:</t>
        </r>
        <r>
          <rPr>
            <sz val="9"/>
            <color indexed="81"/>
            <rFont val="Calibri"/>
            <family val="2"/>
          </rPr>
          <t xml:space="preserve">
Since each solar radiation observation is separate, and cruises were repeated, we have an average of 2 days betweens cruise and the between cruise interval also
LDE: updated on 27/5. More days in cruise, calculations in next sheet. Retained same principle of averaging
12/4/2017: Seems to be have been mistake here (=AVERAGE(N62:N70)) so fixed it to be average separation between dates at the different stations</t>
        </r>
      </text>
    </comment>
    <comment ref="O70" authorId="0">
      <text>
        <r>
          <rPr>
            <b/>
            <sz val="9"/>
            <color indexed="81"/>
            <rFont val="Calibri"/>
            <family val="2"/>
          </rPr>
          <t>Lyndon Estes:</t>
        </r>
        <r>
          <rPr>
            <sz val="9"/>
            <color indexed="81"/>
            <rFont val="Calibri"/>
            <family val="2"/>
          </rPr>
          <t xml:space="preserve">
</t>
        </r>
      </text>
    </comment>
    <comment ref="P70" authorId="0">
      <text>
        <r>
          <rPr>
            <b/>
            <sz val="9"/>
            <color indexed="81"/>
            <rFont val="Arial"/>
          </rPr>
          <t>Lyndon Estes:</t>
        </r>
        <r>
          <rPr>
            <sz val="9"/>
            <color indexed="81"/>
            <rFont val="Arial"/>
          </rPr>
          <t xml:space="preserve">
start and end date of months listed assumed 1 and 30
12/4/2017: Changed from 118 (=DATEDIF("1/3/2002", "27/6/2002", "d")) to interval between station repeats</t>
        </r>
      </text>
    </comment>
    <comment ref="I71" authorId="0">
      <text>
        <r>
          <rPr>
            <b/>
            <sz val="9"/>
            <color indexed="81"/>
            <rFont val="Arial"/>
          </rPr>
          <t>Lyndon Estes:
anenometer diameter of 15 cm</t>
        </r>
      </text>
    </comment>
    <comment ref="J71" authorId="0">
      <text>
        <r>
          <rPr>
            <b/>
            <sz val="9"/>
            <color indexed="81"/>
            <rFont val="Arial"/>
          </rPr>
          <t>Lyndon Estes:</t>
        </r>
        <r>
          <rPr>
            <sz val="9"/>
            <color indexed="81"/>
            <rFont val="Arial"/>
          </rPr>
          <t xml:space="preserve">
windspeed recordings every 5 seconds on moving ship. Assume this was done over 24 hours, and that they were stationary for about 4 of those 24 hours. </t>
        </r>
      </text>
    </comment>
    <comment ref="K71" authorId="0">
      <text>
        <r>
          <rPr>
            <b/>
            <sz val="9"/>
            <color indexed="81"/>
            <rFont val="Calibri"/>
            <family val="2"/>
          </rPr>
          <t>Lyndon Estes:</t>
        </r>
        <r>
          <rPr>
            <sz val="9"/>
            <color indexed="81"/>
            <rFont val="Calibri"/>
            <family val="2"/>
          </rPr>
          <t xml:space="preserve">
Drew polygon around blue points in Fig. 1 in mymaps</t>
        </r>
      </text>
    </comment>
    <comment ref="M71" authorId="0">
      <text>
        <r>
          <rPr>
            <b/>
            <sz val="9"/>
            <color indexed="81"/>
            <rFont val="Arial"/>
          </rPr>
          <t>Lyndon Estes:</t>
        </r>
        <r>
          <rPr>
            <sz val="9"/>
            <color indexed="81"/>
            <rFont val="Arial"/>
          </rPr>
          <t xml:space="preserve">
assume instantaneous (1 second</t>
        </r>
      </text>
    </comment>
    <comment ref="N71" authorId="0">
      <text>
        <r>
          <rPr>
            <b/>
            <sz val="9"/>
            <color indexed="81"/>
            <rFont val="Calibri"/>
            <family val="2"/>
          </rPr>
          <t>Lyndon Estes:</t>
        </r>
        <r>
          <rPr>
            <sz val="9"/>
            <color indexed="81"/>
            <rFont val="Calibri"/>
            <family val="2"/>
          </rPr>
          <t xml:space="preserve">
Since each solar radiation observation is separate, and cruises were repeated, we have an average of 2 days betweens cruise and the between cruise interval also
LDE: updated on 27/5. More days in cruise, calculations in next sheet. Retained same principle of averaging
12/4/2017: Seems to have been cell mis-reference here that I fixed (was AVERAGE(N63:N71)), now set to average interval on EUBAL1</t>
        </r>
      </text>
    </comment>
    <comment ref="P71" authorId="0">
      <text>
        <r>
          <rPr>
            <b/>
            <sz val="9"/>
            <color indexed="81"/>
            <rFont val="Arial"/>
          </rPr>
          <t>Lyndon Estes:</t>
        </r>
        <r>
          <rPr>
            <sz val="9"/>
            <color indexed="81"/>
            <rFont val="Arial"/>
          </rPr>
          <t xml:space="preserve">
start and end date of EUBAL1</t>
        </r>
      </text>
    </comment>
    <comment ref="I72" authorId="0">
      <text>
        <r>
          <rPr>
            <b/>
            <sz val="9"/>
            <color indexed="81"/>
            <rFont val="Arial"/>
          </rPr>
          <t>Lyndon Estes:
anenometer diameter of 15 cm</t>
        </r>
      </text>
    </comment>
    <comment ref="J72" authorId="0">
      <text>
        <r>
          <rPr>
            <b/>
            <sz val="9"/>
            <color indexed="81"/>
            <rFont val="Arial"/>
          </rPr>
          <t>Lyndon Estes:</t>
        </r>
        <r>
          <rPr>
            <sz val="9"/>
            <color indexed="81"/>
            <rFont val="Arial"/>
          </rPr>
          <t xml:space="preserve">
windspeed recordings every 5 seconds on moving ship. Assume this was done over 24 hours, and that they were stationary for about 4 of those 24 hours. </t>
        </r>
      </text>
    </comment>
    <comment ref="K72" authorId="0">
      <text>
        <r>
          <rPr>
            <b/>
            <sz val="9"/>
            <color indexed="81"/>
            <rFont val="Calibri"/>
            <family val="2"/>
          </rPr>
          <t>Lyndon Estes:</t>
        </r>
        <r>
          <rPr>
            <sz val="9"/>
            <color indexed="81"/>
            <rFont val="Calibri"/>
            <family val="2"/>
          </rPr>
          <t xml:space="preserve">
Drew polygon around blue points in Fig. 1 in mymaps</t>
        </r>
      </text>
    </comment>
    <comment ref="M72" authorId="0">
      <text>
        <r>
          <rPr>
            <b/>
            <sz val="9"/>
            <color indexed="81"/>
            <rFont val="Arial"/>
          </rPr>
          <t>Lyndon Estes:</t>
        </r>
        <r>
          <rPr>
            <sz val="9"/>
            <color indexed="81"/>
            <rFont val="Arial"/>
          </rPr>
          <t xml:space="preserve">
assume instantaneous (1 second</t>
        </r>
      </text>
    </comment>
    <comment ref="N72" authorId="0">
      <text>
        <r>
          <rPr>
            <b/>
            <sz val="9"/>
            <color indexed="81"/>
            <rFont val="Calibri"/>
            <family val="2"/>
          </rPr>
          <t>Lyndon Estes:</t>
        </r>
        <r>
          <rPr>
            <sz val="9"/>
            <color indexed="81"/>
            <rFont val="Calibri"/>
            <family val="2"/>
          </rPr>
          <t xml:space="preserve">
Since each solar radiation observation is separate, and cruises were repeated, we have an average of 2 days betweens cruise and the between cruise interval also
LDE: updated on 27/5. More days in cruise, calculations in next sheet. Retained same principle of averaging
12/4/2017: Seems to have been cell mis-reference here that I fixed (was AVERAGE(N64:N72)), now set to average interval on EUBAL2</t>
        </r>
      </text>
    </comment>
    <comment ref="P72" authorId="0">
      <text>
        <r>
          <rPr>
            <b/>
            <sz val="9"/>
            <color indexed="81"/>
            <rFont val="Arial"/>
          </rPr>
          <t>Lyndon Estes:</t>
        </r>
        <r>
          <rPr>
            <sz val="9"/>
            <color indexed="81"/>
            <rFont val="Arial"/>
          </rPr>
          <t xml:space="preserve">
start and end date of EUBAL1
12/4/2017: This should have been dates for EUBAL-2, not 1. Fixed</t>
        </r>
      </text>
    </comment>
    <comment ref="I73" authorId="0">
      <text>
        <r>
          <rPr>
            <b/>
            <sz val="9"/>
            <color indexed="81"/>
            <rFont val="Calibri"/>
            <family val="2"/>
          </rPr>
          <t>Lyndon Estes:</t>
        </r>
        <r>
          <rPr>
            <sz val="9"/>
            <color indexed="81"/>
            <rFont val="Calibri"/>
            <family val="2"/>
          </rPr>
          <t xml:space="preserve">
20/4/2017
Assume nest is the sampling unit for each of 11 pairs of Penguins</t>
        </r>
      </text>
    </comment>
    <comment ref="K73" authorId="0">
      <text>
        <r>
          <rPr>
            <b/>
            <sz val="9"/>
            <color indexed="81"/>
            <rFont val="Calibri"/>
            <family val="2"/>
          </rPr>
          <t>Lyndon Estes:</t>
        </r>
        <r>
          <rPr>
            <sz val="9"/>
            <color indexed="81"/>
            <rFont val="Calibri"/>
            <family val="2"/>
          </rPr>
          <t xml:space="preserve">
20/4/2017: Digitized area of Amelie Island where Dumont d’Urville station in mymaps</t>
        </r>
      </text>
    </comment>
    <comment ref="M73" authorId="0">
      <text>
        <r>
          <rPr>
            <b/>
            <sz val="9"/>
            <color indexed="81"/>
            <rFont val="Calibri"/>
            <family val="2"/>
          </rPr>
          <t>Lyndon Estes:</t>
        </r>
        <r>
          <rPr>
            <sz val="9"/>
            <color indexed="81"/>
            <rFont val="Calibri"/>
            <family val="2"/>
          </rPr>
          <t xml:space="preserve">
20/4/2017: Assume viewed for 5 minutes to see if there penguins were back</t>
        </r>
      </text>
    </comment>
    <comment ref="O73" authorId="0">
      <text>
        <r>
          <rPr>
            <b/>
            <sz val="9"/>
            <color indexed="81"/>
            <rFont val="Arial"/>
          </rPr>
          <t>Lyndon Estes:</t>
        </r>
        <r>
          <rPr>
            <sz val="9"/>
            <color indexed="81"/>
            <rFont val="Arial"/>
          </rPr>
          <t xml:space="preserve">
20/4/2017: Used the temporal window shown in Figure 3 of 10.1111/j.1365-2435.2009.01638.x. So roughly 12 observations per day (every two hours) for the the breeding period, times sample duration, times two seasons</t>
        </r>
      </text>
    </comment>
    <comment ref="P73" authorId="0">
      <text>
        <r>
          <rPr>
            <b/>
            <sz val="9"/>
            <color indexed="81"/>
            <rFont val="Calibri"/>
            <family val="2"/>
          </rPr>
          <t>Lyndon Estes:</t>
        </r>
        <r>
          <rPr>
            <sz val="9"/>
            <color indexed="81"/>
            <rFont val="Calibri"/>
            <family val="2"/>
          </rPr>
          <t xml:space="preserve">
20/4/2017: Beginning of breeding season in 2006/2007 to end of breeding season in 2007/ 2008</t>
        </r>
      </text>
    </comment>
    <comment ref="I74" authorId="0">
      <text>
        <r>
          <rPr>
            <b/>
            <sz val="9"/>
            <color indexed="81"/>
            <rFont val="Calibri"/>
            <family val="2"/>
          </rPr>
          <t>Lyndon Estes:</t>
        </r>
        <r>
          <rPr>
            <sz val="9"/>
            <color indexed="81"/>
            <rFont val="Calibri"/>
            <family val="2"/>
          </rPr>
          <t xml:space="preserve">
20/4/2017
Assume nest is the sampling unit for each of 11 pairs of Penguins</t>
        </r>
      </text>
    </comment>
    <comment ref="K74" authorId="0">
      <text>
        <r>
          <rPr>
            <b/>
            <sz val="9"/>
            <color indexed="81"/>
            <rFont val="Calibri"/>
            <family val="2"/>
          </rPr>
          <t>Lyndon Estes:</t>
        </r>
        <r>
          <rPr>
            <sz val="9"/>
            <color indexed="81"/>
            <rFont val="Calibri"/>
            <family val="2"/>
          </rPr>
          <t xml:space="preserve">
20/4/2017: Digitized area of Amelie Island where Dumont d’Urville station in mymaps</t>
        </r>
      </text>
    </comment>
    <comment ref="M74" authorId="0">
      <text>
        <r>
          <rPr>
            <b/>
            <sz val="9"/>
            <color indexed="81"/>
            <rFont val="Calibri"/>
            <family val="2"/>
          </rPr>
          <t>Lyndon Estes:</t>
        </r>
        <r>
          <rPr>
            <sz val="9"/>
            <color indexed="81"/>
            <rFont val="Calibri"/>
            <family val="2"/>
          </rPr>
          <t xml:space="preserve">
20/4/2017: Assume viewed for 5 minutes to see if there penguins were back</t>
        </r>
      </text>
    </comment>
    <comment ref="O74" authorId="0">
      <text>
        <r>
          <rPr>
            <b/>
            <sz val="9"/>
            <color indexed="81"/>
            <rFont val="Arial"/>
          </rPr>
          <t>Lyndon Estes:</t>
        </r>
        <r>
          <rPr>
            <sz val="9"/>
            <color indexed="81"/>
            <rFont val="Arial"/>
          </rPr>
          <t xml:space="preserve">
20/4/2017: Used the temporal window shown in Figure 3 of 10.1111/j.1365-2435.2009.01638.x. So roughly 12 observations per day (every two hours) for the the breeding period, times sample duration, times two seasons</t>
        </r>
      </text>
    </comment>
    <comment ref="P74" authorId="0">
      <text>
        <r>
          <rPr>
            <b/>
            <sz val="9"/>
            <color indexed="81"/>
            <rFont val="Calibri"/>
            <family val="2"/>
          </rPr>
          <t>Lyndon Estes:</t>
        </r>
        <r>
          <rPr>
            <sz val="9"/>
            <color indexed="81"/>
            <rFont val="Calibri"/>
            <family val="2"/>
          </rPr>
          <t xml:space="preserve">
20/4/2017: Beginning of breeding season in 2006/2007 to end of breeding season in 2007/ 2008</t>
        </r>
      </text>
    </comment>
    <comment ref="I75" authorId="0">
      <text>
        <r>
          <rPr>
            <b/>
            <sz val="9"/>
            <color indexed="81"/>
            <rFont val="Calibri"/>
            <family val="2"/>
          </rPr>
          <t>Lyndon Estes:</t>
        </r>
        <r>
          <rPr>
            <sz val="9"/>
            <color indexed="81"/>
            <rFont val="Calibri"/>
            <family val="2"/>
          </rPr>
          <t xml:space="preserve">
20/4/2017 Assumed area of individual penguin</t>
        </r>
      </text>
    </comment>
    <comment ref="J75" authorId="0">
      <text>
        <r>
          <rPr>
            <b/>
            <sz val="9"/>
            <color indexed="81"/>
            <rFont val="Calibri"/>
            <family val="2"/>
          </rPr>
          <t>Lyndon Estes:</t>
        </r>
        <r>
          <rPr>
            <sz val="9"/>
            <color indexed="81"/>
            <rFont val="Calibri"/>
            <family val="2"/>
          </rPr>
          <t xml:space="preserve">
20/4/2017:Repeat weighings of 11 birds. Could be average of 11 and 18 since weights of additional single-check rearing penguins would have been taken from group added in 2007/2008</t>
        </r>
      </text>
    </comment>
    <comment ref="K75" authorId="0">
      <text>
        <r>
          <rPr>
            <b/>
            <sz val="9"/>
            <color indexed="81"/>
            <rFont val="Calibri"/>
            <family val="2"/>
          </rPr>
          <t>Lyndon Estes:</t>
        </r>
        <r>
          <rPr>
            <sz val="9"/>
            <color indexed="81"/>
            <rFont val="Calibri"/>
            <family val="2"/>
          </rPr>
          <t xml:space="preserve">
20/4/2017: Digitized area of Amelie Island where Dumont d’Urville station in mymaps</t>
        </r>
      </text>
    </comment>
    <comment ref="M75" authorId="0">
      <text>
        <r>
          <rPr>
            <b/>
            <sz val="9"/>
            <color indexed="81"/>
            <rFont val="Calibri"/>
            <family val="2"/>
          </rPr>
          <t>Lyndon Estes:</t>
        </r>
        <r>
          <rPr>
            <sz val="9"/>
            <color indexed="81"/>
            <rFont val="Calibri"/>
            <family val="2"/>
          </rPr>
          <t xml:space="preserve">
20/4/2017:Blood samples taken "less than 5 minutes after capture", which I assume was last thing done (weighing done first)</t>
        </r>
      </text>
    </comment>
    <comment ref="N75" authorId="0">
      <text>
        <r>
          <rPr>
            <b/>
            <sz val="9"/>
            <color indexed="81"/>
            <rFont val="Calibri"/>
            <family val="2"/>
          </rPr>
          <t>Lyndon Estes:</t>
        </r>
        <r>
          <rPr>
            <sz val="9"/>
            <color indexed="81"/>
            <rFont val="Calibri"/>
            <family val="2"/>
          </rPr>
          <t xml:space="preserve">
20/4/2017: Year between repeat weighings</t>
        </r>
      </text>
    </comment>
    <comment ref="O75" authorId="0">
      <text>
        <r>
          <rPr>
            <b/>
            <sz val="9"/>
            <color indexed="81"/>
            <rFont val="Calibri"/>
            <family val="2"/>
          </rPr>
          <t>Lyndon Estes:</t>
        </r>
        <r>
          <rPr>
            <sz val="9"/>
            <color indexed="81"/>
            <rFont val="Calibri"/>
            <family val="2"/>
          </rPr>
          <t xml:space="preserve">
20/4/2017: Two weighings per individual</t>
        </r>
      </text>
    </comment>
    <comment ref="P75" authorId="0">
      <text>
        <r>
          <rPr>
            <b/>
            <sz val="9"/>
            <color indexed="81"/>
            <rFont val="Calibri"/>
            <family val="2"/>
          </rPr>
          <t>Lyndon Estes:</t>
        </r>
        <r>
          <rPr>
            <sz val="9"/>
            <color indexed="81"/>
            <rFont val="Calibri"/>
            <family val="2"/>
          </rPr>
          <t xml:space="preserve">
20/4/2017: Weighing spanned two seasons</t>
        </r>
      </text>
    </comment>
    <comment ref="I76" authorId="0">
      <text>
        <r>
          <rPr>
            <b/>
            <sz val="9"/>
            <color indexed="81"/>
            <rFont val="Calibri"/>
            <family val="2"/>
          </rPr>
          <t>Lyndon Estes:</t>
        </r>
        <r>
          <rPr>
            <sz val="9"/>
            <color indexed="81"/>
            <rFont val="Calibri"/>
            <family val="2"/>
          </rPr>
          <t xml:space="preserve">
17/4/2017 20X20 cm sub-plots</t>
        </r>
      </text>
    </comment>
    <comment ref="K76" authorId="0">
      <text>
        <r>
          <rPr>
            <b/>
            <sz val="9"/>
            <color indexed="81"/>
            <rFont val="Calibri"/>
            <family val="2"/>
          </rPr>
          <t>Lyndon Estes:</t>
        </r>
        <r>
          <rPr>
            <sz val="9"/>
            <color indexed="81"/>
            <rFont val="Calibri"/>
            <family val="2"/>
          </rPr>
          <t xml:space="preserve">
21/4/2017: Summed area of 4 farms listed in Table 1</t>
        </r>
      </text>
    </comment>
    <comment ref="M76" authorId="0">
      <text>
        <r>
          <rPr>
            <b/>
            <sz val="9"/>
            <color indexed="81"/>
            <rFont val="Calibri"/>
            <family val="2"/>
          </rPr>
          <t>Lyndon Estes:</t>
        </r>
        <r>
          <rPr>
            <sz val="9"/>
            <color indexed="81"/>
            <rFont val="Calibri"/>
            <family val="2"/>
          </rPr>
          <t xml:space="preserve">
21/4/2017: I assume it took 15 minutes to record data in each sub-plot</t>
        </r>
      </text>
    </comment>
    <comment ref="I77" authorId="0">
      <text>
        <r>
          <rPr>
            <b/>
            <sz val="9"/>
            <color indexed="81"/>
            <rFont val="Calibri"/>
            <family val="2"/>
          </rPr>
          <t>Lyndon Estes:</t>
        </r>
        <r>
          <rPr>
            <sz val="9"/>
            <color indexed="81"/>
            <rFont val="Calibri"/>
            <family val="2"/>
          </rPr>
          <t xml:space="preserve">
21/5/2017: Assumed size of soil augur used</t>
        </r>
      </text>
    </comment>
    <comment ref="K77" authorId="0">
      <text>
        <r>
          <rPr>
            <b/>
            <sz val="9"/>
            <color indexed="81"/>
            <rFont val="Calibri"/>
            <family val="2"/>
          </rPr>
          <t>Lyndon Estes:</t>
        </r>
        <r>
          <rPr>
            <sz val="9"/>
            <color indexed="81"/>
            <rFont val="Calibri"/>
            <family val="2"/>
          </rPr>
          <t xml:space="preserve">
21/4/2017: Summed area of 4 farms listed in Table 1</t>
        </r>
      </text>
    </comment>
    <comment ref="M77" authorId="0">
      <text>
        <r>
          <rPr>
            <b/>
            <sz val="9"/>
            <color indexed="81"/>
            <rFont val="Calibri"/>
            <family val="2"/>
          </rPr>
          <t>Lyndon Estes:</t>
        </r>
        <r>
          <rPr>
            <sz val="9"/>
            <color indexed="81"/>
            <rFont val="Calibri"/>
            <family val="2"/>
          </rPr>
          <t xml:space="preserve">
21/4/2017: Assume 5 minutes to collect soil core</t>
        </r>
      </text>
    </comment>
    <comment ref="I78" authorId="0">
      <text>
        <r>
          <rPr>
            <b/>
            <sz val="9"/>
            <color indexed="81"/>
            <rFont val="Calibri"/>
            <family val="2"/>
          </rPr>
          <t>Lyndon Estes:</t>
        </r>
        <r>
          <rPr>
            <sz val="9"/>
            <color indexed="81"/>
            <rFont val="Calibri"/>
            <family val="2"/>
          </rPr>
          <t xml:space="preserve">
Added observation on 8/2/2017
Assume 10 cm X 10 cm rock samples
</t>
        </r>
      </text>
    </comment>
    <comment ref="J78" authorId="0">
      <text>
        <r>
          <rPr>
            <b/>
            <sz val="9"/>
            <color indexed="81"/>
            <rFont val="Calibri"/>
            <family val="2"/>
          </rPr>
          <t>Lyndon Estes:</t>
        </r>
        <r>
          <rPr>
            <sz val="9"/>
            <color indexed="81"/>
            <rFont val="Calibri"/>
            <family val="2"/>
          </rPr>
          <t xml:space="preserve">
No sample number given</t>
        </r>
      </text>
    </comment>
    <comment ref="K78" authorId="0">
      <text>
        <r>
          <rPr>
            <b/>
            <sz val="9"/>
            <color indexed="81"/>
            <rFont val="Calibri"/>
            <family val="2"/>
          </rPr>
          <t>Lyndon Estes:</t>
        </r>
        <r>
          <rPr>
            <sz val="9"/>
            <color indexed="81"/>
            <rFont val="Calibri"/>
            <family val="2"/>
          </rPr>
          <t xml:space="preserve">
Figure 1 shows gypsum hill with 250 m length. Assume NE side 100 m in other dimension</t>
        </r>
      </text>
    </comment>
    <comment ref="M78" authorId="0">
      <text>
        <r>
          <rPr>
            <b/>
            <sz val="9"/>
            <color indexed="81"/>
            <rFont val="Arial"/>
          </rPr>
          <t>Lyndon Estes:</t>
        </r>
        <r>
          <rPr>
            <sz val="9"/>
            <color indexed="81"/>
            <rFont val="Arial"/>
          </rPr>
          <t xml:space="preserve">
assume 10 minute per rock sample</t>
        </r>
      </text>
    </comment>
    <comment ref="P78" authorId="0">
      <text>
        <r>
          <rPr>
            <b/>
            <sz val="9"/>
            <color indexed="81"/>
            <rFont val="Calibri"/>
            <family val="2"/>
          </rPr>
          <t>Lyndon Estes:</t>
        </r>
        <r>
          <rPr>
            <sz val="9"/>
            <color indexed="81"/>
            <rFont val="Calibri"/>
            <family val="2"/>
          </rPr>
          <t xml:space="preserve">
Rocks collected in May and July, 2010
12/4/2017: Changed to actual duration from 90 days
</t>
        </r>
      </text>
    </comment>
    <comment ref="I79" authorId="1">
      <text>
        <r>
          <rPr>
            <b/>
            <sz val="9"/>
            <color indexed="81"/>
            <rFont val="Tahoma"/>
            <family val="2"/>
          </rPr>
          <t>Labeeb:</t>
        </r>
        <r>
          <rPr>
            <sz val="9"/>
            <color indexed="81"/>
            <rFont val="Tahoma"/>
            <family val="2"/>
          </rPr>
          <t xml:space="preserve">
Surface Temperature -AWG 28 wire ~ O.D. 1.0 mm x 1.4 mm - Calculated using area of ellipse.</t>
        </r>
      </text>
    </comment>
    <comment ref="K79" authorId="0">
      <text>
        <r>
          <rPr>
            <b/>
            <sz val="9"/>
            <color indexed="81"/>
            <rFont val="Calibri"/>
            <family val="2"/>
          </rPr>
          <t>Lyndon Estes:</t>
        </r>
        <r>
          <rPr>
            <sz val="9"/>
            <color indexed="81"/>
            <rFont val="Calibri"/>
            <family val="2"/>
          </rPr>
          <t xml:space="preserve">
Assume same as actual extent because just a single point</t>
        </r>
      </text>
    </comment>
    <comment ref="M79" authorId="1">
      <text>
        <r>
          <rPr>
            <b/>
            <sz val="9"/>
            <color indexed="81"/>
            <rFont val="Tahoma"/>
            <family val="2"/>
          </rPr>
          <t>Labeeb:</t>
        </r>
        <r>
          <rPr>
            <sz val="9"/>
            <color indexed="81"/>
            <rFont val="Tahoma"/>
            <family val="2"/>
          </rPr>
          <t xml:space="preserve">
It takes sensors approximately 1 second to measure and log the data.</t>
        </r>
      </text>
    </comment>
    <comment ref="N79" authorId="2">
      <text>
        <r>
          <rPr>
            <b/>
            <sz val="9"/>
            <color indexed="81"/>
            <rFont val="Tahoma"/>
            <family val="2"/>
          </rPr>
          <t>LA:</t>
        </r>
        <r>
          <rPr>
            <sz val="9"/>
            <color indexed="81"/>
            <rFont val="Tahoma"/>
            <family val="2"/>
          </rPr>
          <t xml:space="preserve">
15 min interval - assume t_btwn_samp</t>
        </r>
      </text>
    </comment>
    <comment ref="O79" authorId="1">
      <text>
        <r>
          <rPr>
            <b/>
            <sz val="9"/>
            <color indexed="81"/>
            <rFont val="Tahoma"/>
            <family val="2"/>
          </rPr>
          <t>Labeeb:</t>
        </r>
        <r>
          <rPr>
            <sz val="9"/>
            <color indexed="81"/>
            <rFont val="Tahoma"/>
            <family val="2"/>
          </rPr>
          <t xml:space="preserve">
39.5 hrs total study duration
LDE: changed this because 1 second every 15 minutes</t>
        </r>
      </text>
    </comment>
    <comment ref="P79" authorId="1">
      <text>
        <r>
          <rPr>
            <b/>
            <sz val="9"/>
            <color indexed="81"/>
            <rFont val="Tahoma"/>
            <family val="2"/>
          </rPr>
          <t>Labeeb:</t>
        </r>
        <r>
          <rPr>
            <sz val="9"/>
            <color indexed="81"/>
            <rFont val="Tahoma"/>
            <family val="2"/>
          </rPr>
          <t xml:space="preserve">
start date - 7/13/2011
end date - 4/27/2012
LDE: 12/4/2017
Since these were split up by sampling frequency into different years/months, reported interval of 39.5 hours assigned</t>
        </r>
      </text>
    </comment>
    <comment ref="K80" authorId="0">
      <text>
        <r>
          <rPr>
            <b/>
            <sz val="9"/>
            <color indexed="81"/>
            <rFont val="Calibri"/>
            <family val="2"/>
          </rPr>
          <t>Lyndon Estes:</t>
        </r>
        <r>
          <rPr>
            <sz val="9"/>
            <color indexed="81"/>
            <rFont val="Calibri"/>
            <family val="2"/>
          </rPr>
          <t xml:space="preserve">
Assume same as actual extent because just a single point</t>
        </r>
      </text>
    </comment>
    <comment ref="O80" authorId="1">
      <text>
        <r>
          <rPr>
            <b/>
            <sz val="9"/>
            <color indexed="81"/>
            <rFont val="Tahoma"/>
            <family val="2"/>
          </rPr>
          <t>Labeeb:</t>
        </r>
        <r>
          <rPr>
            <sz val="9"/>
            <color indexed="81"/>
            <rFont val="Tahoma"/>
            <family val="2"/>
          </rPr>
          <t xml:space="preserve">
29 hrs of total study duration</t>
        </r>
      </text>
    </comment>
    <comment ref="P80" authorId="0">
      <text>
        <r>
          <rPr>
            <b/>
            <sz val="9"/>
            <color indexed="81"/>
            <rFont val="Calibri"/>
            <family val="2"/>
          </rPr>
          <t>Lyndon Estes:</t>
        </r>
        <r>
          <rPr>
            <sz val="9"/>
            <color indexed="81"/>
            <rFont val="Calibri"/>
            <family val="2"/>
          </rPr>
          <t xml:space="preserve">
12/4/2017
Corrected from original sampling over two years to reported 29 hour interval </t>
        </r>
      </text>
    </comment>
    <comment ref="I81" authorId="1">
      <text>
        <r>
          <rPr>
            <b/>
            <sz val="9"/>
            <color indexed="81"/>
            <rFont val="Tahoma"/>
            <family val="2"/>
          </rPr>
          <t>Labeeb:</t>
        </r>
        <r>
          <rPr>
            <sz val="9"/>
            <color indexed="81"/>
            <rFont val="Tahoma"/>
            <family val="2"/>
          </rPr>
          <t xml:space="preserve">
Air temperature probe diameter - 0.0076 m - Product brochure
</t>
        </r>
      </text>
    </comment>
    <comment ref="K81" authorId="0">
      <text>
        <r>
          <rPr>
            <b/>
            <sz val="9"/>
            <color indexed="81"/>
            <rFont val="Calibri"/>
            <family val="2"/>
          </rPr>
          <t>Lyndon Estes:</t>
        </r>
        <r>
          <rPr>
            <sz val="9"/>
            <color indexed="81"/>
            <rFont val="Calibri"/>
            <family val="2"/>
          </rPr>
          <t xml:space="preserve">
Assume same as actual extent because just a single point</t>
        </r>
      </text>
    </comment>
    <comment ref="O81" authorId="1">
      <text>
        <r>
          <rPr>
            <b/>
            <sz val="9"/>
            <color indexed="81"/>
            <rFont val="Tahoma"/>
            <family val="2"/>
          </rPr>
          <t>Labeeb:</t>
        </r>
        <r>
          <rPr>
            <sz val="9"/>
            <color indexed="81"/>
            <rFont val="Tahoma"/>
            <family val="2"/>
          </rPr>
          <t xml:space="preserve">
39.5 hrs total study duration
LDE: changed this because 1 second every 15 minutes</t>
        </r>
      </text>
    </comment>
    <comment ref="P81" authorId="0">
      <text>
        <r>
          <rPr>
            <b/>
            <sz val="9"/>
            <color indexed="81"/>
            <rFont val="Calibri"/>
            <family val="2"/>
          </rPr>
          <t>Lyndon Estes:</t>
        </r>
        <r>
          <rPr>
            <sz val="9"/>
            <color indexed="81"/>
            <rFont val="Calibri"/>
            <family val="2"/>
          </rPr>
          <t xml:space="preserve">
12/4/2017
Corrected from original sampling over two years to reported 39.5 hour interval </t>
        </r>
      </text>
    </comment>
    <comment ref="K82" authorId="0">
      <text>
        <r>
          <rPr>
            <b/>
            <sz val="9"/>
            <color indexed="81"/>
            <rFont val="Calibri"/>
            <family val="2"/>
          </rPr>
          <t>Lyndon Estes:</t>
        </r>
        <r>
          <rPr>
            <sz val="9"/>
            <color indexed="81"/>
            <rFont val="Calibri"/>
            <family val="2"/>
          </rPr>
          <t xml:space="preserve">
Assume same as actual extent because just a single point</t>
        </r>
      </text>
    </comment>
    <comment ref="P82" authorId="0">
      <text>
        <r>
          <rPr>
            <b/>
            <sz val="9"/>
            <color indexed="81"/>
            <rFont val="Calibri"/>
            <family val="2"/>
          </rPr>
          <t>Lyndon Estes:</t>
        </r>
        <r>
          <rPr>
            <sz val="9"/>
            <color indexed="81"/>
            <rFont val="Calibri"/>
            <family val="2"/>
          </rPr>
          <t xml:space="preserve">
12/4/2017
Corrected from original sampling over two years to reported 29 hour interval </t>
        </r>
      </text>
    </comment>
    <comment ref="I83" authorId="1">
      <text>
        <r>
          <rPr>
            <b/>
            <sz val="9"/>
            <color indexed="81"/>
            <rFont val="Tahoma"/>
            <family val="2"/>
          </rPr>
          <t>Labeeb:</t>
        </r>
        <r>
          <rPr>
            <sz val="9"/>
            <color indexed="81"/>
            <rFont val="Tahoma"/>
            <family val="2"/>
          </rPr>
          <t xml:space="preserve">
PAR sensor diameter - 0.0238 m - Product brochure</t>
        </r>
      </text>
    </comment>
    <comment ref="K83" authorId="0">
      <text>
        <r>
          <rPr>
            <b/>
            <sz val="9"/>
            <color indexed="81"/>
            <rFont val="Calibri"/>
            <family val="2"/>
          </rPr>
          <t>Lyndon Estes:</t>
        </r>
        <r>
          <rPr>
            <sz val="9"/>
            <color indexed="81"/>
            <rFont val="Calibri"/>
            <family val="2"/>
          </rPr>
          <t xml:space="preserve">
Assume same as actual extent because just a single point</t>
        </r>
      </text>
    </comment>
    <comment ref="O83" authorId="1">
      <text>
        <r>
          <rPr>
            <b/>
            <sz val="9"/>
            <color indexed="81"/>
            <rFont val="Tahoma"/>
            <family val="2"/>
          </rPr>
          <t>Labeeb:</t>
        </r>
        <r>
          <rPr>
            <sz val="9"/>
            <color indexed="81"/>
            <rFont val="Tahoma"/>
            <family val="2"/>
          </rPr>
          <t xml:space="preserve">
39.5 hrs total study duration
LDE: changed this because 1 second every 15 minutes</t>
        </r>
      </text>
    </comment>
    <comment ref="P83" authorId="0">
      <text>
        <r>
          <rPr>
            <b/>
            <sz val="9"/>
            <color indexed="81"/>
            <rFont val="Calibri"/>
            <family val="2"/>
          </rPr>
          <t>Lyndon Estes:</t>
        </r>
        <r>
          <rPr>
            <sz val="9"/>
            <color indexed="81"/>
            <rFont val="Calibri"/>
            <family val="2"/>
          </rPr>
          <t xml:space="preserve">
12/4/2017
Corrected from original sampling over two years to reported 39.5 hour interval </t>
        </r>
      </text>
    </comment>
    <comment ref="K84" authorId="0">
      <text>
        <r>
          <rPr>
            <b/>
            <sz val="9"/>
            <color indexed="81"/>
            <rFont val="Calibri"/>
            <family val="2"/>
          </rPr>
          <t>Lyndon Estes:</t>
        </r>
        <r>
          <rPr>
            <sz val="9"/>
            <color indexed="81"/>
            <rFont val="Calibri"/>
            <family val="2"/>
          </rPr>
          <t xml:space="preserve">
Assume same as actual extent because just a single point</t>
        </r>
      </text>
    </comment>
    <comment ref="P84" authorId="0">
      <text>
        <r>
          <rPr>
            <b/>
            <sz val="9"/>
            <color indexed="81"/>
            <rFont val="Calibri"/>
            <family val="2"/>
          </rPr>
          <t>Lyndon Estes:</t>
        </r>
        <r>
          <rPr>
            <sz val="9"/>
            <color indexed="81"/>
            <rFont val="Calibri"/>
            <family val="2"/>
          </rPr>
          <t xml:space="preserve">
12/4/2017
Corrected from original sampling over two years to reported 29 hour interval </t>
        </r>
      </text>
    </comment>
    <comment ref="I85" authorId="2">
      <text>
        <r>
          <rPr>
            <b/>
            <sz val="9"/>
            <color indexed="81"/>
            <rFont val="Tahoma"/>
            <family val="2"/>
          </rPr>
          <t>LA:</t>
        </r>
        <r>
          <rPr>
            <sz val="9"/>
            <color indexed="81"/>
            <rFont val="Tahoma"/>
            <family val="2"/>
          </rPr>
          <t xml:space="preserve">
assume .14 m radius</t>
        </r>
      </text>
    </comment>
    <comment ref="J85" authorId="2">
      <text>
        <r>
          <rPr>
            <b/>
            <sz val="9"/>
            <color indexed="81"/>
            <rFont val="Tahoma"/>
            <family val="2"/>
          </rPr>
          <t>LA:</t>
        </r>
        <r>
          <rPr>
            <sz val="9"/>
            <color indexed="81"/>
            <rFont val="Tahoma"/>
            <family val="2"/>
          </rPr>
          <t xml:space="preserve">
Captive parents (57) and wild-reared parents (10) - Assume each parent had unique nest</t>
        </r>
      </text>
    </comment>
    <comment ref="K85" authorId="0">
      <text>
        <r>
          <rPr>
            <b/>
            <sz val="9"/>
            <color indexed="81"/>
            <rFont val="Calibri"/>
            <family val="2"/>
          </rPr>
          <t>Lyndon Estes:</t>
        </r>
        <r>
          <rPr>
            <sz val="9"/>
            <color indexed="81"/>
            <rFont val="Calibri"/>
            <family val="2"/>
          </rPr>
          <t xml:space="preserve">
No map, or mention of study sites in paper.  But found GIS layer of piping plover habitat online.  Assume they sampled from these areas.  Brought into QGIS and then R from Arc, obtained here http://www.arcgis.com/home/item.html?id=6dbc45e1a29e4ace81f2444a247941d7
Online map shows some breeding sites on Lake Huron and Superior, so expanded up the 29000 to 35000</t>
        </r>
      </text>
    </comment>
    <comment ref="M85" authorId="2">
      <text>
        <r>
          <rPr>
            <b/>
            <sz val="9"/>
            <color indexed="81"/>
            <rFont val="Tahoma"/>
            <family val="2"/>
          </rPr>
          <t>LA:</t>
        </r>
        <r>
          <rPr>
            <sz val="9"/>
            <color indexed="81"/>
            <rFont val="Tahoma"/>
            <family val="2"/>
          </rPr>
          <t xml:space="preserve">
Assume average chick fledging period sampling period</t>
        </r>
      </text>
    </comment>
    <comment ref="O85" authorId="2">
      <text>
        <r>
          <rPr>
            <b/>
            <sz val="9"/>
            <color indexed="81"/>
            <rFont val="Tahoma"/>
            <family val="2"/>
          </rPr>
          <t>LA:</t>
        </r>
        <r>
          <rPr>
            <sz val="9"/>
            <color indexed="81"/>
            <rFont val="Tahoma"/>
            <family val="2"/>
          </rPr>
          <t xml:space="preserve">
Assume annual sampling from 1992 to 2008</t>
        </r>
      </text>
    </comment>
    <comment ref="I86" authorId="0">
      <text>
        <r>
          <rPr>
            <b/>
            <sz val="9"/>
            <color indexed="81"/>
            <rFont val="Arial"/>
          </rPr>
          <t>Lyndon Estes:</t>
        </r>
        <r>
          <rPr>
            <sz val="9"/>
            <color indexed="81"/>
            <rFont val="Arial"/>
          </rPr>
          <t xml:space="preserve">
I assume they sampled about 1 ha on average to estimate plant density</t>
        </r>
      </text>
    </comment>
    <comment ref="K86" authorId="0">
      <text>
        <r>
          <rPr>
            <b/>
            <sz val="9"/>
            <color indexed="81"/>
            <rFont val="Calibri"/>
            <family val="2"/>
          </rPr>
          <t>Lyndon Estes:</t>
        </r>
        <r>
          <rPr>
            <sz val="9"/>
            <color indexed="81"/>
            <rFont val="Calibri"/>
            <family val="2"/>
          </rPr>
          <t xml:space="preserve">
Summed up area of fragments in Table 1--assumed total fragment area is correct metric because study is about remannt populations, and these are only in fragments</t>
        </r>
      </text>
    </comment>
    <comment ref="M86" authorId="2">
      <text>
        <r>
          <rPr>
            <b/>
            <sz val="9"/>
            <color indexed="81"/>
            <rFont val="Tahoma"/>
            <family val="2"/>
          </rPr>
          <t>LA:</t>
        </r>
        <r>
          <rPr>
            <sz val="9"/>
            <color indexed="81"/>
            <rFont val="Tahoma"/>
            <family val="2"/>
          </rPr>
          <t xml:space="preserve">
assume ~ 2 hours spent at each site</t>
        </r>
      </text>
    </comment>
    <comment ref="P86" authorId="2">
      <text>
        <r>
          <rPr>
            <b/>
            <sz val="9"/>
            <color indexed="81"/>
            <rFont val="Tahoma"/>
            <family val="2"/>
          </rPr>
          <t>LA:</t>
        </r>
        <r>
          <rPr>
            <sz val="9"/>
            <color indexed="81"/>
            <rFont val="Tahoma"/>
            <family val="2"/>
          </rPr>
          <t xml:space="preserve">
Study was conducted over the course of two year 2002 and 2003
LDE: 12/4/2017 changed to actual duration because wasn't repeated</t>
        </r>
      </text>
    </comment>
    <comment ref="I87" authorId="0">
      <text>
        <r>
          <rPr>
            <b/>
            <sz val="9"/>
            <color indexed="81"/>
            <rFont val="Arial"/>
          </rPr>
          <t>Lyndon Estes:</t>
        </r>
        <r>
          <rPr>
            <sz val="9"/>
            <color indexed="81"/>
            <rFont val="Arial"/>
          </rPr>
          <t xml:space="preserve">
5 samples per tree of 20 cm length of branch, assume 10 cm wide</t>
        </r>
      </text>
    </comment>
    <comment ref="J87" authorId="0">
      <text>
        <r>
          <rPr>
            <b/>
            <sz val="9"/>
            <color indexed="81"/>
            <rFont val="Arial"/>
          </rPr>
          <t>Lyndon Estes:</t>
        </r>
        <r>
          <rPr>
            <sz val="9"/>
            <color indexed="81"/>
            <rFont val="Arial"/>
          </rPr>
          <t xml:space="preserve">
Took average of N trees sampled each site in each year and added these across sites</t>
        </r>
      </text>
    </comment>
    <comment ref="K87" authorId="0">
      <text>
        <r>
          <rPr>
            <b/>
            <sz val="9"/>
            <color indexed="81"/>
            <rFont val="Calibri"/>
            <family val="2"/>
          </rPr>
          <t>Lyndon Estes:</t>
        </r>
        <r>
          <rPr>
            <sz val="9"/>
            <color indexed="81"/>
            <rFont val="Calibri"/>
            <family val="2"/>
          </rPr>
          <t xml:space="preserve">
Summed up area of fragments in Table 1--assumed total fragment area is correct metric because study is about remannt populations, and these are only in fragments</t>
        </r>
      </text>
    </comment>
    <comment ref="M87" authorId="2">
      <text>
        <r>
          <rPr>
            <b/>
            <sz val="9"/>
            <color indexed="81"/>
            <rFont val="Tahoma"/>
            <family val="2"/>
          </rPr>
          <t>LA:</t>
        </r>
        <r>
          <rPr>
            <sz val="9"/>
            <color indexed="81"/>
            <rFont val="Tahoma"/>
            <family val="2"/>
          </rPr>
          <t xml:space="preserve">
assume 90 days from bagging of flowers to ripening of seeds</t>
        </r>
      </text>
    </comment>
    <comment ref="P87" authorId="2">
      <text>
        <r>
          <rPr>
            <b/>
            <sz val="9"/>
            <color indexed="81"/>
            <rFont val="Tahoma"/>
            <family val="2"/>
          </rPr>
          <t>LA:</t>
        </r>
        <r>
          <rPr>
            <sz val="9"/>
            <color indexed="81"/>
            <rFont val="Tahoma"/>
            <family val="2"/>
          </rPr>
          <t xml:space="preserve">
Study was conducted over the course of two year 2002 and 2003</t>
        </r>
      </text>
    </comment>
    <comment ref="I88" authorId="1">
      <text>
        <r>
          <rPr>
            <b/>
            <sz val="9"/>
            <color indexed="81"/>
            <rFont val="Tahoma"/>
            <family val="2"/>
          </rPr>
          <t>Labeeb:</t>
        </r>
        <r>
          <rPr>
            <sz val="9"/>
            <color indexed="81"/>
            <rFont val="Tahoma"/>
            <family val="2"/>
          </rPr>
          <t xml:space="preserve">
Plot size not mentioned. The 4x4 m ground survey plots were randomly selected. Assuming this to be plot resolution for both sites.</t>
        </r>
      </text>
    </comment>
    <comment ref="J88" authorId="1">
      <text>
        <r>
          <rPr>
            <b/>
            <sz val="9"/>
            <color indexed="81"/>
            <rFont val="Tahoma"/>
            <family val="2"/>
          </rPr>
          <t>Labeeb:</t>
        </r>
        <r>
          <rPr>
            <sz val="9"/>
            <color indexed="81"/>
            <rFont val="Tahoma"/>
            <family val="2"/>
          </rPr>
          <t xml:space="preserve">
59 selected out of 118</t>
        </r>
      </text>
    </comment>
    <comment ref="K88" authorId="0">
      <text>
        <r>
          <rPr>
            <b/>
            <sz val="9"/>
            <color indexed="81"/>
            <rFont val="Calibri"/>
            <family val="2"/>
          </rPr>
          <t>Lyndon Estes:</t>
        </r>
        <r>
          <rPr>
            <sz val="9"/>
            <color indexed="81"/>
            <rFont val="Calibri"/>
            <family val="2"/>
          </rPr>
          <t xml:space="preserve">
Used statement from 2.b. that gave range elevation of 2100 to 900 m, and that trees were at least 100 m apart in each elevation zone. 1700 m elevation had 11 trees sampled, so assume maximum width of 1100 m for sampled area
To find distance up mountain, I went into my maps and took 5 different distance measures between the 900 and 1700 m contours on Mount Banahaw
2.88
2.56
1.6
2.336
1.84
Used the average (2.24)</t>
        </r>
      </text>
    </comment>
    <comment ref="M88" authorId="1">
      <text>
        <r>
          <rPr>
            <b/>
            <sz val="9"/>
            <color indexed="81"/>
            <rFont val="Tahoma"/>
            <family val="2"/>
          </rPr>
          <t>Labeeb:</t>
        </r>
        <r>
          <rPr>
            <sz val="9"/>
            <color indexed="81"/>
            <rFont val="Tahoma"/>
            <family val="2"/>
          </rPr>
          <t xml:space="preserve">
1 hr per tree, but actual time spent sampling the base, sub-canopy and canopy is 10 minutes each</t>
        </r>
      </text>
    </comment>
    <comment ref="N88" authorId="1">
      <text>
        <r>
          <rPr>
            <b/>
            <sz val="9"/>
            <color indexed="81"/>
            <rFont val="Tahoma"/>
            <family val="2"/>
          </rPr>
          <t>Labeeb:</t>
        </r>
        <r>
          <rPr>
            <sz val="9"/>
            <color indexed="81"/>
            <rFont val="Tahoma"/>
            <family val="2"/>
          </rPr>
          <t xml:space="preserve">
Tree surveys repeated day and night. Assuming ~12 hours apart</t>
        </r>
      </text>
    </comment>
    <comment ref="P88" authorId="1">
      <text>
        <r>
          <rPr>
            <b/>
            <sz val="9"/>
            <color indexed="81"/>
            <rFont val="Tahoma"/>
            <family val="2"/>
          </rPr>
          <t>Labeeb:</t>
        </r>
        <r>
          <rPr>
            <sz val="9"/>
            <color indexed="81"/>
            <rFont val="Tahoma"/>
            <family val="2"/>
          </rPr>
          <t xml:space="preserve">
Assuming start date: 2/1/2011 and end date: 10/31/2011
LDE: 13/4/2017, changed to duration for a single observation, from 272. Using 12 hours (assumed day/night difference) plus 1 hour either side as total duration</t>
        </r>
      </text>
    </comment>
    <comment ref="K89" authorId="0">
      <text>
        <r>
          <rPr>
            <b/>
            <sz val="9"/>
            <color indexed="81"/>
            <rFont val="Calibri"/>
            <family val="2"/>
          </rPr>
          <t>Lyndon Estes:</t>
        </r>
        <r>
          <rPr>
            <sz val="9"/>
            <color indexed="81"/>
            <rFont val="Calibri"/>
            <family val="2"/>
          </rPr>
          <t xml:space="preserve">
This is overly large, but what I did was find the area of the parks in Singapore that they sampled, using online reports of park size, or digitizing the boundary of the forests on my maps. . Summed those areas. Digitizing points centered in those areas would have included a lot of city that is not frog habitat. 
Area of Nee Soon Swamp from this paper: 
http://onlinelibrary.wiley.com/store/10.1002/aqc.3270020305/asset/3270020305_ftp.pdf?v=1&amp;t=iz4e83qn&amp;s=3e5df6a1562fda5e1e93bc0739a26a6c7ac9b67f</t>
        </r>
      </text>
    </comment>
    <comment ref="P89" authorId="1">
      <text>
        <r>
          <rPr>
            <b/>
            <sz val="9"/>
            <color indexed="81"/>
            <rFont val="Tahoma"/>
            <family val="2"/>
          </rPr>
          <t>Labeeb:</t>
        </r>
        <r>
          <rPr>
            <sz val="9"/>
            <color indexed="81"/>
            <rFont val="Tahoma"/>
            <family val="2"/>
          </rPr>
          <t xml:space="preserve">
Assuming start date: 2/1/2011 and end date: 10/31/2011
LDE: 13/4/2017, changed to duration for a single observation, from 272. Using 12 hours (assumed day/night difference) plus 1 hour either side as total duration</t>
        </r>
      </text>
    </comment>
    <comment ref="J90" authorId="1">
      <text>
        <r>
          <rPr>
            <b/>
            <sz val="9"/>
            <color indexed="81"/>
            <rFont val="Tahoma"/>
            <family val="2"/>
          </rPr>
          <t>Labeeb:</t>
        </r>
        <r>
          <rPr>
            <sz val="9"/>
            <color indexed="81"/>
            <rFont val="Tahoma"/>
            <family val="2"/>
          </rPr>
          <t xml:space="preserve">
Five temperature sensors were placed per elevation from 900 to 1900 m &amp; each sensor was paired with another above the ground (~1 m) . 10*6</t>
        </r>
      </text>
    </comment>
    <comment ref="K90" authorId="0">
      <text>
        <r>
          <rPr>
            <b/>
            <sz val="9"/>
            <color indexed="81"/>
            <rFont val="Calibri"/>
            <family val="2"/>
          </rPr>
          <t>Lyndon Estes:</t>
        </r>
        <r>
          <rPr>
            <sz val="9"/>
            <color indexed="81"/>
            <rFont val="Calibri"/>
            <family val="2"/>
          </rPr>
          <t xml:space="preserve">
Used statement from 2.b. that gave range elevation of 2100 to 900 m, and loggers were put in 5 trees per elevation
Used the same elevation distance profile average as with tree surveys</t>
        </r>
      </text>
    </comment>
    <comment ref="M90" authorId="1">
      <text>
        <r>
          <rPr>
            <b/>
            <sz val="9"/>
            <color indexed="81"/>
            <rFont val="Tahoma"/>
            <family val="2"/>
          </rPr>
          <t>Labeeb:</t>
        </r>
        <r>
          <rPr>
            <sz val="9"/>
            <color indexed="81"/>
            <rFont val="Tahoma"/>
            <family val="2"/>
          </rPr>
          <t xml:space="preserve">
Assuming ~1 second to data log</t>
        </r>
      </text>
    </comment>
    <comment ref="O90" authorId="1">
      <text>
        <r>
          <rPr>
            <b/>
            <sz val="9"/>
            <color indexed="81"/>
            <rFont val="Tahoma"/>
            <family val="2"/>
          </rPr>
          <t>Labeeb:</t>
        </r>
        <r>
          <rPr>
            <sz val="9"/>
            <color indexed="81"/>
            <rFont val="Tahoma"/>
            <family val="2"/>
          </rPr>
          <t xml:space="preserve">
Assuming data loggers continuously collected temp data from May to Sep, 2011 i.e. 123 days and 177,120 minutes. Total of 11,808 times the data was measured</t>
        </r>
      </text>
    </comment>
    <comment ref="P90" authorId="1">
      <text>
        <r>
          <rPr>
            <b/>
            <sz val="9"/>
            <color indexed="81"/>
            <rFont val="Tahoma"/>
            <family val="2"/>
          </rPr>
          <t>Labeeb:</t>
        </r>
        <r>
          <rPr>
            <sz val="9"/>
            <color indexed="81"/>
            <rFont val="Tahoma"/>
            <family val="2"/>
          </rPr>
          <t xml:space="preserve">
May to September, 2011</t>
        </r>
      </text>
    </comment>
    <comment ref="J91" authorId="1">
      <text>
        <r>
          <rPr>
            <b/>
            <sz val="9"/>
            <color indexed="81"/>
            <rFont val="Tahoma"/>
            <family val="2"/>
          </rPr>
          <t>Labeeb:</t>
        </r>
        <r>
          <rPr>
            <sz val="9"/>
            <color indexed="81"/>
            <rFont val="Tahoma"/>
            <family val="2"/>
          </rPr>
          <t xml:space="preserve">
Unclear how many sites, but assume tree transects data collected at each tree survery site</t>
        </r>
      </text>
    </comment>
    <comment ref="K91" authorId="0">
      <text>
        <r>
          <rPr>
            <b/>
            <sz val="9"/>
            <color indexed="81"/>
            <rFont val="Calibri"/>
            <family val="2"/>
          </rPr>
          <t>Lyndon Estes:</t>
        </r>
        <r>
          <rPr>
            <sz val="9"/>
            <color indexed="81"/>
            <rFont val="Calibri"/>
            <family val="2"/>
          </rPr>
          <t xml:space="preserve">
Used statement from 2.b. that gave range elevation of 2100 to 900 m, and that trees were at least 100 m apart in each elevation zone. 1700 m elevation had 11 trees sampled, so assume maximum width of 1100 m for sampled area
To find distance up mountain, I went into my maps and took 5 different distance measures between the 900 and 1700 m contours on Mount Banahaw
2.88
2.56
1.6
2.336
1.84
Used the average (2.24)</t>
        </r>
      </text>
    </comment>
    <comment ref="M91" authorId="1">
      <text>
        <r>
          <rPr>
            <b/>
            <sz val="9"/>
            <color indexed="81"/>
            <rFont val="Tahoma"/>
            <family val="2"/>
          </rPr>
          <t>Labeeb:</t>
        </r>
        <r>
          <rPr>
            <sz val="9"/>
            <color indexed="81"/>
            <rFont val="Tahoma"/>
            <family val="2"/>
          </rPr>
          <t xml:space="preserve">
Assuming takes ~ 1 hr</t>
        </r>
      </text>
    </comment>
    <comment ref="N91" authorId="1">
      <text>
        <r>
          <rPr>
            <b/>
            <sz val="9"/>
            <color indexed="81"/>
            <rFont val="Tahoma"/>
            <family val="2"/>
          </rPr>
          <t>Labeeb:</t>
        </r>
        <r>
          <rPr>
            <sz val="9"/>
            <color indexed="81"/>
            <rFont val="Tahoma"/>
            <family val="2"/>
          </rPr>
          <t xml:space="preserve">
Unclear. Assume it takes 1 day
LDE: Fixed </t>
        </r>
      </text>
    </comment>
    <comment ref="O91" authorId="1">
      <text>
        <r>
          <rPr>
            <b/>
            <sz val="9"/>
            <color indexed="81"/>
            <rFont val="Tahoma"/>
            <family val="2"/>
          </rPr>
          <t>Labeeb:</t>
        </r>
        <r>
          <rPr>
            <sz val="9"/>
            <color indexed="81"/>
            <rFont val="Tahoma"/>
            <family val="2"/>
          </rPr>
          <t xml:space="preserve">
Assume 59 transects was sampled only once</t>
        </r>
      </text>
    </comment>
    <comment ref="P91" authorId="1">
      <text>
        <r>
          <rPr>
            <b/>
            <sz val="9"/>
            <color indexed="81"/>
            <rFont val="Tahoma"/>
            <family val="2"/>
          </rPr>
          <t>Labeeb:</t>
        </r>
        <r>
          <rPr>
            <sz val="9"/>
            <color indexed="81"/>
            <rFont val="Tahoma"/>
            <family val="2"/>
          </rPr>
          <t xml:space="preserve">
Unclear. Assume Feb to Oct, 2011
13/4/2017: LDE changed to actual duration because these once off. Also deleted nearly identical record for Singapore because don’t think transects happened there</t>
        </r>
      </text>
    </comment>
    <comment ref="I92" authorId="2">
      <text>
        <r>
          <rPr>
            <b/>
            <sz val="9"/>
            <color indexed="81"/>
            <rFont val="Tahoma"/>
            <family val="2"/>
          </rPr>
          <t>LA:</t>
        </r>
        <r>
          <rPr>
            <sz val="9"/>
            <color indexed="81"/>
            <rFont val="Tahoma"/>
            <family val="2"/>
          </rPr>
          <t xml:space="preserve">
Using satellite imagery from Google Earth the width of the river approximated to 30 meters. </t>
        </r>
      </text>
    </comment>
    <comment ref="K92" authorId="0">
      <text>
        <r>
          <rPr>
            <b/>
            <sz val="9"/>
            <color indexed="81"/>
            <rFont val="Calibri"/>
            <family val="2"/>
          </rPr>
          <t>Lyndon Estes:</t>
        </r>
        <r>
          <rPr>
            <sz val="9"/>
            <color indexed="81"/>
            <rFont val="Calibri"/>
            <family val="2"/>
          </rPr>
          <t xml:space="preserve">
They surveyed a 550 m reach of river, which on mymaps looks to be about 10 m wide at most
LDE: 1/5/2017. Edited from (10*550) / 10000 to match Labeeb's estimate of 30 m width (and to make act_ext and eff_ext match)</t>
        </r>
      </text>
    </comment>
    <comment ref="M92" authorId="2">
      <text>
        <r>
          <rPr>
            <b/>
            <sz val="9"/>
            <color indexed="81"/>
            <rFont val="Tahoma"/>
            <family val="2"/>
          </rPr>
          <t>LA:</t>
        </r>
        <r>
          <rPr>
            <sz val="9"/>
            <color indexed="81"/>
            <rFont val="Tahoma"/>
            <family val="2"/>
          </rPr>
          <t xml:space="preserve">
Assuming 3 hours to complete sampling the entire transect</t>
        </r>
      </text>
    </comment>
    <comment ref="O92" authorId="2">
      <text>
        <r>
          <rPr>
            <b/>
            <sz val="9"/>
            <color indexed="81"/>
            <rFont val="Tahoma"/>
            <family val="2"/>
          </rPr>
          <t>LA:</t>
        </r>
        <r>
          <rPr>
            <sz val="9"/>
            <color indexed="81"/>
            <rFont val="Tahoma"/>
            <family val="2"/>
          </rPr>
          <t xml:space="preserve">
10 repeated samples * samp_duration. Includes native fish sampling as well</t>
        </r>
      </text>
    </comment>
    <comment ref="P92" authorId="2">
      <text>
        <r>
          <rPr>
            <b/>
            <sz val="9"/>
            <color indexed="81"/>
            <rFont val="Tahoma"/>
            <family val="2"/>
          </rPr>
          <t>LA:</t>
        </r>
        <r>
          <rPr>
            <sz val="9"/>
            <color indexed="81"/>
            <rFont val="Tahoma"/>
            <family val="2"/>
          </rPr>
          <t xml:space="preserve">
March, 2008 to May, 2010</t>
        </r>
      </text>
    </comment>
    <comment ref="W92" authorId="2">
      <text>
        <r>
          <rPr>
            <b/>
            <sz val="9"/>
            <color indexed="81"/>
            <rFont val="Tahoma"/>
            <family val="2"/>
          </rPr>
          <t>LA:</t>
        </r>
        <r>
          <rPr>
            <sz val="9"/>
            <color indexed="81"/>
            <rFont val="Tahoma"/>
            <family val="2"/>
          </rPr>
          <t xml:space="preserve">
Assuming experimental determiniation of fish biomass and nutrient recycling </t>
        </r>
      </text>
    </comment>
    <comment ref="I93" authorId="1">
      <text>
        <r>
          <rPr>
            <b/>
            <sz val="9"/>
            <color indexed="81"/>
            <rFont val="Tahoma"/>
            <family val="2"/>
          </rPr>
          <t>Labeeb:</t>
        </r>
        <r>
          <rPr>
            <sz val="9"/>
            <color indexed="81"/>
            <rFont val="Tahoma"/>
            <family val="2"/>
          </rPr>
          <t xml:space="preserve">
Avg. of sensor SA of all applicable HOBO and iButton data loggers</t>
        </r>
      </text>
    </comment>
    <comment ref="J93" authorId="1">
      <text>
        <r>
          <rPr>
            <b/>
            <sz val="9"/>
            <color indexed="81"/>
            <rFont val="Tahoma"/>
            <family val="2"/>
          </rPr>
          <t>Labeeb:</t>
        </r>
        <r>
          <rPr>
            <sz val="9"/>
            <color indexed="81"/>
            <rFont val="Tahoma"/>
            <family val="2"/>
          </rPr>
          <t xml:space="preserve">
10 streams</t>
        </r>
      </text>
    </comment>
    <comment ref="K93" authorId="0">
      <text>
        <r>
          <rPr>
            <b/>
            <sz val="9"/>
            <color indexed="81"/>
            <rFont val="Calibri"/>
            <family val="2"/>
          </rPr>
          <t>Lyndon Estes:</t>
        </r>
        <r>
          <rPr>
            <sz val="9"/>
            <color indexed="81"/>
            <rFont val="Calibri"/>
            <family val="2"/>
          </rPr>
          <t xml:space="preserve">
Really not much information given except 10 streams sampled around Lake Nerka and Aleknagik in Alaska, so I traced boundaries around the top and bottom halfs of each Lake, respectively, assuming stream sampling went up the first 1 km of the streams. So 1 km of lake shore.  No idea which streams, but giving credit that it representative of streams in that area. 
Actually, no. I traced about 1 km up a single steam (my maps), and multipled area by 120 and by 52. That's the number of streams I counted on google maps flowing into both lakes. So, I assume that the data they collected represents  stream habitats of about 1 km from outlet everywhere around the lake</t>
        </r>
      </text>
    </comment>
    <comment ref="L93" authorId="1">
      <text>
        <r>
          <rPr>
            <b/>
            <sz val="9"/>
            <color indexed="81"/>
            <rFont val="Tahoma"/>
            <family val="2"/>
          </rPr>
          <t>Labeeb:</t>
        </r>
        <r>
          <rPr>
            <sz val="9"/>
            <color indexed="81"/>
            <rFont val="Tahoma"/>
            <family val="2"/>
          </rPr>
          <t xml:space="preserve">
Not sure how many data loggers used. Conservative assumption one used for each stream.</t>
        </r>
      </text>
    </comment>
    <comment ref="M93" authorId="1">
      <text>
        <r>
          <rPr>
            <b/>
            <sz val="9"/>
            <color indexed="81"/>
            <rFont val="Tahoma"/>
            <family val="2"/>
          </rPr>
          <t>Labeeb:</t>
        </r>
        <r>
          <rPr>
            <sz val="9"/>
            <color indexed="81"/>
            <rFont val="Tahoma"/>
            <family val="2"/>
          </rPr>
          <t xml:space="preserve">
Fixed - indicated in the paper that logger estimated cumulative degree days which makes samp_duration = 1 day</t>
        </r>
      </text>
    </comment>
    <comment ref="N93" authorId="1">
      <text>
        <r>
          <rPr>
            <b/>
            <sz val="9"/>
            <color indexed="81"/>
            <rFont val="Tahoma"/>
            <family val="2"/>
          </rPr>
          <t>Labeeb:</t>
        </r>
        <r>
          <rPr>
            <sz val="9"/>
            <color indexed="81"/>
            <rFont val="Tahoma"/>
            <family val="2"/>
          </rPr>
          <t xml:space="preserve">
assume 1 day as t_btwn_sample as cumulative degree days are collected every day</t>
        </r>
      </text>
    </comment>
    <comment ref="O93" authorId="1">
      <text>
        <r>
          <rPr>
            <b/>
            <sz val="9"/>
            <color indexed="81"/>
            <rFont val="Tahoma"/>
            <family val="2"/>
          </rPr>
          <t>Labeeb:</t>
        </r>
        <r>
          <rPr>
            <sz val="9"/>
            <color indexed="81"/>
            <rFont val="Tahoma"/>
            <family val="2"/>
          </rPr>
          <t xml:space="preserve">
Data collected from July to August (2007). Assuming 6/1/07 to 8/31/07</t>
        </r>
      </text>
    </comment>
    <comment ref="I94" authorId="1">
      <text>
        <r>
          <rPr>
            <b/>
            <sz val="9"/>
            <color indexed="81"/>
            <rFont val="Tahoma"/>
            <family val="2"/>
          </rPr>
          <t>Labeeb:</t>
        </r>
        <r>
          <rPr>
            <sz val="9"/>
            <color indexed="81"/>
            <rFont val="Tahoma"/>
            <family val="2"/>
          </rPr>
          <t xml:space="preserve">
Avg. of sensor SA of ONLY applicable HOBO data loggers</t>
        </r>
      </text>
    </comment>
    <comment ref="K94" authorId="0">
      <text>
        <r>
          <rPr>
            <b/>
            <sz val="9"/>
            <color indexed="81"/>
            <rFont val="Calibri"/>
            <family val="2"/>
          </rPr>
          <t>Lyndon Estes:</t>
        </r>
        <r>
          <rPr>
            <sz val="9"/>
            <color indexed="81"/>
            <rFont val="Calibri"/>
            <family val="2"/>
          </rPr>
          <t xml:space="preserve">
Actually, no. I traced about 1 km up a single steam (my maps), and multipled area by 120 and by 52. That's the number of streams I counted on google maps flowing into both lakes. So, I assume that the data they collected represents  stream habitats of about 1 km from outlet everywhere around the lake. 
In this case, I assume the stream are evenly spaced among the 10, so assume that it is still representative of full area</t>
        </r>
      </text>
    </comment>
    <comment ref="L94" authorId="1">
      <text>
        <r>
          <rPr>
            <b/>
            <sz val="9"/>
            <color indexed="81"/>
            <rFont val="Tahoma"/>
            <family val="2"/>
          </rPr>
          <t>Labeeb:</t>
        </r>
        <r>
          <rPr>
            <sz val="9"/>
            <color indexed="81"/>
            <rFont val="Tahoma"/>
            <family val="2"/>
          </rPr>
          <t xml:space="preserve">
Not sure how many data loggers used. Conservative assumption one used for each stream.</t>
        </r>
      </text>
    </comment>
    <comment ref="M94" authorId="1">
      <text>
        <r>
          <rPr>
            <b/>
            <sz val="9"/>
            <color indexed="81"/>
            <rFont val="Tahoma"/>
            <family val="2"/>
          </rPr>
          <t>Labeeb:</t>
        </r>
        <r>
          <rPr>
            <sz val="9"/>
            <color indexed="81"/>
            <rFont val="Tahoma"/>
            <family val="2"/>
          </rPr>
          <t xml:space="preserve">
It takes sensors approximately ~ 1 second to measure and log the data. Data is logged every 15 mins. Therefore, 0.01667 min*96(15 min intervals)/(60*24) [in days] -- Assumed 15 minute interval from USGS guidelines</t>
        </r>
      </text>
    </comment>
    <comment ref="N94" authorId="1">
      <text>
        <r>
          <rPr>
            <b/>
            <sz val="9"/>
            <color indexed="81"/>
            <rFont val="Tahoma"/>
            <family val="2"/>
          </rPr>
          <t>Labeeb:</t>
        </r>
        <r>
          <rPr>
            <sz val="9"/>
            <color indexed="81"/>
            <rFont val="Tahoma"/>
            <family val="2"/>
          </rPr>
          <t xml:space="preserve">
Unclear. Assuming ~15 minutes intervals for smaller streams according to USGS Hydrologic data collection guidelines</t>
        </r>
      </text>
    </comment>
    <comment ref="O94" authorId="1">
      <text>
        <r>
          <rPr>
            <b/>
            <sz val="9"/>
            <color indexed="81"/>
            <rFont val="Tahoma"/>
            <family val="2"/>
          </rPr>
          <t>Labeeb:</t>
        </r>
        <r>
          <rPr>
            <sz val="9"/>
            <color indexed="81"/>
            <rFont val="Tahoma"/>
            <family val="2"/>
          </rPr>
          <t xml:space="preserve">
Data collected from Sep, 2007 to Sep, 2008
Strikes me for all of these that you should be integrating over 15 minute intervals, not just days</t>
        </r>
      </text>
    </comment>
    <comment ref="I95" authorId="1">
      <text>
        <r>
          <rPr>
            <b/>
            <sz val="9"/>
            <color indexed="81"/>
            <rFont val="Tahoma"/>
            <family val="2"/>
          </rPr>
          <t>Labeeb:</t>
        </r>
        <r>
          <rPr>
            <sz val="9"/>
            <color indexed="81"/>
            <rFont val="Tahoma"/>
            <family val="2"/>
          </rPr>
          <t xml:space="preserve">
Assume 12x12 (in) Surber sampler</t>
        </r>
      </text>
    </comment>
    <comment ref="J95" authorId="2">
      <text>
        <r>
          <rPr>
            <b/>
            <sz val="9"/>
            <color indexed="81"/>
            <rFont val="Tahoma"/>
            <family val="2"/>
          </rPr>
          <t>LA:</t>
        </r>
        <r>
          <rPr>
            <sz val="9"/>
            <color indexed="81"/>
            <rFont val="Tahoma"/>
            <family val="2"/>
          </rPr>
          <t xml:space="preserve">
Collected over 4 years (2002 to 2005)
LDE: 15/4/2017. Although the paper lists 1063 samples over 4 years from different locations, they also state that there 4.8 samples per stream per event, and these samples were collected to determine insect phenology. So it seems that there 4.8 samples per stream serving as temporal replicates in each sampling period, even if they weren't in the same place. 4.8*10</t>
        </r>
      </text>
    </comment>
    <comment ref="K95" authorId="0">
      <text>
        <r>
          <rPr>
            <b/>
            <sz val="9"/>
            <color indexed="81"/>
            <rFont val="Calibri"/>
            <family val="2"/>
          </rPr>
          <t>Lyndon Estes:</t>
        </r>
        <r>
          <rPr>
            <sz val="9"/>
            <color indexed="81"/>
            <rFont val="Calibri"/>
            <family val="2"/>
          </rPr>
          <t xml:space="preserve">
Really not much information given except 10 streams sampled around Lake Nerka and Aleknagik in Alaska, so I traced boundaries around the top and bottom halfs of each Lake, respectively, assuming stream sampling went up the first 1 km of the streams. So 1 km of lake shore.  No idea which streams, but giving credit that it representative of streams in that area. 
Actually, no. I traced about 1 km up a single steam (my maps), and multipled area by 120 and by 52. That's the number of streams I counted on google maps flowing into both lakes. So, I assume that the data they collected represents  stream habitats of about 1 km from outlet everywhere around the lake</t>
        </r>
      </text>
    </comment>
    <comment ref="M95" authorId="1">
      <text>
        <r>
          <rPr>
            <b/>
            <sz val="9"/>
            <color indexed="81"/>
            <rFont val="Tahoma"/>
            <family val="2"/>
          </rPr>
          <t>Labeeb:</t>
        </r>
        <r>
          <rPr>
            <sz val="9"/>
            <color indexed="81"/>
            <rFont val="Tahoma"/>
            <family val="2"/>
          </rPr>
          <t xml:space="preserve">
Assume ~ 30 mins for each sample</t>
        </r>
      </text>
    </comment>
    <comment ref="N95" authorId="0">
      <text>
        <r>
          <rPr>
            <b/>
            <sz val="9"/>
            <color indexed="81"/>
            <rFont val="Arial"/>
          </rPr>
          <t>Lyndon Estes:</t>
        </r>
        <r>
          <rPr>
            <sz val="9"/>
            <color indexed="81"/>
            <rFont val="Arial"/>
          </rPr>
          <t xml:space="preserve">
Shouldn't this be 365 days?
</t>
        </r>
        <r>
          <rPr>
            <b/>
            <sz val="9"/>
            <color indexed="81"/>
            <rFont val="Arial"/>
          </rPr>
          <t xml:space="preserve">Labeeb - Sampling done Jun to Sep (2002 to 2005) - Avg. no of days between each sampling event
</t>
        </r>
        <r>
          <rPr>
            <sz val="9"/>
            <color indexed="81"/>
            <rFont val="Arial"/>
          </rPr>
          <t xml:space="preserve">15/4/2017:  LDE changed because they say repeats happened every 11.3 days, and this was focused on distnct seasons. Was =(243+(244*2))/3
</t>
        </r>
      </text>
    </comment>
    <comment ref="O95" authorId="1">
      <text>
        <r>
          <rPr>
            <b/>
            <sz val="9"/>
            <color indexed="81"/>
            <rFont val="Tahoma"/>
            <family val="2"/>
          </rPr>
          <t>Labeeb:</t>
        </r>
        <r>
          <rPr>
            <sz val="9"/>
            <color indexed="81"/>
            <rFont val="Tahoma"/>
            <family val="2"/>
          </rPr>
          <t xml:space="preserve">
Assume sampling done each summer from 2002 to 2005
15/4/2017: Sampling done more frequently. Was samp_dur * 4, but changed to equal
samp_dur * ((Sept 30 - June 15) / 11.3) * 4 years</t>
        </r>
      </text>
    </comment>
    <comment ref="P95" authorId="1">
      <text>
        <r>
          <rPr>
            <b/>
            <sz val="9"/>
            <color indexed="81"/>
            <rFont val="Tahoma"/>
            <family val="2"/>
          </rPr>
          <t>Labeeb:</t>
        </r>
        <r>
          <rPr>
            <sz val="9"/>
            <color indexed="81"/>
            <rFont val="Tahoma"/>
            <family val="2"/>
          </rPr>
          <t xml:space="preserve">
Sampled from June, 2002 to (end of) September, 2005</t>
        </r>
      </text>
    </comment>
    <comment ref="I96" authorId="1">
      <text>
        <r>
          <rPr>
            <b/>
            <sz val="9"/>
            <color indexed="81"/>
            <rFont val="Tahoma"/>
            <family val="2"/>
          </rPr>
          <t>Labeeb:</t>
        </r>
        <r>
          <rPr>
            <sz val="9"/>
            <color indexed="81"/>
            <rFont val="Tahoma"/>
            <family val="2"/>
          </rPr>
          <t xml:space="preserve">
Size of plastic plate with insect trap coating</t>
        </r>
      </text>
    </comment>
    <comment ref="J96" authorId="1">
      <text>
        <r>
          <rPr>
            <b/>
            <sz val="9"/>
            <color indexed="81"/>
            <rFont val="Tahoma"/>
            <family val="2"/>
          </rPr>
          <t>Labeeb:</t>
        </r>
        <r>
          <rPr>
            <sz val="9"/>
            <color indexed="81"/>
            <rFont val="Tahoma"/>
            <family val="2"/>
          </rPr>
          <t xml:space="preserve">
Number of emergence traps used not disclosed - assume one trap set in two sites</t>
        </r>
      </text>
    </comment>
    <comment ref="K96" authorId="0">
      <text>
        <r>
          <rPr>
            <b/>
            <sz val="9"/>
            <color indexed="81"/>
            <rFont val="Calibri"/>
            <family val="2"/>
          </rPr>
          <t xml:space="preserve">Lyndon Estes:
</t>
        </r>
        <r>
          <rPr>
            <sz val="9"/>
            <color indexed="81"/>
            <rFont val="Calibri"/>
            <family val="2"/>
          </rPr>
          <t xml:space="preserve">I traced about 1 km up a single steam (my maps), and multipled area by 120 and by 52. That's the number of streams I counted on google maps flowing into both lakes. So, I assume that the data they collected represents  stream habitats of about 1 km from outlet everywhere around the lake
In this case, I assume the two streams were on each lake, somewhere in the middle of the sampling shed, so divided the total representative area in half. </t>
        </r>
      </text>
    </comment>
    <comment ref="M96" authorId="1">
      <text>
        <r>
          <rPr>
            <b/>
            <sz val="9"/>
            <color indexed="81"/>
            <rFont val="Tahoma"/>
            <family val="2"/>
          </rPr>
          <t>Labeeb:</t>
        </r>
        <r>
          <rPr>
            <sz val="9"/>
            <color indexed="81"/>
            <rFont val="Tahoma"/>
            <family val="2"/>
          </rPr>
          <t xml:space="preserve">
Assume it takes 1 hr to collect and record insects from traps
LDE: changed from 1/24 because if they were checked every 48 hours that means sample duration is 48 hours</t>
        </r>
      </text>
    </comment>
    <comment ref="O96" authorId="1">
      <text>
        <r>
          <rPr>
            <b/>
            <sz val="9"/>
            <color indexed="81"/>
            <rFont val="Tahoma"/>
            <family val="2"/>
          </rPr>
          <t>Labeeb:</t>
        </r>
        <r>
          <rPr>
            <sz val="9"/>
            <color indexed="81"/>
            <rFont val="Tahoma"/>
            <family val="2"/>
          </rPr>
          <t xml:space="preserve">
Emergence data collected  every 48 hours between 6/24/04 to 9/10/04 - 39 (48h) intervals - assume this to be no. of repeated sampling</t>
        </r>
      </text>
    </comment>
    <comment ref="I97" authorId="2">
      <text>
        <r>
          <rPr>
            <b/>
            <sz val="9"/>
            <color indexed="81"/>
            <rFont val="Tahoma"/>
            <family val="2"/>
          </rPr>
          <t>LA:</t>
        </r>
        <r>
          <rPr>
            <sz val="9"/>
            <color indexed="81"/>
            <rFont val="Tahoma"/>
            <family val="2"/>
          </rPr>
          <t xml:space="preserve">
Plot resolution average of transect search (1500*300 (m)) and 180 degree search (pi*300^2), because unclear how many swimming or flying birds sampled as two separate plot resolutions used
LDE: 15/4/2017: Changed from original estimate (=AVERAGE((1500*300),(PI()*(300^2)))) because found methodology in supplementary text.  
Basically 1/4 of 300 m radius area per Figure 4 in Fifield et al (2004)</t>
        </r>
      </text>
    </comment>
    <comment ref="J97" authorId="2">
      <text>
        <r>
          <rPr>
            <b/>
            <sz val="9"/>
            <color indexed="81"/>
            <rFont val="Tahoma"/>
            <family val="2"/>
          </rPr>
          <t>LA:</t>
        </r>
        <r>
          <rPr>
            <sz val="9"/>
            <color indexed="81"/>
            <rFont val="Tahoma"/>
            <family val="2"/>
          </rPr>
          <t xml:space="preserve">
Assuming 76 surveys for both flying and swimming birds
15/4/2017: Changed this because N observation points were considerably more than 76. Distance of 76 cruises taken from referenced report, divided by N years covered, and then divided again by average observation width (300 m)</t>
        </r>
      </text>
    </comment>
    <comment ref="K97" authorId="0">
      <text>
        <r>
          <rPr>
            <b/>
            <sz val="9"/>
            <color indexed="81"/>
            <rFont val="Calibri"/>
            <family val="2"/>
          </rPr>
          <t>Lyndon Estes:</t>
        </r>
        <r>
          <rPr>
            <sz val="9"/>
            <color indexed="81"/>
            <rFont val="Calibri"/>
            <family val="2"/>
          </rPr>
          <t xml:space="preserve">
The authors stated density was for 730000km2, but I traced based on largest sampling effort extent in Fig. 2, in my maps, and came up with smaller area</t>
        </r>
      </text>
    </comment>
    <comment ref="N97" authorId="2">
      <text>
        <r>
          <rPr>
            <b/>
            <sz val="9"/>
            <color indexed="81"/>
            <rFont val="Tahoma"/>
            <family val="2"/>
          </rPr>
          <t>LA:</t>
        </r>
        <r>
          <rPr>
            <sz val="9"/>
            <color indexed="81"/>
            <rFont val="Tahoma"/>
            <family val="2"/>
          </rPr>
          <t xml:space="preserve">
assuming takes one day to get from one survey site to another
LDE: Changed this to 0, based on comment under study_duration.  T_btwn_samp is only for repeat samples on same location/site, not for time between spatial replicates
LDE: 17/4017 Seems like there was repeated sampling. Looking at Figure 2 in text, a substantial subset of the same grid cells showed sampling in each of the four seasons. Assume those are repeated over four years, makes a quarterly revisit
</t>
        </r>
      </text>
    </comment>
    <comment ref="O97" authorId="2">
      <text>
        <r>
          <rPr>
            <b/>
            <sz val="9"/>
            <color indexed="81"/>
            <rFont val="Tahoma"/>
            <family val="2"/>
          </rPr>
          <t>LA:</t>
        </r>
        <r>
          <rPr>
            <sz val="9"/>
            <color indexed="81"/>
            <rFont val="Tahoma"/>
            <family val="2"/>
          </rPr>
          <t xml:space="preserve">
Unclear - Assume single sampling of each transect
LDE: 15/4/2017: Assuming quarterly sampling interval, how many quarter in time frame multipled by sample duration</t>
        </r>
      </text>
    </comment>
    <comment ref="P97" authorId="2">
      <text>
        <r>
          <rPr>
            <b/>
            <sz val="9"/>
            <color indexed="81"/>
            <rFont val="Tahoma"/>
            <family val="2"/>
          </rPr>
          <t>LA:</t>
        </r>
        <r>
          <rPr>
            <sz val="9"/>
            <color indexed="81"/>
            <rFont val="Tahoma"/>
            <family val="2"/>
          </rPr>
          <t xml:space="preserve">
March 1, 2006 to Oct 31, 2009</t>
        </r>
      </text>
    </comment>
    <comment ref="I98" authorId="2">
      <text>
        <r>
          <rPr>
            <b/>
            <sz val="9"/>
            <color indexed="81"/>
            <rFont val="Tahoma"/>
            <family val="2"/>
          </rPr>
          <t>LA:</t>
        </r>
        <r>
          <rPr>
            <sz val="9"/>
            <color indexed="81"/>
            <rFont val="Tahoma"/>
            <family val="2"/>
          </rPr>
          <t xml:space="preserve">
LRFF average (head-to-body length * wingspan). Source: http://animaldiversity.org/site/accounts/information/Pteropus_scapulatus.html</t>
        </r>
      </text>
    </comment>
    <comment ref="J98" authorId="2">
      <text>
        <r>
          <rPr>
            <b/>
            <sz val="9"/>
            <color indexed="81"/>
            <rFont val="Tahoma"/>
            <family val="2"/>
          </rPr>
          <t>LA:</t>
        </r>
        <r>
          <rPr>
            <sz val="9"/>
            <color indexed="81"/>
            <rFont val="Tahoma"/>
            <family val="2"/>
          </rPr>
          <t xml:space="preserve">
LRFFs captured eight times from six locations  from table 1 -  assuming each capture had one mist-net
LDE: 17/4/2017. The animals here are the units, and there were no repeat captures.  However, there was a case to be made that the sum of all animals caught in each season served as the effective temporal replicates.  I am not changing that here, as this is a case where the temporal and spatial characteristics do not map exactly onto one another.  </t>
        </r>
      </text>
    </comment>
    <comment ref="K98" authorId="0">
      <text>
        <r>
          <rPr>
            <b/>
            <sz val="9"/>
            <color indexed="81"/>
            <rFont val="Calibri"/>
            <family val="2"/>
          </rPr>
          <t>Lyndon Estes:</t>
        </r>
        <r>
          <rPr>
            <sz val="9"/>
            <color indexed="81"/>
            <rFont val="Calibri"/>
            <family val="2"/>
          </rPr>
          <t xml:space="preserve">
Summed areas of (mostly) national parks they said they sampled in, at various locations. Park areas from spreadsheet here: 
https://www.environment.gov.au/land/nrs/science/capad/2014
NT rural college campus area from here: 
https://issuu.com/mje.co.id/docs/charles_darwin_university_-_brocure_2012
Lower-level Katherine park guessed at 10 ha, because looked small on map</t>
        </r>
      </text>
    </comment>
    <comment ref="M98" authorId="2">
      <text>
        <r>
          <rPr>
            <b/>
            <sz val="9"/>
            <color indexed="81"/>
            <rFont val="Tahoma"/>
            <family val="2"/>
          </rPr>
          <t>LA:</t>
        </r>
        <r>
          <rPr>
            <sz val="9"/>
            <color indexed="81"/>
            <rFont val="Tahoma"/>
            <family val="2"/>
          </rPr>
          <t xml:space="preserve">
approx. 15 minutes spent on each bat</t>
        </r>
      </text>
    </comment>
    <comment ref="O98" authorId="2">
      <text>
        <r>
          <rPr>
            <b/>
            <sz val="9"/>
            <color indexed="81"/>
            <rFont val="Tahoma"/>
            <family val="2"/>
          </rPr>
          <t>LA:</t>
        </r>
        <r>
          <rPr>
            <sz val="9"/>
            <color indexed="81"/>
            <rFont val="Tahoma"/>
            <family val="2"/>
          </rPr>
          <t xml:space="preserve">
Repeated sampling during five seasons from Nov, 2004 to March, 2006
LDE: 16/4/2017 - not quite repeated sampling. These are once-offs, because no recaptures. Changed from act_dur X 5 to just act_dur</t>
        </r>
      </text>
    </comment>
    <comment ref="P98" authorId="0">
      <text>
        <r>
          <rPr>
            <b/>
            <sz val="9"/>
            <color indexed="81"/>
            <rFont val="Calibri"/>
            <family val="2"/>
          </rPr>
          <t>Lyndon Estes:</t>
        </r>
        <r>
          <rPr>
            <sz val="9"/>
            <color indexed="81"/>
            <rFont val="Calibri"/>
            <family val="2"/>
          </rPr>
          <t xml:space="preserve">
16/4/2017: Although these samples are not true replicates (not repeat sampling of same individual over multiple seasons), the overall study captured seasonal differences by sampling subsets of the different populations. So leaving this value as reported, because spans several seasons</t>
        </r>
      </text>
    </comment>
    <comment ref="E99" authorId="0">
      <text>
        <r>
          <rPr>
            <b/>
            <sz val="9"/>
            <color indexed="81"/>
            <rFont val="Calibri"/>
            <family val="2"/>
          </rPr>
          <t>Lyndon Estes:</t>
        </r>
        <r>
          <rPr>
            <sz val="9"/>
            <color indexed="81"/>
            <rFont val="Calibri"/>
            <family val="2"/>
          </rPr>
          <t xml:space="preserve">
17/5/2017: Corrected year of study</t>
        </r>
      </text>
    </comment>
    <comment ref="I99" authorId="2">
      <text>
        <r>
          <rPr>
            <b/>
            <sz val="9"/>
            <color indexed="81"/>
            <rFont val="Tahoma"/>
            <family val="2"/>
          </rPr>
          <t>LA:</t>
        </r>
        <r>
          <rPr>
            <sz val="9"/>
            <color indexed="81"/>
            <rFont val="Tahoma"/>
            <family val="2"/>
          </rPr>
          <t xml:space="preserve">
Authors note approximate sampling area is 5 cm^2 at all sites</t>
        </r>
      </text>
    </comment>
    <comment ref="J99" authorId="2">
      <text>
        <r>
          <rPr>
            <b/>
            <sz val="9"/>
            <color indexed="81"/>
            <rFont val="Tahoma"/>
            <family val="2"/>
          </rPr>
          <t>LA:</t>
        </r>
        <r>
          <rPr>
            <sz val="9"/>
            <color indexed="81"/>
            <rFont val="Tahoma"/>
            <family val="2"/>
          </rPr>
          <t xml:space="preserve">
dry (n=24) &amp; lotic (n=40)
Lentic lake sampling: At each alpine lake (lentic) 4 lentic moss samples were obtained</t>
        </r>
      </text>
    </comment>
    <comment ref="K99" authorId="0">
      <text>
        <r>
          <rPr>
            <b/>
            <sz val="9"/>
            <color indexed="81"/>
            <rFont val="Calibri"/>
            <family val="2"/>
          </rPr>
          <t>Lyndon Estes:</t>
        </r>
        <r>
          <rPr>
            <sz val="9"/>
            <color indexed="81"/>
            <rFont val="Calibri"/>
            <family val="2"/>
          </rPr>
          <t xml:space="preserve">
Measured rough guess distance of transect from 800 m up to 1800 m following northern exposures from Campertogno (West bank of Sessia).  20 m transect width assumed.</t>
        </r>
      </text>
    </comment>
    <comment ref="M99" authorId="2">
      <text>
        <r>
          <rPr>
            <b/>
            <sz val="9"/>
            <color indexed="81"/>
            <rFont val="Tahoma"/>
            <family val="2"/>
          </rPr>
          <t>LA:</t>
        </r>
        <r>
          <rPr>
            <sz val="9"/>
            <color indexed="81"/>
            <rFont val="Tahoma"/>
            <family val="2"/>
          </rPr>
          <t xml:space="preserve">
Assume it takes 5 minutes to collect the moss cushion samples</t>
        </r>
      </text>
    </comment>
    <comment ref="N99" authorId="2">
      <text>
        <r>
          <rPr>
            <b/>
            <sz val="9"/>
            <color indexed="81"/>
            <rFont val="Tahoma"/>
            <family val="2"/>
          </rPr>
          <t>LA:</t>
        </r>
        <r>
          <rPr>
            <sz val="9"/>
            <color indexed="81"/>
            <rFont val="Tahoma"/>
            <family val="2"/>
          </rPr>
          <t xml:space="preserve">
Lentic lakes (16*4) sampled twice Jun-Aug, 2001 &amp; 2002. Rest sampled once. So I averaged 0 &amp; 302 (days) to obtain t_btwn_samp
LDE: shouldn't this be 0 then if there is only a single sample per site (per your comment under study_duration)?
LDE: in this case, I would actually start a new record. Keep this one as the once-off samples, with 0 t_btwn_samp, and then the next record make just for the lentic lakes with 302 day t_btwn_samp.  That would be most consistent with how we have been recording things (if one of the variables changes, then make a new record). But I guess the question is, did the authors use the repeat sample information in their analysis? Or did they pool everything into once-off analysis?   
LA - Though the sampling was performed twice the moss diversity is considere cumulative so likely once-off analysis - However I'm going to make another effect because that's how I've treated other effects, so t_btwn_samp = 0</t>
        </r>
      </text>
    </comment>
    <comment ref="O99" authorId="2">
      <text>
        <r>
          <rPr>
            <b/>
            <sz val="9"/>
            <color indexed="81"/>
            <rFont val="Tahoma"/>
            <family val="2"/>
          </rPr>
          <t>LA:</t>
        </r>
        <r>
          <rPr>
            <sz val="9"/>
            <color indexed="81"/>
            <rFont val="Tahoma"/>
            <family val="2"/>
          </rPr>
          <t xml:space="preserve">
Single sampling at all sites except lentic sites which were sampled twice - unsure how to account for it - separate effect for lentic lakes?
LDE: yes--see comment on t_btwn_samp
fixed - sampled once</t>
        </r>
      </text>
    </comment>
    <comment ref="P99" authorId="2">
      <text>
        <r>
          <rPr>
            <b/>
            <sz val="9"/>
            <color indexed="81"/>
            <rFont val="Tahoma"/>
            <family val="2"/>
          </rPr>
          <t>LA:</t>
        </r>
        <r>
          <rPr>
            <sz val="9"/>
            <color indexed="81"/>
            <rFont val="Tahoma"/>
            <family val="2"/>
          </rPr>
          <t xml:space="preserve">
LDE: Spring 2002, assume three months
LDE: 16/4/2017 - changed from 90 to act_duration because this was once off</t>
        </r>
      </text>
    </comment>
    <comment ref="E100" authorId="0">
      <text>
        <r>
          <rPr>
            <b/>
            <sz val="9"/>
            <color indexed="81"/>
            <rFont val="Calibri"/>
            <family val="2"/>
          </rPr>
          <t>Lyndon Estes:</t>
        </r>
        <r>
          <rPr>
            <sz val="9"/>
            <color indexed="81"/>
            <rFont val="Calibri"/>
            <family val="2"/>
          </rPr>
          <t xml:space="preserve">
17/5/2017: Corrected year of study</t>
        </r>
      </text>
    </comment>
    <comment ref="I100" authorId="2">
      <text>
        <r>
          <rPr>
            <b/>
            <sz val="9"/>
            <color indexed="81"/>
            <rFont val="Tahoma"/>
            <family val="2"/>
          </rPr>
          <t>LA:</t>
        </r>
        <r>
          <rPr>
            <sz val="9"/>
            <color indexed="81"/>
            <rFont val="Tahoma"/>
            <family val="2"/>
          </rPr>
          <t xml:space="preserve">
Authors note approximate sampling area is 5 cm^2 at all sites</t>
        </r>
      </text>
    </comment>
    <comment ref="J100" authorId="2">
      <text>
        <r>
          <rPr>
            <b/>
            <sz val="9"/>
            <color indexed="81"/>
            <rFont val="Tahoma"/>
            <family val="2"/>
          </rPr>
          <t>LA:</t>
        </r>
        <r>
          <rPr>
            <sz val="9"/>
            <color indexed="81"/>
            <rFont val="Tahoma"/>
            <family val="2"/>
          </rPr>
          <t xml:space="preserve">
Lentic lake sampling: At each alpine lake (lentic) 4 lentic moss samples were obtained</t>
        </r>
      </text>
    </comment>
    <comment ref="K100" authorId="0">
      <text>
        <r>
          <rPr>
            <b/>
            <sz val="9"/>
            <color indexed="81"/>
            <rFont val="Calibri"/>
            <family val="2"/>
          </rPr>
          <t>Lyndon Estes:</t>
        </r>
        <r>
          <rPr>
            <sz val="9"/>
            <color indexed="81"/>
            <rFont val="Calibri"/>
            <family val="2"/>
          </rPr>
          <t xml:space="preserve">
Traced approximate outer boundaries of lakes in Google Maps
But then instead just summed the areas of the lakes sampled in Table 1 of the referenced article (see DOI)</t>
        </r>
      </text>
    </comment>
    <comment ref="M100" authorId="2">
      <text>
        <r>
          <rPr>
            <b/>
            <sz val="9"/>
            <color indexed="81"/>
            <rFont val="Tahoma"/>
            <family val="2"/>
          </rPr>
          <t>LA:</t>
        </r>
        <r>
          <rPr>
            <sz val="9"/>
            <color indexed="81"/>
            <rFont val="Tahoma"/>
            <family val="2"/>
          </rPr>
          <t xml:space="preserve">
Assume it takes 5 minutes to collect the moss cushion samples</t>
        </r>
      </text>
    </comment>
    <comment ref="N100" authorId="2">
      <text>
        <r>
          <rPr>
            <b/>
            <sz val="9"/>
            <color indexed="81"/>
            <rFont val="Tahoma"/>
            <family val="2"/>
          </rPr>
          <t>LA:</t>
        </r>
        <r>
          <rPr>
            <sz val="9"/>
            <color indexed="81"/>
            <rFont val="Tahoma"/>
            <family val="2"/>
          </rPr>
          <t xml:space="preserve">
Lentic lakes (16*4) sampled twice Jun-Aug, 2001 &amp; 2002, so t_btwn_samp is 302 days</t>
        </r>
      </text>
    </comment>
    <comment ref="O100" authorId="2">
      <text>
        <r>
          <rPr>
            <b/>
            <sz val="9"/>
            <color indexed="81"/>
            <rFont val="Tahoma"/>
            <family val="2"/>
          </rPr>
          <t>LA:</t>
        </r>
        <r>
          <rPr>
            <sz val="9"/>
            <color indexed="81"/>
            <rFont val="Tahoma"/>
            <family val="2"/>
          </rPr>
          <t xml:space="preserve">
Single sampling at all sites except lentic sites which were sampled twice - unsure how to account for it - separate effect for lentic lakes?
LDE: yes--see comment on t_btwn_samp
Fixed - Sampled twice</t>
        </r>
      </text>
    </comment>
    <comment ref="P100" authorId="2">
      <text>
        <r>
          <rPr>
            <b/>
            <sz val="9"/>
            <color indexed="81"/>
            <rFont val="Tahoma"/>
            <family val="2"/>
          </rPr>
          <t>LA:</t>
        </r>
        <r>
          <rPr>
            <sz val="9"/>
            <color indexed="81"/>
            <rFont val="Tahoma"/>
            <family val="2"/>
          </rPr>
          <t xml:space="preserve">
Using meterological seasons to approximate study span. Data collection started in Summer, 2001 and ended in Summer, 2003
LDE: corrected this because lake sampling happened in summer 2001 and 2002. Assume 3 months for sampling season, hence 15 months</t>
        </r>
      </text>
    </comment>
    <comment ref="E101" authorId="0">
      <text>
        <r>
          <rPr>
            <b/>
            <sz val="9"/>
            <color indexed="81"/>
            <rFont val="Calibri"/>
            <family val="2"/>
          </rPr>
          <t>Lyndon Estes:</t>
        </r>
        <r>
          <rPr>
            <sz val="9"/>
            <color indexed="81"/>
            <rFont val="Calibri"/>
            <family val="2"/>
          </rPr>
          <t xml:space="preserve">
17/5/2017: Corrected year of study</t>
        </r>
      </text>
    </comment>
    <comment ref="I101" authorId="2">
      <text>
        <r>
          <rPr>
            <b/>
            <sz val="9"/>
            <color indexed="81"/>
            <rFont val="Tahoma"/>
            <family val="2"/>
          </rPr>
          <t>LA:</t>
        </r>
        <r>
          <rPr>
            <sz val="9"/>
            <color indexed="81"/>
            <rFont val="Tahoma"/>
            <family val="2"/>
          </rPr>
          <t xml:space="preserve">
Authors note approximate sampling area is 5 cm^2 at all sites</t>
        </r>
      </text>
    </comment>
    <comment ref="J101" authorId="2">
      <text>
        <r>
          <rPr>
            <b/>
            <sz val="9"/>
            <color indexed="81"/>
            <rFont val="Tahoma"/>
            <family val="2"/>
          </rPr>
          <t>LA:</t>
        </r>
        <r>
          <rPr>
            <sz val="9"/>
            <color indexed="81"/>
            <rFont val="Tahoma"/>
            <family val="2"/>
          </rPr>
          <t xml:space="preserve">
Lentic lake sampling: At each alpine lake (lentic) 4 lentic moss samples were obtained
LDE: added 3/8/2017: lotic mosses in streams</t>
        </r>
      </text>
    </comment>
    <comment ref="K101" authorId="0">
      <text>
        <r>
          <rPr>
            <b/>
            <sz val="9"/>
            <color indexed="81"/>
            <rFont val="Calibri"/>
            <family val="2"/>
          </rPr>
          <t>Lyndon Estes:</t>
        </r>
        <r>
          <rPr>
            <sz val="9"/>
            <color indexed="81"/>
            <rFont val="Calibri"/>
            <family val="2"/>
          </rPr>
          <t xml:space="preserve">
This is complicated, but I basically looked into the supplemental pub referenced (see DOI), estimated the area sampled in the stream for that (10 m width assumption), averaged that with the two sampling distances/widths mentioned in this study, and then went into google my maps and counted what plausible stream entrances to the sesia valley from the lowest sampling site to the highest site, counted 28, rounded to 30, and multipled this number by the average sampling area, to suggest that these sites are representative of the lower reaches of all streams between the highest and lowest areas
</t>
        </r>
      </text>
    </comment>
    <comment ref="M101" authorId="2">
      <text>
        <r>
          <rPr>
            <b/>
            <sz val="9"/>
            <color indexed="81"/>
            <rFont val="Tahoma"/>
            <family val="2"/>
          </rPr>
          <t>LA:</t>
        </r>
        <r>
          <rPr>
            <sz val="9"/>
            <color indexed="81"/>
            <rFont val="Tahoma"/>
            <family val="2"/>
          </rPr>
          <t xml:space="preserve">
Assume it takes 5 minutes to collect the moss cushion samples</t>
        </r>
      </text>
    </comment>
    <comment ref="N101" authorId="2">
      <text>
        <r>
          <rPr>
            <b/>
            <sz val="9"/>
            <color indexed="81"/>
            <rFont val="Tahoma"/>
            <family val="2"/>
          </rPr>
          <t>LA:</t>
        </r>
        <r>
          <rPr>
            <sz val="9"/>
            <color indexed="81"/>
            <rFont val="Tahoma"/>
            <family val="2"/>
          </rPr>
          <t xml:space="preserve">
Lentic lakes (16*4) sampled twice Jun-Aug, 2001 &amp; 2002, so t_btwn_samp is 302 days</t>
        </r>
      </text>
    </comment>
    <comment ref="O101" authorId="2">
      <text>
        <r>
          <rPr>
            <b/>
            <sz val="9"/>
            <color indexed="81"/>
            <rFont val="Tahoma"/>
            <family val="2"/>
          </rPr>
          <t>LA:</t>
        </r>
        <r>
          <rPr>
            <sz val="9"/>
            <color indexed="81"/>
            <rFont val="Tahoma"/>
            <family val="2"/>
          </rPr>
          <t xml:space="preserve">
Single sampling at all sites except lentic sites which were sampled twice - unsure how to account for it - separate effect for lentic lakes?
LDE: yes--see comment on t_btwn_samp
Fixed - Sampled twice
LDE: 26/4/2017: Set to samp_dur because this was once-off</t>
        </r>
      </text>
    </comment>
    <comment ref="P101" authorId="2">
      <text>
        <r>
          <rPr>
            <b/>
            <sz val="9"/>
            <color indexed="81"/>
            <rFont val="Tahoma"/>
            <family val="2"/>
          </rPr>
          <t>LA:</t>
        </r>
        <r>
          <rPr>
            <sz val="9"/>
            <color indexed="81"/>
            <rFont val="Tahoma"/>
            <family val="2"/>
          </rPr>
          <t xml:space="preserve">
LDE: Summer 2003, assume 3 months
LDE: 16/7/2017: Changed to actual duration from 90 days because once-off</t>
        </r>
      </text>
    </comment>
    <comment ref="I102" authorId="2">
      <text>
        <r>
          <rPr>
            <b/>
            <sz val="9"/>
            <color indexed="81"/>
            <rFont val="Tahoma"/>
            <family val="2"/>
          </rPr>
          <t>LA:</t>
        </r>
        <r>
          <rPr>
            <sz val="9"/>
            <color indexed="81"/>
            <rFont val="Tahoma"/>
            <family val="2"/>
          </rPr>
          <t xml:space="preserve">
Two sampling methods used - transects and 15' plot observations - the plot observations were hapazardly selected. It is highly variable and not provided. Assume transect resolution as the minimum plot resolution for all sites.</t>
        </r>
      </text>
    </comment>
    <comment ref="K102" authorId="0">
      <text>
        <r>
          <rPr>
            <b/>
            <sz val="9"/>
            <color indexed="81"/>
            <rFont val="Calibri"/>
            <family val="2"/>
          </rPr>
          <t>Lyndon Estes:</t>
        </r>
        <r>
          <rPr>
            <sz val="9"/>
            <color indexed="81"/>
            <rFont val="Calibri"/>
            <family val="2"/>
          </rPr>
          <t xml:space="preserve">
</t>
        </r>
      </text>
    </comment>
    <comment ref="M102" authorId="2">
      <text>
        <r>
          <rPr>
            <b/>
            <sz val="9"/>
            <color indexed="81"/>
            <rFont val="Tahoma"/>
            <family val="2"/>
          </rPr>
          <t>LA:</t>
        </r>
        <r>
          <rPr>
            <sz val="9"/>
            <color indexed="81"/>
            <rFont val="Tahoma"/>
            <family val="2"/>
          </rPr>
          <t xml:space="preserve">
15 mins spent at each observational plot. Assume this as approximate time spent sampling each plot.</t>
        </r>
      </text>
    </comment>
    <comment ref="N102" authorId="2">
      <text>
        <r>
          <rPr>
            <b/>
            <sz val="9"/>
            <color indexed="81"/>
            <rFont val="Tahoma"/>
            <family val="2"/>
          </rPr>
          <t>LA:</t>
        </r>
        <r>
          <rPr>
            <sz val="9"/>
            <color indexed="81"/>
            <rFont val="Tahoma"/>
            <family val="2"/>
          </rPr>
          <t xml:space="preserve">
no. of days between each sampling event averaged
LDE: corrected this to 0, because the same cells weren't revisited each year.  
Labeeb originally had calculation as: =AVERAGE(74,250,74,267,71)</t>
        </r>
      </text>
    </comment>
    <comment ref="O102" authorId="2">
      <text>
        <r>
          <rPr>
            <b/>
            <sz val="9"/>
            <color indexed="81"/>
            <rFont val="Tahoma"/>
            <family val="2"/>
          </rPr>
          <t>LA:</t>
        </r>
        <r>
          <rPr>
            <sz val="9"/>
            <color indexed="81"/>
            <rFont val="Tahoma"/>
            <family val="2"/>
          </rPr>
          <t xml:space="preserve">
Approximate sampling done three times in 2010, 2011 &amp; 2012 during crop flowering periods. 
LDE: corrected to just sampling duration because no repeat samples</t>
        </r>
      </text>
    </comment>
    <comment ref="P102" authorId="0">
      <text>
        <r>
          <rPr>
            <b/>
            <sz val="9"/>
            <color indexed="81"/>
            <rFont val="Calibri"/>
            <family val="2"/>
          </rPr>
          <t>Lyndon Estes:</t>
        </r>
        <r>
          <rPr>
            <sz val="9"/>
            <color indexed="81"/>
            <rFont val="Calibri"/>
            <family val="2"/>
          </rPr>
          <t xml:space="preserve">
17/4/2017: Flagged this, but leaving as cumulative time over which sampling occurred because the authors controlled for different years in their analysis. </t>
        </r>
      </text>
    </comment>
    <comment ref="I103" authorId="2">
      <text>
        <r>
          <rPr>
            <b/>
            <sz val="9"/>
            <color indexed="81"/>
            <rFont val="Tahoma"/>
            <family val="2"/>
          </rPr>
          <t>LA:</t>
        </r>
        <r>
          <rPr>
            <sz val="9"/>
            <color indexed="81"/>
            <rFont val="Tahoma"/>
            <family val="2"/>
          </rPr>
          <t xml:space="preserve">
Mean surface area of sites sampled. Surface area highly variable.</t>
        </r>
      </text>
    </comment>
    <comment ref="K103" authorId="0">
      <text>
        <r>
          <rPr>
            <b/>
            <sz val="9"/>
            <color indexed="81"/>
            <rFont val="Calibri"/>
            <family val="2"/>
          </rPr>
          <t>Lyndon Estes:</t>
        </r>
        <r>
          <rPr>
            <sz val="9"/>
            <color indexed="81"/>
            <rFont val="Calibri"/>
            <family val="2"/>
          </rPr>
          <t xml:space="preserve">
Area of Lake Drouin</t>
        </r>
      </text>
    </comment>
    <comment ref="M103" authorId="2">
      <text>
        <r>
          <rPr>
            <b/>
            <sz val="9"/>
            <color indexed="81"/>
            <rFont val="Tahoma"/>
            <family val="2"/>
          </rPr>
          <t>LA:</t>
        </r>
        <r>
          <rPr>
            <sz val="9"/>
            <color indexed="81"/>
            <rFont val="Tahoma"/>
            <family val="2"/>
          </rPr>
          <t xml:space="preserve">
two divers surverying sample site with an approx. mean width of 10.5 m. Assume 15 mins at each site</t>
        </r>
      </text>
    </comment>
    <comment ref="N103" authorId="0">
      <text>
        <r>
          <rPr>
            <b/>
            <sz val="9"/>
            <color indexed="81"/>
            <rFont val="Arial"/>
          </rPr>
          <t>Lyndon Estes:</t>
        </r>
        <r>
          <rPr>
            <sz val="9"/>
            <color indexed="81"/>
            <rFont val="Arial"/>
          </rPr>
          <t xml:space="preserve">
Given your notes on study_duration, it seems as if t_btwn_samp would be longer than this. 
</t>
        </r>
        <r>
          <rPr>
            <b/>
            <sz val="9"/>
            <color indexed="81"/>
            <rFont val="Arial"/>
          </rPr>
          <t>Labeeb - "The sites from both lakes were surveyed three times (i.e., on three consecutive days between 09:00 and 15:00) between 25 July and 4 August 2001" - the time between each sampling event is ~18 hours
LDE: Okay, in that case 18 hours = 0.75 days, if I understand correctly. Although you could also assume that they sampled at roughly the same time in each lake on each of the three days (maybe consistently at 9 am in one, and noon in the other), so then it would be 24 hours or 1 day
Fixed - I had wrong time conversion @ 18 hrs</t>
        </r>
      </text>
    </comment>
    <comment ref="O103" authorId="2">
      <text>
        <r>
          <rPr>
            <b/>
            <sz val="9"/>
            <color indexed="81"/>
            <rFont val="Tahoma"/>
            <family val="2"/>
          </rPr>
          <t>LA:</t>
        </r>
        <r>
          <rPr>
            <sz val="9"/>
            <color indexed="81"/>
            <rFont val="Tahoma"/>
            <family val="2"/>
          </rPr>
          <t xml:space="preserve">
Fish sampled three times between 25 July to 4 August, 2001</t>
        </r>
      </text>
    </comment>
    <comment ref="P103" authorId="2">
      <text>
        <r>
          <rPr>
            <b/>
            <sz val="9"/>
            <color indexed="81"/>
            <rFont val="Tahoma"/>
            <family val="2"/>
          </rPr>
          <t>LA:</t>
        </r>
        <r>
          <rPr>
            <sz val="9"/>
            <color indexed="81"/>
            <rFont val="Tahoma"/>
            <family val="2"/>
          </rPr>
          <t xml:space="preserve">
July 25-Aug 4 (2001)
</t>
        </r>
      </text>
    </comment>
    <comment ref="I104" authorId="2">
      <text>
        <r>
          <rPr>
            <b/>
            <sz val="9"/>
            <color indexed="81"/>
            <rFont val="Tahoma"/>
            <family val="2"/>
          </rPr>
          <t>LA:</t>
        </r>
        <r>
          <rPr>
            <sz val="9"/>
            <color indexed="81"/>
            <rFont val="Tahoma"/>
            <family val="2"/>
          </rPr>
          <t xml:space="preserve">
Mean surface area of sites sampled. Surface area highly variable.</t>
        </r>
      </text>
    </comment>
    <comment ref="K104" authorId="0">
      <text>
        <r>
          <rPr>
            <b/>
            <sz val="9"/>
            <color indexed="81"/>
            <rFont val="Calibri"/>
            <family val="2"/>
          </rPr>
          <t>Lyndon Estes:</t>
        </r>
        <r>
          <rPr>
            <sz val="9"/>
            <color indexed="81"/>
            <rFont val="Calibri"/>
            <family val="2"/>
          </rPr>
          <t xml:space="preserve">
Area of Lake Pare</t>
        </r>
      </text>
    </comment>
    <comment ref="M104" authorId="2">
      <text>
        <r>
          <rPr>
            <b/>
            <sz val="9"/>
            <color indexed="81"/>
            <rFont val="Tahoma"/>
            <family val="2"/>
          </rPr>
          <t>LA:</t>
        </r>
        <r>
          <rPr>
            <sz val="9"/>
            <color indexed="81"/>
            <rFont val="Tahoma"/>
            <family val="2"/>
          </rPr>
          <t xml:space="preserve">
two divers surverying sample site with an approx. mean width of 10.5 m. Assume 15 mins at each site</t>
        </r>
      </text>
    </comment>
    <comment ref="O104" authorId="2">
      <text>
        <r>
          <rPr>
            <b/>
            <sz val="9"/>
            <color indexed="81"/>
            <rFont val="Tahoma"/>
            <family val="2"/>
          </rPr>
          <t>LA:</t>
        </r>
        <r>
          <rPr>
            <sz val="9"/>
            <color indexed="81"/>
            <rFont val="Tahoma"/>
            <family val="2"/>
          </rPr>
          <t xml:space="preserve">
Fish sampled three times between 25 July to 4 August, 2001</t>
        </r>
      </text>
    </comment>
    <comment ref="P104" authorId="2">
      <text>
        <r>
          <rPr>
            <b/>
            <sz val="9"/>
            <color indexed="81"/>
            <rFont val="Tahoma"/>
            <family val="2"/>
          </rPr>
          <t>LA:</t>
        </r>
        <r>
          <rPr>
            <sz val="9"/>
            <color indexed="81"/>
            <rFont val="Tahoma"/>
            <family val="2"/>
          </rPr>
          <t xml:space="preserve">
July 25-Aug 4 (2001)
</t>
        </r>
      </text>
    </comment>
    <comment ref="J105" authorId="2">
      <text>
        <r>
          <rPr>
            <b/>
            <sz val="9"/>
            <color indexed="81"/>
            <rFont val="Tahoma"/>
            <family val="2"/>
          </rPr>
          <t>LA:</t>
        </r>
        <r>
          <rPr>
            <sz val="9"/>
            <color indexed="81"/>
            <rFont val="Tahoma"/>
            <family val="2"/>
          </rPr>
          <t xml:space="preserve">
At each site four quadrats were used</t>
        </r>
      </text>
    </comment>
    <comment ref="K105" authorId="0">
      <text>
        <r>
          <rPr>
            <b/>
            <sz val="9"/>
            <color indexed="81"/>
            <rFont val="Calibri"/>
            <family val="2"/>
          </rPr>
          <t>Lyndon Estes:</t>
        </r>
        <r>
          <rPr>
            <sz val="9"/>
            <color indexed="81"/>
            <rFont val="Calibri"/>
            <family val="2"/>
          </rPr>
          <t xml:space="preserve">
Area of both lakes summed</t>
        </r>
      </text>
    </comment>
    <comment ref="M105" authorId="2">
      <text>
        <r>
          <rPr>
            <b/>
            <sz val="9"/>
            <color indexed="81"/>
            <rFont val="Tahoma"/>
            <family val="2"/>
          </rPr>
          <t>LA:</t>
        </r>
        <r>
          <rPr>
            <sz val="9"/>
            <color indexed="81"/>
            <rFont val="Tahoma"/>
            <family val="2"/>
          </rPr>
          <t xml:space="preserve">
assume 5 mins spent counting macrophytes within each quadrats</t>
        </r>
      </text>
    </comment>
    <comment ref="N105" authorId="2">
      <text>
        <r>
          <rPr>
            <b/>
            <sz val="9"/>
            <color indexed="81"/>
            <rFont val="Tahoma"/>
            <family val="2"/>
          </rPr>
          <t>LA:</t>
        </r>
        <r>
          <rPr>
            <sz val="9"/>
            <color indexed="81"/>
            <rFont val="Tahoma"/>
            <family val="2"/>
          </rPr>
          <t xml:space="preserve">
assume 1 day gap between two sample sites
LDE: these were actually one-off samples</t>
        </r>
      </text>
    </comment>
    <comment ref="O105" authorId="2">
      <text>
        <r>
          <rPr>
            <b/>
            <sz val="9"/>
            <color indexed="81"/>
            <rFont val="Tahoma"/>
            <family val="2"/>
          </rPr>
          <t>LA:</t>
        </r>
        <r>
          <rPr>
            <sz val="9"/>
            <color indexed="81"/>
            <rFont val="Tahoma"/>
            <family val="2"/>
          </rPr>
          <t xml:space="preserve">
Samp_duration * two repeat sampling events at Lake
LDE: corrrected because it was a once-off</t>
        </r>
      </text>
    </comment>
    <comment ref="P105" authorId="2">
      <text>
        <r>
          <rPr>
            <b/>
            <sz val="9"/>
            <color indexed="81"/>
            <rFont val="Tahoma"/>
            <family val="2"/>
          </rPr>
          <t>LA:</t>
        </r>
        <r>
          <rPr>
            <sz val="9"/>
            <color indexed="81"/>
            <rFont val="Tahoma"/>
            <family val="2"/>
          </rPr>
          <t xml:space="preserve">
July 27 - July 29th
LDE: 17/4/2017. Edited from 3 days to actual duration, because unreplicated</t>
        </r>
      </text>
    </comment>
    <comment ref="I106" authorId="0">
      <text>
        <r>
          <rPr>
            <b/>
            <sz val="9"/>
            <color indexed="81"/>
            <rFont val="Calibri"/>
            <family val="2"/>
          </rPr>
          <t>Lyndon Estes:</t>
        </r>
        <r>
          <rPr>
            <sz val="9"/>
            <color indexed="81"/>
            <rFont val="Calibri"/>
            <family val="2"/>
          </rPr>
          <t xml:space="preserve">
Assume average of plots in the two lakes</t>
        </r>
      </text>
    </comment>
    <comment ref="J106" authorId="2">
      <text>
        <r>
          <rPr>
            <b/>
            <sz val="9"/>
            <color indexed="81"/>
            <rFont val="Tahoma"/>
            <family val="2"/>
          </rPr>
          <t>LA:</t>
        </r>
        <r>
          <rPr>
            <sz val="9"/>
            <color indexed="81"/>
            <rFont val="Tahoma"/>
            <family val="2"/>
          </rPr>
          <t xml:space="preserve">
At each site four quadrats were used
LDE; 10 environmental variables, at plot res</t>
        </r>
      </text>
    </comment>
    <comment ref="K106" authorId="0">
      <text>
        <r>
          <rPr>
            <b/>
            <sz val="9"/>
            <color indexed="81"/>
            <rFont val="Calibri"/>
            <family val="2"/>
          </rPr>
          <t>Lyndon Estes:</t>
        </r>
        <r>
          <rPr>
            <sz val="9"/>
            <color indexed="81"/>
            <rFont val="Calibri"/>
            <family val="2"/>
          </rPr>
          <t xml:space="preserve">
Area of both lakes summed</t>
        </r>
      </text>
    </comment>
    <comment ref="M106" authorId="2">
      <text>
        <r>
          <rPr>
            <sz val="9"/>
            <color indexed="81"/>
            <rFont val="Tahoma"/>
            <family val="2"/>
          </rPr>
          <t>LDE: sampled other envrionmental variables that would have taken a while</t>
        </r>
      </text>
    </comment>
    <comment ref="N106" authorId="2">
      <text>
        <r>
          <rPr>
            <b/>
            <sz val="9"/>
            <color indexed="81"/>
            <rFont val="Tahoma"/>
            <family val="2"/>
          </rPr>
          <t>LA:</t>
        </r>
        <r>
          <rPr>
            <sz val="9"/>
            <color indexed="81"/>
            <rFont val="Tahoma"/>
            <family val="2"/>
          </rPr>
          <t xml:space="preserve">
assume 1 day gap between two sample sites
LDE: these were actually one-off samples</t>
        </r>
      </text>
    </comment>
    <comment ref="O106" authorId="2">
      <text>
        <r>
          <rPr>
            <b/>
            <sz val="9"/>
            <color indexed="81"/>
            <rFont val="Tahoma"/>
            <family val="2"/>
          </rPr>
          <t>LA:</t>
        </r>
        <r>
          <rPr>
            <sz val="9"/>
            <color indexed="81"/>
            <rFont val="Tahoma"/>
            <family val="2"/>
          </rPr>
          <t xml:space="preserve">
Samp_duration * two repeat sampling events at Lake
LDE: corrrected because it was a once-off</t>
        </r>
      </text>
    </comment>
    <comment ref="P106" authorId="2">
      <text>
        <r>
          <rPr>
            <sz val="9"/>
            <color indexed="81"/>
            <rFont val="Tahoma"/>
            <family val="2"/>
          </rPr>
          <t>LDE: Assume took 3 days to characterize
LDE: 17/4/2017. Changed from 3 days to actual duration, because unreplicated</t>
        </r>
      </text>
    </comment>
    <comment ref="W106" authorId="0">
      <text>
        <r>
          <rPr>
            <b/>
            <sz val="9"/>
            <color indexed="81"/>
            <rFont val="Calibri"/>
            <family val="2"/>
          </rPr>
          <t>Lyndon Estes:</t>
        </r>
        <r>
          <rPr>
            <sz val="9"/>
            <color indexed="81"/>
            <rFont val="Calibri"/>
            <family val="2"/>
          </rPr>
          <t xml:space="preserve">
17/4/2017: Originally had this as Density of Macrophytes</t>
        </r>
      </text>
    </comment>
    <comment ref="I107" authorId="3">
      <text>
        <r>
          <rPr>
            <b/>
            <sz val="9"/>
            <color indexed="81"/>
            <rFont val="Tahoma"/>
            <family val="2"/>
          </rPr>
          <t>ges_student:</t>
        </r>
        <r>
          <rPr>
            <sz val="9"/>
            <color indexed="81"/>
            <rFont val="Tahoma"/>
            <family val="2"/>
          </rPr>
          <t xml:space="preserve">
Sea-Bird SBE43 sensor</t>
        </r>
      </text>
    </comment>
    <comment ref="K107" authorId="0">
      <text>
        <r>
          <rPr>
            <b/>
            <sz val="9"/>
            <color indexed="81"/>
            <rFont val="Calibri"/>
            <family val="2"/>
          </rPr>
          <t>Lyndon Estes:</t>
        </r>
        <r>
          <rPr>
            <sz val="9"/>
            <color indexed="81"/>
            <rFont val="Calibri"/>
            <family val="2"/>
          </rPr>
          <t xml:space="preserve">
Drew narrow polygon connecting the coordinates of the two stations, in my maps</t>
        </r>
      </text>
    </comment>
    <comment ref="M107" authorId="3">
      <text>
        <r>
          <rPr>
            <b/>
            <sz val="9"/>
            <color indexed="81"/>
            <rFont val="Tahoma"/>
            <family val="2"/>
          </rPr>
          <t>ges_student:</t>
        </r>
        <r>
          <rPr>
            <sz val="9"/>
            <color indexed="81"/>
            <rFont val="Tahoma"/>
            <family val="2"/>
          </rPr>
          <t xml:space="preserve">
assume 1 minute for the sensor to record oxygen concentration</t>
        </r>
      </text>
    </comment>
    <comment ref="N107" authorId="3">
      <text>
        <r>
          <rPr>
            <b/>
            <sz val="9"/>
            <color indexed="81"/>
            <rFont val="Tahoma"/>
            <family val="2"/>
          </rPr>
          <t>ges_student:</t>
        </r>
        <r>
          <rPr>
            <sz val="9"/>
            <color indexed="81"/>
            <rFont val="Tahoma"/>
            <family val="2"/>
          </rPr>
          <t xml:space="preserve">
assume 1 day between data collection at both sites
LDE: seems like they were one off samples? </t>
        </r>
      </text>
    </comment>
    <comment ref="O107" authorId="2">
      <text>
        <r>
          <rPr>
            <b/>
            <sz val="9"/>
            <color indexed="81"/>
            <rFont val="Tahoma"/>
            <family val="2"/>
          </rPr>
          <t>LA:</t>
        </r>
        <r>
          <rPr>
            <sz val="9"/>
            <color indexed="81"/>
            <rFont val="Tahoma"/>
            <family val="2"/>
          </rPr>
          <t xml:space="preserve">
Uncertain study_duration. Assume one day
LDE seems like they were one off samples, so study_duration = samp_duration in these cases</t>
        </r>
      </text>
    </comment>
    <comment ref="P107" authorId="3">
      <text>
        <r>
          <rPr>
            <b/>
            <sz val="9"/>
            <color indexed="81"/>
            <rFont val="Tahoma"/>
            <family val="2"/>
          </rPr>
          <t>ges_student:</t>
        </r>
        <r>
          <rPr>
            <sz val="9"/>
            <color indexed="81"/>
            <rFont val="Tahoma"/>
            <family val="2"/>
          </rPr>
          <t xml:space="preserve">
January, 2009
LDE: 17/4/2017 - corrected to actual duration because these were once-off. Was 31 days (January, 2009)
</t>
        </r>
      </text>
    </comment>
    <comment ref="J108" authorId="3">
      <text>
        <r>
          <rPr>
            <b/>
            <sz val="9"/>
            <color indexed="81"/>
            <rFont val="Tahoma"/>
            <family val="2"/>
          </rPr>
          <t>ges_student:</t>
        </r>
        <r>
          <rPr>
            <sz val="9"/>
            <color indexed="81"/>
            <rFont val="Tahoma"/>
            <family val="2"/>
          </rPr>
          <t xml:space="preserve">
10 cores per station</t>
        </r>
      </text>
    </comment>
    <comment ref="K108" authorId="0">
      <text>
        <r>
          <rPr>
            <b/>
            <sz val="9"/>
            <color indexed="81"/>
            <rFont val="Calibri"/>
            <family val="2"/>
          </rPr>
          <t>Lyndon Estes:</t>
        </r>
        <r>
          <rPr>
            <sz val="9"/>
            <color indexed="81"/>
            <rFont val="Calibri"/>
            <family val="2"/>
          </rPr>
          <t xml:space="preserve">
Drew narrow polygon connecting the coordinates of the two stations, in my maps</t>
        </r>
      </text>
    </comment>
    <comment ref="M108" authorId="3">
      <text>
        <r>
          <rPr>
            <b/>
            <sz val="9"/>
            <color indexed="81"/>
            <rFont val="Tahoma"/>
            <family val="2"/>
          </rPr>
          <t>ges_student:</t>
        </r>
        <r>
          <rPr>
            <sz val="9"/>
            <color indexed="81"/>
            <rFont val="Tahoma"/>
            <family val="2"/>
          </rPr>
          <t xml:space="preserve">
Assume 5 mins to drill the core</t>
        </r>
      </text>
    </comment>
    <comment ref="N108" authorId="2">
      <text>
        <r>
          <rPr>
            <b/>
            <sz val="9"/>
            <color indexed="81"/>
            <rFont val="Tahoma"/>
            <family val="2"/>
          </rPr>
          <t>LA:</t>
        </r>
        <r>
          <rPr>
            <sz val="9"/>
            <color indexed="81"/>
            <rFont val="Tahoma"/>
            <family val="2"/>
          </rPr>
          <t xml:space="preserve">
single sampling = 0
LDE: unclear. Were there repeats, or were you assuming time between spatial replicates?  If once-off, this should be set to 0</t>
        </r>
      </text>
    </comment>
    <comment ref="O108" authorId="2">
      <text>
        <r>
          <rPr>
            <b/>
            <sz val="9"/>
            <color indexed="81"/>
            <rFont val="Tahoma"/>
            <family val="2"/>
          </rPr>
          <t>LA:</t>
        </r>
        <r>
          <rPr>
            <sz val="9"/>
            <color indexed="81"/>
            <rFont val="Tahoma"/>
            <family val="2"/>
          </rPr>
          <t xml:space="preserve">
Uncertain study_duration &amp; no repeat sampling. Assume same as samp_duration
LDE: If this is a once-off study, it should be same as samp_duration</t>
        </r>
      </text>
    </comment>
    <comment ref="P108" authorId="3">
      <text>
        <r>
          <rPr>
            <b/>
            <sz val="9"/>
            <color indexed="81"/>
            <rFont val="Tahoma"/>
            <family val="2"/>
          </rPr>
          <t>ges_student:</t>
        </r>
        <r>
          <rPr>
            <sz val="9"/>
            <color indexed="81"/>
            <rFont val="Tahoma"/>
            <family val="2"/>
          </rPr>
          <t xml:space="preserve">
January, 2009
LDE: 17/4/2017 - corrected to actual duration because these were once-off. Was 31 days (January, 2009)</t>
        </r>
      </text>
    </comment>
    <comment ref="J109" authorId="2">
      <text>
        <r>
          <rPr>
            <b/>
            <sz val="9"/>
            <color indexed="81"/>
            <rFont val="Tahoma"/>
            <family val="2"/>
          </rPr>
          <t>LA:</t>
        </r>
        <r>
          <rPr>
            <sz val="9"/>
            <color indexed="81"/>
            <rFont val="Tahoma"/>
            <family val="2"/>
          </rPr>
          <t xml:space="preserve">
4 sites * 3 plots per site</t>
        </r>
      </text>
    </comment>
    <comment ref="K109"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09" authorId="2">
      <text>
        <r>
          <rPr>
            <b/>
            <sz val="9"/>
            <color indexed="81"/>
            <rFont val="Tahoma"/>
            <family val="2"/>
          </rPr>
          <t>LA:</t>
        </r>
        <r>
          <rPr>
            <sz val="9"/>
            <color indexed="81"/>
            <rFont val="Tahoma"/>
            <family val="2"/>
          </rPr>
          <t xml:space="preserve">
Assuming 1 hr spent at each plot</t>
        </r>
      </text>
    </comment>
    <comment ref="N109" authorId="2">
      <text>
        <r>
          <rPr>
            <b/>
            <sz val="9"/>
            <color indexed="81"/>
            <rFont val="Tahoma"/>
            <family val="2"/>
          </rPr>
          <t>LA:</t>
        </r>
        <r>
          <rPr>
            <sz val="9"/>
            <color indexed="81"/>
            <rFont val="Tahoma"/>
            <family val="2"/>
          </rPr>
          <t xml:space="preserve">
assume average of 11 months each year</t>
        </r>
      </text>
    </comment>
    <comment ref="O109" authorId="2">
      <text>
        <r>
          <rPr>
            <b/>
            <sz val="9"/>
            <color indexed="81"/>
            <rFont val="Tahoma"/>
            <family val="2"/>
          </rPr>
          <t>LA:</t>
        </r>
        <r>
          <rPr>
            <sz val="9"/>
            <color indexed="81"/>
            <rFont val="Tahoma"/>
            <family val="2"/>
          </rPr>
          <t xml:space="preserve">
s_duration * 3 (each year in early spring i.e. April)</t>
        </r>
      </text>
    </comment>
    <comment ref="P109" authorId="2">
      <text>
        <r>
          <rPr>
            <b/>
            <sz val="9"/>
            <color indexed="81"/>
            <rFont val="Tahoma"/>
            <family val="2"/>
          </rPr>
          <t>LA:</t>
        </r>
        <r>
          <rPr>
            <sz val="9"/>
            <color indexed="81"/>
            <rFont val="Tahoma"/>
            <family val="2"/>
          </rPr>
          <t xml:space="preserve">
unclear study duration three subsequent years - assume 365*3</t>
        </r>
      </text>
    </comment>
    <comment ref="I110" authorId="2">
      <text>
        <r>
          <rPr>
            <b/>
            <sz val="9"/>
            <color indexed="81"/>
            <rFont val="Tahoma"/>
            <family val="2"/>
          </rPr>
          <t>LA:</t>
        </r>
        <r>
          <rPr>
            <sz val="9"/>
            <color indexed="81"/>
            <rFont val="Tahoma"/>
            <family val="2"/>
          </rPr>
          <t xml:space="preserve">
diameter of air and soil temp sensor 0.03</t>
        </r>
      </text>
    </comment>
    <comment ref="J110" authorId="2">
      <text>
        <r>
          <rPr>
            <b/>
            <sz val="9"/>
            <color indexed="81"/>
            <rFont val="Tahoma"/>
            <family val="2"/>
          </rPr>
          <t>LA:</t>
        </r>
        <r>
          <rPr>
            <sz val="9"/>
            <color indexed="81"/>
            <rFont val="Tahoma"/>
            <family val="2"/>
          </rPr>
          <t xml:space="preserve">
Assume one air and one soil temp sensor at each site i.e. 4 sites * 2 sensors
LDE: 13/3/2017. I think they actually did this next to each plot. Corrected from 8 that was estimated originally
LDE: 18/4/2017. Looks like this was done a single time at each site. Correct from 8 to 4</t>
        </r>
      </text>
    </comment>
    <comment ref="K110"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10" authorId="2">
      <text>
        <r>
          <rPr>
            <b/>
            <sz val="9"/>
            <color indexed="81"/>
            <rFont val="Tahoma"/>
            <family val="2"/>
          </rPr>
          <t>LA:</t>
        </r>
        <r>
          <rPr>
            <sz val="9"/>
            <color indexed="81"/>
            <rFont val="Tahoma"/>
            <family val="2"/>
          </rPr>
          <t xml:space="preserve">
Assume takes 1 minute to record the temperature reading
LDE: integrated over day, per their usage</t>
        </r>
      </text>
    </comment>
    <comment ref="N110" authorId="2">
      <text>
        <r>
          <rPr>
            <b/>
            <sz val="9"/>
            <color indexed="81"/>
            <rFont val="Tahoma"/>
            <family val="2"/>
          </rPr>
          <t>LA:</t>
        </r>
        <r>
          <rPr>
            <sz val="9"/>
            <color indexed="81"/>
            <rFont val="Tahoma"/>
            <family val="2"/>
          </rPr>
          <t xml:space="preserve">
hourly data collection
LDE: changed to one day because that is how they used it</t>
        </r>
      </text>
    </comment>
    <comment ref="O110" authorId="2">
      <text>
        <r>
          <rPr>
            <b/>
            <sz val="9"/>
            <color indexed="81"/>
            <rFont val="Tahoma"/>
            <family val="2"/>
          </rPr>
          <t>LA:</t>
        </r>
        <r>
          <rPr>
            <sz val="9"/>
            <color indexed="81"/>
            <rFont val="Tahoma"/>
            <family val="2"/>
          </rPr>
          <t xml:space="preserve">
assume 1 min samp_duration* 8760 unique sampling events i.e. no. of hours in three years
LDE: are the observations integrated over the t_btwn_samp? If so, samp_duration should equal the t_btwn_samp, t_btwn_samp should equal zero
LDE: It looks as if they only did this for a year, although hard to tell. Basing this on dates in Figure 1.</t>
        </r>
      </text>
    </comment>
    <comment ref="P110" authorId="2">
      <text>
        <r>
          <rPr>
            <b/>
            <sz val="9"/>
            <color indexed="81"/>
            <rFont val="Tahoma"/>
            <family val="2"/>
          </rPr>
          <t>LA:</t>
        </r>
        <r>
          <rPr>
            <sz val="9"/>
            <color indexed="81"/>
            <rFont val="Tahoma"/>
            <family val="2"/>
          </rPr>
          <t xml:space="preserve">
unclear study duration three subsequent years - assume 365*3
LDE: 17/4/2017 corrected to one year based on figure1, which shows March-March
</t>
        </r>
      </text>
    </comment>
    <comment ref="I111" authorId="2">
      <text>
        <r>
          <rPr>
            <b/>
            <sz val="9"/>
            <color indexed="81"/>
            <rFont val="Tahoma"/>
            <family val="2"/>
          </rPr>
          <t>LA:</t>
        </r>
        <r>
          <rPr>
            <sz val="9"/>
            <color indexed="81"/>
            <rFont val="Tahoma"/>
            <family val="2"/>
          </rPr>
          <t xml:space="preserve">
Assuming collection funnel's diameter as sampling resolution 0.142 m</t>
        </r>
      </text>
    </comment>
    <comment ref="J111" authorId="2">
      <text>
        <r>
          <rPr>
            <b/>
            <sz val="9"/>
            <color indexed="81"/>
            <rFont val="Tahoma"/>
            <family val="2"/>
          </rPr>
          <t>LA:</t>
        </r>
        <r>
          <rPr>
            <sz val="9"/>
            <color indexed="81"/>
            <rFont val="Tahoma"/>
            <family val="2"/>
          </rPr>
          <t xml:space="preserve">
Assume one rain guage at each site </t>
        </r>
      </text>
    </comment>
    <comment ref="K111"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11" authorId="2">
      <text>
        <r>
          <rPr>
            <b/>
            <sz val="9"/>
            <color indexed="81"/>
            <rFont val="Tahoma"/>
            <family val="2"/>
          </rPr>
          <t>LA:</t>
        </r>
        <r>
          <rPr>
            <sz val="9"/>
            <color indexed="81"/>
            <rFont val="Tahoma"/>
            <family val="2"/>
          </rPr>
          <t xml:space="preserve">
hourly averaged rainfall
LDE: you can assume constant collection for the day (or hour, if they are reporting hourly rainfall) with precipitation, since it is a cumulative measure. </t>
        </r>
      </text>
    </comment>
    <comment ref="N111" authorId="2">
      <text>
        <r>
          <rPr>
            <b/>
            <sz val="9"/>
            <color indexed="81"/>
            <rFont val="Tahoma"/>
            <family val="2"/>
          </rPr>
          <t>LA:</t>
        </r>
        <r>
          <rPr>
            <sz val="9"/>
            <color indexed="81"/>
            <rFont val="Tahoma"/>
            <family val="2"/>
          </rPr>
          <t xml:space="preserve">
hourly data collection</t>
        </r>
      </text>
    </comment>
    <comment ref="O111" authorId="2">
      <text>
        <r>
          <rPr>
            <b/>
            <sz val="9"/>
            <color indexed="81"/>
            <rFont val="Tahoma"/>
            <family val="2"/>
          </rPr>
          <t>LA:</t>
        </r>
        <r>
          <rPr>
            <sz val="9"/>
            <color indexed="81"/>
            <rFont val="Tahoma"/>
            <family val="2"/>
          </rPr>
          <t xml:space="preserve">
Unclear study_duration. Assigned one day value
LDE: It looks as if they only did this for a year, although hard to tell. Basing this on dates in Figure 1.</t>
        </r>
      </text>
    </comment>
    <comment ref="P111" authorId="2">
      <text>
        <r>
          <rPr>
            <b/>
            <sz val="9"/>
            <color indexed="81"/>
            <rFont val="Tahoma"/>
            <family val="2"/>
          </rPr>
          <t>LA:</t>
        </r>
        <r>
          <rPr>
            <sz val="9"/>
            <color indexed="81"/>
            <rFont val="Tahoma"/>
            <family val="2"/>
          </rPr>
          <t xml:space="preserve">
unclear study duration three subsequent years - assume 365*3
LDE: 17/4/2017 corrected to one year based on figure1, which shows March-March
</t>
        </r>
      </text>
    </comment>
    <comment ref="I112" authorId="2">
      <text>
        <r>
          <rPr>
            <b/>
            <sz val="9"/>
            <color indexed="81"/>
            <rFont val="Tahoma"/>
            <family val="2"/>
          </rPr>
          <t>LA:</t>
        </r>
        <r>
          <rPr>
            <sz val="9"/>
            <color indexed="81"/>
            <rFont val="Tahoma"/>
            <family val="2"/>
          </rPr>
          <t xml:space="preserve">
Fork like soil moisture probe  with two prongs. Assume prongs are prism and calculate surface area</t>
        </r>
      </text>
    </comment>
    <comment ref="J112" authorId="2">
      <text>
        <r>
          <rPr>
            <b/>
            <sz val="9"/>
            <color indexed="81"/>
            <rFont val="Tahoma"/>
            <family val="2"/>
          </rPr>
          <t>LA:</t>
        </r>
        <r>
          <rPr>
            <sz val="9"/>
            <color indexed="81"/>
            <rFont val="Tahoma"/>
            <family val="2"/>
          </rPr>
          <t xml:space="preserve">
4 soil moisture probes at each site</t>
        </r>
      </text>
    </comment>
    <comment ref="K112"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12" authorId="2">
      <text>
        <r>
          <rPr>
            <b/>
            <sz val="9"/>
            <color indexed="81"/>
            <rFont val="Tahoma"/>
            <family val="2"/>
          </rPr>
          <t>LA:</t>
        </r>
        <r>
          <rPr>
            <sz val="9"/>
            <color indexed="81"/>
            <rFont val="Tahoma"/>
            <family val="2"/>
          </rPr>
          <t xml:space="preserve">
hourly averaged soil moisture</t>
        </r>
      </text>
    </comment>
    <comment ref="N112" authorId="2">
      <text>
        <r>
          <rPr>
            <b/>
            <sz val="9"/>
            <color indexed="81"/>
            <rFont val="Tahoma"/>
            <family val="2"/>
          </rPr>
          <t>LA:</t>
        </r>
        <r>
          <rPr>
            <sz val="9"/>
            <color indexed="81"/>
            <rFont val="Tahoma"/>
            <family val="2"/>
          </rPr>
          <t xml:space="preserve">
hourly data collection</t>
        </r>
      </text>
    </comment>
    <comment ref="O112" authorId="2">
      <text>
        <r>
          <rPr>
            <b/>
            <sz val="9"/>
            <color indexed="81"/>
            <rFont val="Tahoma"/>
            <family val="2"/>
          </rPr>
          <t>LA:</t>
        </r>
        <r>
          <rPr>
            <sz val="9"/>
            <color indexed="81"/>
            <rFont val="Tahoma"/>
            <family val="2"/>
          </rPr>
          <t xml:space="preserve">
Unclear study_duration. Assigned one day value
LDE: It looks as if they only did this for a year, although hard to tell. Basing this on dates in Figure 1.</t>
        </r>
      </text>
    </comment>
    <comment ref="P112" authorId="2">
      <text>
        <r>
          <rPr>
            <b/>
            <sz val="9"/>
            <color indexed="81"/>
            <rFont val="Tahoma"/>
            <family val="2"/>
          </rPr>
          <t>LA:</t>
        </r>
        <r>
          <rPr>
            <sz val="9"/>
            <color indexed="81"/>
            <rFont val="Tahoma"/>
            <family val="2"/>
          </rPr>
          <t xml:space="preserve">
unclear study duration three subsequent years - assume 365*3
LDE: 17/4/2017 corrected to one year based on figure1, which shows March-March
</t>
        </r>
      </text>
    </comment>
    <comment ref="I113" authorId="2">
      <text>
        <r>
          <rPr>
            <b/>
            <sz val="9"/>
            <color indexed="81"/>
            <rFont val="Tahoma"/>
            <family val="2"/>
          </rPr>
          <t>LA:</t>
        </r>
        <r>
          <rPr>
            <sz val="9"/>
            <color indexed="81"/>
            <rFont val="Tahoma"/>
            <family val="2"/>
          </rPr>
          <t xml:space="preserve">
Assume shape of LAI probe as prism</t>
        </r>
      </text>
    </comment>
    <comment ref="J113" authorId="2">
      <text>
        <r>
          <rPr>
            <b/>
            <sz val="9"/>
            <color indexed="81"/>
            <rFont val="Tahoma"/>
            <family val="2"/>
          </rPr>
          <t>LA:</t>
        </r>
        <r>
          <rPr>
            <sz val="9"/>
            <color indexed="81"/>
            <rFont val="Tahoma"/>
            <family val="2"/>
          </rPr>
          <t xml:space="preserve">
Difficult to estimate no. of LAI readings performed. Assume averaged LAI recorded for each site
LDE: 13/3/2017. I think they actually did this next to each plot. Corrected from 8 that was estimated originally</t>
        </r>
      </text>
    </comment>
    <comment ref="K113"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13" authorId="2">
      <text>
        <r>
          <rPr>
            <b/>
            <sz val="9"/>
            <color indexed="81"/>
            <rFont val="Tahoma"/>
            <family val="2"/>
          </rPr>
          <t xml:space="preserve">LA:
</t>
        </r>
        <r>
          <rPr>
            <sz val="9"/>
            <color indexed="81"/>
            <rFont val="Tahoma"/>
            <family val="2"/>
          </rPr>
          <t>Assume takes 1 second to record</t>
        </r>
      </text>
    </comment>
    <comment ref="N113" authorId="2">
      <text>
        <r>
          <rPr>
            <b/>
            <sz val="9"/>
            <color indexed="81"/>
            <rFont val="Tahoma"/>
            <family val="2"/>
          </rPr>
          <t>LA:</t>
        </r>
        <r>
          <rPr>
            <sz val="9"/>
            <color indexed="81"/>
            <rFont val="Tahoma"/>
            <family val="2"/>
          </rPr>
          <t xml:space="preserve">
assume average of 11 months each year
LDE: LAI seems like it was a once-off measurement</t>
        </r>
      </text>
    </comment>
    <comment ref="O113" authorId="2">
      <text>
        <r>
          <rPr>
            <b/>
            <sz val="9"/>
            <color indexed="81"/>
            <rFont val="Tahoma"/>
            <family val="2"/>
          </rPr>
          <t>LA:</t>
        </r>
        <r>
          <rPr>
            <sz val="9"/>
            <color indexed="81"/>
            <rFont val="Tahoma"/>
            <family val="2"/>
          </rPr>
          <t xml:space="preserve">
Unclear study_duration. Assigned one day value
LDE: Corrected to equal samp_duration, since once off 
reference in the paper to multiple sampling
LDE: seems like it was just one time</t>
        </r>
      </text>
    </comment>
    <comment ref="P113" authorId="2">
      <text>
        <r>
          <rPr>
            <b/>
            <sz val="9"/>
            <color indexed="81"/>
            <rFont val="Tahoma"/>
            <family val="2"/>
          </rPr>
          <t>LA:</t>
        </r>
        <r>
          <rPr>
            <sz val="9"/>
            <color indexed="81"/>
            <rFont val="Tahoma"/>
            <family val="2"/>
          </rPr>
          <t xml:space="preserve">
unclear study duration three subsequent years - assume 365*3
LDE: 18/4/2017. Edited to reflect actual duration, since appears to have been once-off (changed from 1095)
</t>
        </r>
      </text>
    </comment>
    <comment ref="I114" authorId="2">
      <text>
        <r>
          <rPr>
            <b/>
            <sz val="9"/>
            <color indexed="81"/>
            <rFont val="Tahoma"/>
            <family val="2"/>
          </rPr>
          <t>LA:</t>
        </r>
        <r>
          <rPr>
            <sz val="9"/>
            <color indexed="81"/>
            <rFont val="Tahoma"/>
            <family val="2"/>
          </rPr>
          <t xml:space="preserve">
LI-3100C Area Meter's max resolution 1 mm^2</t>
        </r>
      </text>
    </comment>
    <comment ref="J114" authorId="2">
      <text>
        <r>
          <rPr>
            <b/>
            <sz val="9"/>
            <color indexed="81"/>
            <rFont val="Tahoma"/>
            <family val="2"/>
          </rPr>
          <t>LA:</t>
        </r>
        <r>
          <rPr>
            <sz val="9"/>
            <color indexed="81"/>
            <rFont val="Tahoma"/>
            <family val="2"/>
          </rPr>
          <t xml:space="preserve">
Assume 4 sites as no. of LA samples
LDE: 13/3/2017. I think they actually did this next to each plot. Corrected from 8 that was estimated originally</t>
        </r>
      </text>
    </comment>
    <comment ref="K114"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14" authorId="2">
      <text>
        <r>
          <rPr>
            <b/>
            <sz val="9"/>
            <color indexed="81"/>
            <rFont val="Tahoma"/>
            <family val="2"/>
          </rPr>
          <t>LA:</t>
        </r>
        <r>
          <rPr>
            <sz val="9"/>
            <color indexed="81"/>
            <rFont val="Tahoma"/>
            <family val="2"/>
          </rPr>
          <t xml:space="preserve">
Assume 1 minute to scan and calculate LA</t>
        </r>
      </text>
    </comment>
    <comment ref="N114" authorId="2">
      <text>
        <r>
          <rPr>
            <b/>
            <sz val="9"/>
            <color indexed="81"/>
            <rFont val="Tahoma"/>
            <family val="2"/>
          </rPr>
          <t>LA:</t>
        </r>
        <r>
          <rPr>
            <sz val="9"/>
            <color indexed="81"/>
            <rFont val="Tahoma"/>
            <family val="2"/>
          </rPr>
          <t xml:space="preserve">
Paper indicates that LAI was collected once in April, 2009</t>
        </r>
      </text>
    </comment>
    <comment ref="O114" authorId="2">
      <text>
        <r>
          <rPr>
            <b/>
            <sz val="9"/>
            <color indexed="81"/>
            <rFont val="Tahoma"/>
            <family val="2"/>
          </rPr>
          <t>LA:</t>
        </r>
        <r>
          <rPr>
            <sz val="9"/>
            <color indexed="81"/>
            <rFont val="Tahoma"/>
            <family val="2"/>
          </rPr>
          <t xml:space="preserve">
Unclear study_duration. Assigned one day value
LDE: Corrected to equal samp_duration, since once off
LDE: no, seems like this was done two times, along with litter sampling</t>
        </r>
      </text>
    </comment>
    <comment ref="P114" authorId="2">
      <text>
        <r>
          <rPr>
            <b/>
            <sz val="9"/>
            <color indexed="81"/>
            <rFont val="Tahoma"/>
            <family val="2"/>
          </rPr>
          <t>LA:</t>
        </r>
        <r>
          <rPr>
            <sz val="9"/>
            <color indexed="81"/>
            <rFont val="Tahoma"/>
            <family val="2"/>
          </rPr>
          <t xml:space="preserve">
unclear study duration three subsequent years - assume 365*3
LDE: 18/4/2017. Changed from 1095, because seems as if they recorded specific leaf area in each September from leaves in litter traps</t>
        </r>
      </text>
    </comment>
    <comment ref="J115" authorId="2">
      <text>
        <r>
          <rPr>
            <b/>
            <sz val="9"/>
            <color indexed="81"/>
            <rFont val="Tahoma"/>
            <family val="2"/>
          </rPr>
          <t>LA:</t>
        </r>
        <r>
          <rPr>
            <sz val="9"/>
            <color indexed="81"/>
            <rFont val="Tahoma"/>
            <family val="2"/>
          </rPr>
          <t xml:space="preserve">
six litter bags at each site</t>
        </r>
      </text>
    </comment>
    <comment ref="K115"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15" authorId="2">
      <text>
        <r>
          <rPr>
            <b/>
            <sz val="9"/>
            <color indexed="81"/>
            <rFont val="Tahoma"/>
            <family val="2"/>
          </rPr>
          <t>LA:</t>
        </r>
        <r>
          <rPr>
            <sz val="9"/>
            <color indexed="81"/>
            <rFont val="Tahoma"/>
            <family val="2"/>
          </rPr>
          <t xml:space="preserve">
Fixed - "The litter traps were emptied regularly" unspecific time interval for empying litter bags - assume 2-3 days (~2.5 days) for the litter bag to be full during early fall.
LDE: were they letting the litter accumulate over course of season in bags, or just picking it up one time?  If the former, change this to as long as the litter bag was left out to accumulate. 
LDE: 29/5/2016 - I assume two months to catch all leaf fall</t>
        </r>
      </text>
    </comment>
    <comment ref="N115" authorId="2">
      <text>
        <r>
          <rPr>
            <b/>
            <sz val="9"/>
            <color indexed="81"/>
            <rFont val="Tahoma"/>
            <family val="2"/>
          </rPr>
          <t>LA:</t>
        </r>
        <r>
          <rPr>
            <sz val="9"/>
            <color indexed="81"/>
            <rFont val="Tahoma"/>
            <family val="2"/>
          </rPr>
          <t xml:space="preserve">
Assume annual litter collection instead. Dec-to August i.e. 9 mo. * 30.5 days</t>
        </r>
      </text>
    </comment>
    <comment ref="O115" authorId="2">
      <text>
        <r>
          <rPr>
            <b/>
            <sz val="9"/>
            <color indexed="81"/>
            <rFont val="Tahoma"/>
            <family val="2"/>
          </rPr>
          <t>LA:</t>
        </r>
        <r>
          <rPr>
            <sz val="9"/>
            <color indexed="81"/>
            <rFont val="Tahoma"/>
            <family val="2"/>
          </rPr>
          <t xml:space="preserve">
leaves collected sep-nov for three years
Did litter collection last for for 3 months? If so, see comment under samp_duration
LDE: I assumed two months and it seems to have been done twice</t>
        </r>
      </text>
    </comment>
    <comment ref="P115" authorId="2">
      <text>
        <r>
          <rPr>
            <b/>
            <sz val="9"/>
            <color indexed="81"/>
            <rFont val="Tahoma"/>
            <family val="2"/>
          </rPr>
          <t>LA:</t>
        </r>
        <r>
          <rPr>
            <sz val="9"/>
            <color indexed="81"/>
            <rFont val="Tahoma"/>
            <family val="2"/>
          </rPr>
          <t xml:space="preserve">
unclear study duration three subsequent years - assume 365*3
LDE: 18/4/2017. Changed from 1095 to interval + samp_dur * 2 (two months for duration of last sample plus one year total duration from beginning of first litter fall collection to beginning of second)</t>
        </r>
      </text>
    </comment>
    <comment ref="K116"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N116" authorId="2">
      <text>
        <r>
          <rPr>
            <b/>
            <sz val="9"/>
            <color indexed="81"/>
            <rFont val="Tahoma"/>
            <family val="2"/>
          </rPr>
          <t>LA:</t>
        </r>
        <r>
          <rPr>
            <sz val="9"/>
            <color indexed="81"/>
            <rFont val="Tahoma"/>
            <family val="2"/>
          </rPr>
          <t xml:space="preserve">
Assume annual collection once every ~11 months i.e. 11 mo. * 30.5 days
LDE: 18/4/2017. Changed from =11*30.5, because it sounds like they did this at peak growing season, assuming in two years, same as litter sampling </t>
        </r>
      </text>
    </comment>
    <comment ref="O116" authorId="0">
      <text>
        <r>
          <rPr>
            <b/>
            <sz val="9"/>
            <color indexed="81"/>
            <rFont val="Arial"/>
          </rPr>
          <t>Lyndon Estes:</t>
        </r>
        <r>
          <rPr>
            <sz val="9"/>
            <color indexed="81"/>
            <rFont val="Arial"/>
          </rPr>
          <t xml:space="preserve">
Looks like it was done twice</t>
        </r>
      </text>
    </comment>
    <comment ref="P116" authorId="2">
      <text>
        <r>
          <rPr>
            <b/>
            <sz val="9"/>
            <color indexed="81"/>
            <rFont val="Tahoma"/>
            <family val="2"/>
          </rPr>
          <t>LA:</t>
        </r>
        <r>
          <rPr>
            <sz val="9"/>
            <color indexed="81"/>
            <rFont val="Tahoma"/>
            <family val="2"/>
          </rPr>
          <t xml:space="preserve">
unclear study duration three subsequent years - assume 365*3
LDE: 18/4/2017 corrected from 1095 to one year (time between sampling at peak biomass)
</t>
        </r>
      </text>
    </comment>
    <comment ref="K117"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17" authorId="2">
      <text>
        <r>
          <rPr>
            <b/>
            <sz val="9"/>
            <color indexed="81"/>
            <rFont val="Tahoma"/>
            <family val="2"/>
          </rPr>
          <t>LA:</t>
        </r>
        <r>
          <rPr>
            <sz val="9"/>
            <color indexed="81"/>
            <rFont val="Tahoma"/>
            <family val="2"/>
          </rPr>
          <t xml:space="preserve">
Assume 5 mins per soil core</t>
        </r>
      </text>
    </comment>
    <comment ref="N117" authorId="0">
      <text>
        <r>
          <rPr>
            <b/>
            <sz val="9"/>
            <color indexed="81"/>
            <rFont val="Arial"/>
          </rPr>
          <t>Lyndon Estes:</t>
        </r>
        <r>
          <rPr>
            <sz val="9"/>
            <color indexed="81"/>
            <rFont val="Arial"/>
          </rPr>
          <t xml:space="preserve">
If sampling occurred once a year, this should be 365, no?
Sampled once, but the cores were revisted and the same area was sampled for ingrowth roots</t>
        </r>
      </text>
    </comment>
    <comment ref="O117" authorId="2">
      <text>
        <r>
          <rPr>
            <b/>
            <sz val="9"/>
            <color indexed="81"/>
            <rFont val="Tahoma"/>
            <family val="2"/>
          </rPr>
          <t>LA:</t>
        </r>
        <r>
          <rPr>
            <sz val="9"/>
            <color indexed="81"/>
            <rFont val="Tahoma"/>
            <family val="2"/>
          </rPr>
          <t xml:space="preserve">
soil cores sampled once and then sampled again for ingrowth roots second time - assume sampling done twice</t>
        </r>
      </text>
    </comment>
    <comment ref="P117" authorId="2">
      <text>
        <r>
          <rPr>
            <b/>
            <sz val="9"/>
            <color indexed="81"/>
            <rFont val="Tahoma"/>
            <family val="2"/>
          </rPr>
          <t>LA:</t>
        </r>
        <r>
          <rPr>
            <sz val="9"/>
            <color indexed="81"/>
            <rFont val="Tahoma"/>
            <family val="2"/>
          </rPr>
          <t xml:space="preserve">
unclear study duration three subsequent years - assume 365*3
LDE: 18/4/2017 corrected from 1095 to one year (time between sampling at beginning of growing season)
</t>
        </r>
      </text>
    </comment>
    <comment ref="I118" authorId="2">
      <text>
        <r>
          <rPr>
            <b/>
            <sz val="9"/>
            <color indexed="81"/>
            <rFont val="Tahoma"/>
            <family val="2"/>
          </rPr>
          <t>LA:</t>
        </r>
        <r>
          <rPr>
            <sz val="9"/>
            <color indexed="81"/>
            <rFont val="Tahoma"/>
            <family val="2"/>
          </rPr>
          <t xml:space="preserve">
Assume half area of polypropylene collar as plot_res for soil resp because half the soil resp. sensor occupies half the chamber
LDE: Gave credit for the whole area of the chamber</t>
        </r>
      </text>
    </comment>
    <comment ref="J118" authorId="2">
      <text>
        <r>
          <rPr>
            <b/>
            <sz val="9"/>
            <color indexed="81"/>
            <rFont val="Tahoma"/>
            <family val="2"/>
          </rPr>
          <t>LA:</t>
        </r>
        <r>
          <rPr>
            <sz val="9"/>
            <color indexed="81"/>
            <rFont val="Tahoma"/>
            <family val="2"/>
          </rPr>
          <t xml:space="preserve">
12 collars * 2 high elevation sites</t>
        </r>
      </text>
    </comment>
    <comment ref="K118"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18" authorId="2">
      <text>
        <r>
          <rPr>
            <b/>
            <sz val="9"/>
            <color indexed="81"/>
            <rFont val="Tahoma"/>
            <family val="2"/>
          </rPr>
          <t>LA:</t>
        </r>
        <r>
          <rPr>
            <sz val="9"/>
            <color indexed="81"/>
            <rFont val="Tahoma"/>
            <family val="2"/>
          </rPr>
          <t xml:space="preserve">
LDE: double-check these.  If they are in chambers, they might be recorded more frequently than the frequently than 21 days. Or perhaps they are continuous measures that are averaged over a certain interval
Not sure to treat the soil respiration as a monthly value (~30.5 will be samp_duration) or as time taken by the sensor to record i.e. 48 recordings every 4 mins - assume (4/48)*2 (assumption two chambers = 0.167 seconds for single recording or samp_duration)
LDE: I would say the latter.  Is the sample unit a single chamber? I have been treating it as follows: 
1. Figure out duration for single sample. If it is based on an instantaneous reading, then something like a second or fraction of second for reading.  
2. What is the interval between instantaneous readings, which gives you the frequency 
3. Figure out the period they average or sum those instantaneous readings over. In this case it sounds like a month. 
4. So basically 48 readings per 4 minutes is one reading every 5 seconds.  If you assume that it is a 1 second reading, it is 12 seconds of observation per minute (in reality it is probably faster than 1 second, but have been assuming one second for instantaneous obs).  12 seconds is 1/5 of a minute, so from there you can straight to 1/5 of day being observed, or to 1/5 a month being the sample duration.  
5. The calculations: 
(4*60)/48 = 5 seconds interval
60/5 = 12 readings per minute, if 1 second per reading then 12 seconds total
(12 * 60 *24)/(60*60*24) = 0.2 of day sampled
0.2*30 = 6 day sample duration (assume 30 day month)
Fixed - based on above calculations assume 6 day samp_duration
LDE: actually on reading paper I believe you were initially right. They only measured for 4 minutes twice a month.  So just 48 seconds total per session</t>
        </r>
      </text>
    </comment>
    <comment ref="N118" authorId="2">
      <text>
        <r>
          <rPr>
            <b/>
            <sz val="9"/>
            <color indexed="81"/>
            <rFont val="Tahoma"/>
            <family val="2"/>
          </rPr>
          <t>LA:</t>
        </r>
        <r>
          <rPr>
            <sz val="9"/>
            <color indexed="81"/>
            <rFont val="Tahoma"/>
            <family val="2"/>
          </rPr>
          <t xml:space="preserve">
biweekly during growing season (Apr. to Sept.) plus one additional sampling in March, 2010  - mean value calculated
LDE: I just simplified to 2 weeks interval and pooled high and low elevation sites</t>
        </r>
      </text>
    </comment>
    <comment ref="O118" authorId="2">
      <text>
        <r>
          <rPr>
            <b/>
            <sz val="9"/>
            <color indexed="81"/>
            <rFont val="Tahoma"/>
            <family val="2"/>
          </rPr>
          <t>LA:</t>
        </r>
        <r>
          <rPr>
            <sz val="9"/>
            <color indexed="81"/>
            <rFont val="Tahoma"/>
            <family val="2"/>
          </rPr>
          <t xml:space="preserve">
Biweekly data collections during growing season plus one collection March, 2010 ~7 repeated samples. Unclear time frame but using the figure 1 assume April 2009 to March 2010
LDE: Changed because sample duration seems to have only been done twice, and then twice a month</t>
        </r>
      </text>
    </comment>
    <comment ref="P118" authorId="2">
      <text>
        <r>
          <rPr>
            <b/>
            <sz val="9"/>
            <color indexed="81"/>
            <rFont val="Tahoma"/>
            <family val="2"/>
          </rPr>
          <t>LA:</t>
        </r>
        <r>
          <rPr>
            <sz val="9"/>
            <color indexed="81"/>
            <rFont val="Tahoma"/>
            <family val="2"/>
          </rPr>
          <t xml:space="preserve">
Unclear time frame but using the figure 1 assume April 2009 to March 2010. Instead of thee subsequent years
LDE: 18/4/2017. Changed from 334 because probably 12 months</t>
        </r>
      </text>
    </comment>
    <comment ref="I119" authorId="2">
      <text>
        <r>
          <rPr>
            <b/>
            <sz val="9"/>
            <color indexed="81"/>
            <rFont val="Tahoma"/>
            <family val="2"/>
          </rPr>
          <t>LA:</t>
        </r>
        <r>
          <rPr>
            <sz val="9"/>
            <color indexed="81"/>
            <rFont val="Tahoma"/>
            <family val="2"/>
          </rPr>
          <t xml:space="preserve">
Assume temp probe a cylinder. Use surface area of a cylinder instead of polypropylene collar because the chamber shared with soil moisture probe</t>
        </r>
      </text>
    </comment>
    <comment ref="J119" authorId="2">
      <text>
        <r>
          <rPr>
            <b/>
            <sz val="9"/>
            <color indexed="81"/>
            <rFont val="Tahoma"/>
            <family val="2"/>
          </rPr>
          <t>LA:</t>
        </r>
        <r>
          <rPr>
            <sz val="9"/>
            <color indexed="81"/>
            <rFont val="Tahoma"/>
            <family val="2"/>
          </rPr>
          <t xml:space="preserve">
Assume similar sites sampled for manual soil temp i.e. 12 sample sites * 2 sites</t>
        </r>
      </text>
    </comment>
    <comment ref="K119"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19" authorId="2">
      <text>
        <r>
          <rPr>
            <b/>
            <sz val="9"/>
            <color indexed="81"/>
            <rFont val="Tahoma"/>
            <family val="2"/>
          </rPr>
          <t>LA:</t>
        </r>
        <r>
          <rPr>
            <sz val="9"/>
            <color indexed="81"/>
            <rFont val="Tahoma"/>
            <family val="2"/>
          </rPr>
          <t xml:space="preserve">
Assume 1 minute recording time
LDE: double-check these.  If they are in chambers, they might be recorded more frequently than the frequently than 21 days. Or perhaps they are continuous measures that are averaged over a certain interval
Fixed - Assume simultaneous recording along with soil resp. therefore use same samp_duration as soil_resp probe 
LDE: Assume the manual measurements were 4 minutes continuous, the length of the chamber collection time</t>
        </r>
      </text>
    </comment>
    <comment ref="N119" authorId="2">
      <text>
        <r>
          <rPr>
            <b/>
            <sz val="9"/>
            <color indexed="81"/>
            <rFont val="Tahoma"/>
            <family val="2"/>
          </rPr>
          <t>LA:</t>
        </r>
        <r>
          <rPr>
            <sz val="9"/>
            <color indexed="81"/>
            <rFont val="Tahoma"/>
            <family val="2"/>
          </rPr>
          <t xml:space="preserve">
biweekly during growing season (Apr. to Sept.) plus one additional sampling in March, 2010  - mean value calculated
LDE: I just simplified to 2 weeks interval and pooled high and low elevation sites</t>
        </r>
      </text>
    </comment>
    <comment ref="O119" authorId="2">
      <text>
        <r>
          <rPr>
            <b/>
            <sz val="9"/>
            <color indexed="81"/>
            <rFont val="Tahoma"/>
            <family val="2"/>
          </rPr>
          <t>LA:</t>
        </r>
        <r>
          <rPr>
            <sz val="9"/>
            <color indexed="81"/>
            <rFont val="Tahoma"/>
            <family val="2"/>
          </rPr>
          <t xml:space="preserve">
Biweekly data collections during growing season plus one collection March, 2010 ~7 repeated samples. Unclear time frame but using the figure 1 assume April 2009 to March 2010</t>
        </r>
      </text>
    </comment>
    <comment ref="P119" authorId="2">
      <text>
        <r>
          <rPr>
            <b/>
            <sz val="9"/>
            <color indexed="81"/>
            <rFont val="Tahoma"/>
            <family val="2"/>
          </rPr>
          <t>LA:</t>
        </r>
        <r>
          <rPr>
            <sz val="9"/>
            <color indexed="81"/>
            <rFont val="Tahoma"/>
            <family val="2"/>
          </rPr>
          <t xml:space="preserve">
Unclear time frame but using the figure 1 assume April 2009 to March 2010. Instead of thee subsequent years
LDE: 18/4/2017. Changed from 334 because probably 12 months</t>
        </r>
      </text>
    </comment>
    <comment ref="I120" authorId="2">
      <text>
        <r>
          <rPr>
            <b/>
            <sz val="9"/>
            <color indexed="81"/>
            <rFont val="Tahoma"/>
            <family val="2"/>
          </rPr>
          <t>LA:</t>
        </r>
        <r>
          <rPr>
            <sz val="9"/>
            <color indexed="81"/>
            <rFont val="Tahoma"/>
            <family val="2"/>
          </rPr>
          <t xml:space="preserve">
total surface area of all three sheild rods</t>
        </r>
      </text>
    </comment>
    <comment ref="J120" authorId="2">
      <text>
        <r>
          <rPr>
            <b/>
            <sz val="9"/>
            <color indexed="81"/>
            <rFont val="Tahoma"/>
            <family val="2"/>
          </rPr>
          <t>LA:</t>
        </r>
        <r>
          <rPr>
            <sz val="9"/>
            <color indexed="81"/>
            <rFont val="Tahoma"/>
            <family val="2"/>
          </rPr>
          <t xml:space="preserve">
Assume similar sites sampled for manual soil moisture  i.e. 12 sample sites * 2 sites</t>
        </r>
      </text>
    </comment>
    <comment ref="K120"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20" authorId="2">
      <text>
        <r>
          <rPr>
            <b/>
            <sz val="9"/>
            <color indexed="81"/>
            <rFont val="Tahoma"/>
            <family val="2"/>
          </rPr>
          <t>LA:</t>
        </r>
        <r>
          <rPr>
            <sz val="9"/>
            <color indexed="81"/>
            <rFont val="Tahoma"/>
            <family val="2"/>
          </rPr>
          <t xml:space="preserve">
Assume 1 minute recording time
LDE: double-check these.  If they are in chambers, they might be recorded more frequently than the frequently than 21 days. Or perhaps they are continuous measures that are averaged over a certain interval
Fixed - Assume simultaneous recording along with soil resp. therefore use same samp_duration as soil_resp probe 
LDE: Assume the manual measurements were 4 minutes continuous, the length of the chamber collection time</t>
        </r>
      </text>
    </comment>
    <comment ref="N120" authorId="2">
      <text>
        <r>
          <rPr>
            <b/>
            <sz val="9"/>
            <color indexed="81"/>
            <rFont val="Tahoma"/>
            <family val="2"/>
          </rPr>
          <t>LA:</t>
        </r>
        <r>
          <rPr>
            <sz val="9"/>
            <color indexed="81"/>
            <rFont val="Tahoma"/>
            <family val="2"/>
          </rPr>
          <t xml:space="preserve">
biweekly during growing season (Apr. to Sept.) plus one additional sampling in March, 2010  - mean value calculated
LDE: I just simplified to 2 weeks interval and pooled high and low elevation sites</t>
        </r>
      </text>
    </comment>
    <comment ref="O120" authorId="2">
      <text>
        <r>
          <rPr>
            <b/>
            <sz val="9"/>
            <color indexed="81"/>
            <rFont val="Tahoma"/>
            <family val="2"/>
          </rPr>
          <t>LA:</t>
        </r>
        <r>
          <rPr>
            <sz val="9"/>
            <color indexed="81"/>
            <rFont val="Tahoma"/>
            <family val="2"/>
          </rPr>
          <t xml:space="preserve">
Biweekly data collections during growing season plus one collection March, 2010 ~7 repeated samples. Unclear time frame but using the figure 1 assume April 2009 to March 2010</t>
        </r>
      </text>
    </comment>
    <comment ref="P120" authorId="2">
      <text>
        <r>
          <rPr>
            <b/>
            <sz val="9"/>
            <color indexed="81"/>
            <rFont val="Tahoma"/>
            <family val="2"/>
          </rPr>
          <t>LA:</t>
        </r>
        <r>
          <rPr>
            <sz val="9"/>
            <color indexed="81"/>
            <rFont val="Tahoma"/>
            <family val="2"/>
          </rPr>
          <t xml:space="preserve">
Unclear time frame but using the figure 1 assume April 2009 to March 2010. Instead of thee subsequent years
LDE: 18/4/2017. Changed from 334 because probably 12 months</t>
        </r>
      </text>
    </comment>
    <comment ref="I121" authorId="2">
      <text>
        <r>
          <rPr>
            <b/>
            <sz val="9"/>
            <color indexed="81"/>
            <rFont val="Tahoma"/>
            <family val="2"/>
          </rPr>
          <t>LA:</t>
        </r>
        <r>
          <rPr>
            <sz val="9"/>
            <color indexed="81"/>
            <rFont val="Tahoma"/>
            <family val="2"/>
          </rPr>
          <t xml:space="preserve">
Unclear resolution for the soil resp device used at supplementary sites - assume similar dimensions as above but with single chamber because soil temp &amp; moisture data not collected at supplementary sites</t>
        </r>
      </text>
    </comment>
    <comment ref="K121" authorId="0">
      <text>
        <r>
          <rPr>
            <b/>
            <sz val="9"/>
            <color indexed="81"/>
            <rFont val="Calibri"/>
            <family val="2"/>
          </rPr>
          <t>Lyndon Estes:</t>
        </r>
        <r>
          <rPr>
            <sz val="9"/>
            <color indexed="81"/>
            <rFont val="Calibri"/>
            <family val="2"/>
          </rPr>
          <t xml:space="preserve">
I outlined the total area of all 7 forest stands listed as supplmentary sites, as visible in imagery in my maps. One of these seemed to be within the same stand as one of the main sites, so simply repeated area of this. Two of the others were very large forest blocks</t>
        </r>
      </text>
    </comment>
    <comment ref="M121" authorId="2">
      <text>
        <r>
          <rPr>
            <b/>
            <sz val="9"/>
            <color indexed="81"/>
            <rFont val="Tahoma"/>
            <family val="2"/>
          </rPr>
          <t>LA:</t>
        </r>
        <r>
          <rPr>
            <sz val="9"/>
            <color indexed="81"/>
            <rFont val="Tahoma"/>
            <family val="2"/>
          </rPr>
          <t xml:space="preserve">
LDE: double-check these.  If they are in chambers, they might be recorded more frequently than the frequently than 21 days. Or perhaps they are continuous measures that are averaged over a certain interval
Not sure to treat the soil respiration as a monthly value (~30.5 will be samp_duration) or as time taken by the sensor to record i.e. 48 recordings every 4 mins - assume (4/48)*2 (assumption two chambers = 0.167 seconds for single recording or samp_duration)
LDE: I would say the latter.  Is the sample unit a single chamber? I have been treating it as follows: 
1. Figure out duration for single sample. If it is based on an instantaneous reading, then something like a second or fraction of second for reading.  
2. What is the interval between instantaneous readings, which gives you the frequency 
3. Figure out the period they average or sum those instantaneous readings over. In this case it sounds like a month. 
4. So basically 48 readings per 4 minutes is one reading every 5 seconds.  If you assume that it is a 1 second reading, it is 12 seconds of observation per minute (in reality it is probably faster than 1 second, but have been assuming one second for instantaneous obs).  12 seconds is 1/5 of a minute, so from there you can straight to 1/5 of day being observed, or to 1/5 a month being the sample duration.  
5. The calculations: 
(4*60)/48 = 5 seconds interval
60/5 = 12 readings per minute, if 1 second per reading then 12 seconds total
(12 * 60 *24)/(60*60*24) = 0.2 of day sampled
0.2*30 = 6 day sample duration (assume 30 day month)
Fixed - based on above calculations assume 6 day samp_duration
LDE: actually on reading paper I believe you were initially right. They only measured for 4 minutes twice a month.  So just 48 seconds total per session</t>
        </r>
      </text>
    </comment>
    <comment ref="N121" authorId="2">
      <text>
        <r>
          <rPr>
            <b/>
            <sz val="9"/>
            <color indexed="81"/>
            <rFont val="Tahoma"/>
            <family val="2"/>
          </rPr>
          <t>LA:</t>
        </r>
        <r>
          <rPr>
            <sz val="9"/>
            <color indexed="81"/>
            <rFont val="Tahoma"/>
            <family val="2"/>
          </rPr>
          <t xml:space="preserve">
sampled 4 times in 62 days</t>
        </r>
      </text>
    </comment>
    <comment ref="O121" authorId="2">
      <text>
        <r>
          <rPr>
            <b/>
            <sz val="9"/>
            <color indexed="81"/>
            <rFont val="Tahoma"/>
            <family val="2"/>
          </rPr>
          <t>LA:</t>
        </r>
        <r>
          <rPr>
            <sz val="9"/>
            <color indexed="81"/>
            <rFont val="Tahoma"/>
            <family val="2"/>
          </rPr>
          <t xml:space="preserve">
samp_duration* sampling performed 4 times</t>
        </r>
      </text>
    </comment>
    <comment ref="P121" authorId="2">
      <text>
        <r>
          <rPr>
            <b/>
            <sz val="9"/>
            <color indexed="81"/>
            <rFont val="Tahoma"/>
            <family val="2"/>
          </rPr>
          <t>LA:</t>
        </r>
        <r>
          <rPr>
            <sz val="9"/>
            <color indexed="81"/>
            <rFont val="Tahoma"/>
            <family val="2"/>
          </rPr>
          <t xml:space="preserve">
July to August, 2010</t>
        </r>
      </text>
    </comment>
    <comment ref="J122" authorId="2">
      <text>
        <r>
          <rPr>
            <b/>
            <sz val="9"/>
            <color indexed="81"/>
            <rFont val="Tahoma"/>
            <family val="2"/>
          </rPr>
          <t>LA:</t>
        </r>
        <r>
          <rPr>
            <sz val="9"/>
            <color indexed="81"/>
            <rFont val="Tahoma"/>
            <family val="2"/>
          </rPr>
          <t xml:space="preserve">
2 pits per site * 4 sites * 6 different profiles</t>
        </r>
      </text>
    </comment>
    <comment ref="K122" authorId="0">
      <text>
        <r>
          <rPr>
            <b/>
            <sz val="9"/>
            <color indexed="81"/>
            <rFont val="Calibri"/>
            <family val="2"/>
          </rPr>
          <t>Lyndon Estes:</t>
        </r>
        <r>
          <rPr>
            <sz val="9"/>
            <color indexed="81"/>
            <rFont val="Calibri"/>
            <family val="2"/>
          </rPr>
          <t xml:space="preserve">
I outlined the total area of all four forest stands, as visible in imagery in my maps. In one along river, I used road cutting through continguous forest as boundary.  In the two mountain ones, these were effectively one contiguous block</t>
        </r>
      </text>
    </comment>
    <comment ref="M122" authorId="2">
      <text>
        <r>
          <rPr>
            <b/>
            <sz val="9"/>
            <color indexed="81"/>
            <rFont val="Tahoma"/>
            <family val="2"/>
          </rPr>
          <t>LA:</t>
        </r>
        <r>
          <rPr>
            <sz val="9"/>
            <color indexed="81"/>
            <rFont val="Tahoma"/>
            <family val="2"/>
          </rPr>
          <t xml:space="preserve">
assume 5 minutes to collect one soil profile sample</t>
        </r>
      </text>
    </comment>
    <comment ref="N122" authorId="2">
      <text>
        <r>
          <rPr>
            <b/>
            <sz val="9"/>
            <color indexed="81"/>
            <rFont val="Tahoma"/>
            <family val="2"/>
          </rPr>
          <t>LA:</t>
        </r>
        <r>
          <rPr>
            <sz val="9"/>
            <color indexed="81"/>
            <rFont val="Tahoma"/>
            <family val="2"/>
          </rPr>
          <t xml:space="preserve">
assume  approx. 1 hr from one sample site to another
LDE: corrected to 0 because comment in study_duration suggests it is just once-off
Fixed - since multiple samples at different depth assume 1 minute between each depth reached
LDE: 18/4/2017. Fixed, because this is a once-off in fact (even different depths of soil profile. Was =1/(60*24), now 0</t>
        </r>
      </text>
    </comment>
    <comment ref="O122" authorId="2">
      <text>
        <r>
          <rPr>
            <b/>
            <sz val="9"/>
            <color indexed="81"/>
            <rFont val="Tahoma"/>
            <family val="2"/>
          </rPr>
          <t>LA:</t>
        </r>
        <r>
          <rPr>
            <sz val="9"/>
            <color indexed="81"/>
            <rFont val="Tahoma"/>
            <family val="2"/>
          </rPr>
          <t xml:space="preserve">
the cores were dug at varying depths at 5,10,20,30,40 &amp; 50 (cm) assume 6 sampling events per site
LDE: 18/4/2017. Was samp_dur X 6, but since once-off set equal to just samp_dur</t>
        </r>
      </text>
    </comment>
    <comment ref="P122" authorId="2">
      <text>
        <r>
          <rPr>
            <b/>
            <sz val="9"/>
            <color indexed="81"/>
            <rFont val="Tahoma"/>
            <family val="2"/>
          </rPr>
          <t>LA:</t>
        </r>
        <r>
          <rPr>
            <sz val="9"/>
            <color indexed="81"/>
            <rFont val="Tahoma"/>
            <family val="2"/>
          </rPr>
          <t xml:space="preserve">
assume performed in a month
LDE: 18/4/2017. Set equal to act_dur (was 31), because once-off</t>
        </r>
      </text>
    </comment>
    <comment ref="I123" authorId="2">
      <text>
        <r>
          <rPr>
            <b/>
            <sz val="9"/>
            <color indexed="81"/>
            <rFont val="Tahoma"/>
            <family val="2"/>
          </rPr>
          <t>LA:</t>
        </r>
        <r>
          <rPr>
            <sz val="9"/>
            <color indexed="81"/>
            <rFont val="Tahoma"/>
            <family val="2"/>
          </rPr>
          <t xml:space="preserve">
Unclear how water sampling was done. Assume used a bottle with approx 2 inch opening and use as plot_res</t>
        </r>
      </text>
    </comment>
    <comment ref="M123" authorId="2">
      <text>
        <r>
          <rPr>
            <b/>
            <sz val="9"/>
            <color indexed="81"/>
            <rFont val="Tahoma"/>
            <family val="2"/>
          </rPr>
          <t>LA:</t>
        </r>
        <r>
          <rPr>
            <sz val="9"/>
            <color indexed="81"/>
            <rFont val="Tahoma"/>
            <family val="2"/>
          </rPr>
          <t xml:space="preserve">
Assume 2 mins to fill up a container with 2 liters of water
LDE: seems like 4 depths = 1 sample?  Based on comments in study_duration, so changed plot resolution accordingly</t>
        </r>
      </text>
    </comment>
    <comment ref="N123" authorId="2">
      <text>
        <r>
          <rPr>
            <b/>
            <sz val="9"/>
            <color indexed="81"/>
            <rFont val="Tahoma"/>
            <family val="2"/>
          </rPr>
          <t>LA:</t>
        </r>
        <r>
          <rPr>
            <sz val="9"/>
            <color indexed="81"/>
            <rFont val="Tahoma"/>
            <family val="2"/>
          </rPr>
          <t xml:space="preserve">
Assume approximately one hour to reach the next sampling depth
LDE: if this is a one-off sample, but there are multiple depth on the sample, just integrate, under samp_duration, the time estimate to collect one measurement, and set this to 0 (since it is effectively once-off)
</t>
        </r>
      </text>
    </comment>
    <comment ref="O123" authorId="2">
      <text>
        <r>
          <rPr>
            <b/>
            <sz val="9"/>
            <color indexed="81"/>
            <rFont val="Tahoma"/>
            <family val="2"/>
          </rPr>
          <t>LA:</t>
        </r>
        <r>
          <rPr>
            <sz val="9"/>
            <color indexed="81"/>
            <rFont val="Tahoma"/>
            <family val="2"/>
          </rPr>
          <t xml:space="preserve">
Assume samp_duration*4 - Bismarck @ 3000 &amp; 4000 (meters) ; Titanic @ 3000 &amp; 3,700 (meters) 
LDE: see plot_res comments. Changed accordingly</t>
        </r>
      </text>
    </comment>
    <comment ref="P123" authorId="2">
      <text>
        <r>
          <rPr>
            <b/>
            <sz val="9"/>
            <color indexed="81"/>
            <rFont val="Tahoma"/>
            <family val="2"/>
          </rPr>
          <t>LA:</t>
        </r>
        <r>
          <rPr>
            <sz val="9"/>
            <color indexed="81"/>
            <rFont val="Tahoma"/>
            <family val="2"/>
          </rPr>
          <t xml:space="preserve">
Unclear when study took place. Assume it took 30 days.
LDE: 18/4/2017. Changed from 30 days to act_dur, because once-off</t>
        </r>
      </text>
    </comment>
    <comment ref="I124" authorId="2">
      <text>
        <r>
          <rPr>
            <b/>
            <sz val="9"/>
            <color indexed="81"/>
            <rFont val="Tahoma"/>
            <family val="2"/>
          </rPr>
          <t>LA:</t>
        </r>
        <r>
          <rPr>
            <sz val="9"/>
            <color indexed="81"/>
            <rFont val="Tahoma"/>
            <family val="2"/>
          </rPr>
          <t xml:space="preserve">
Core size uncertain. Assume 10 cm core diameter</t>
        </r>
      </text>
    </comment>
    <comment ref="K124" authorId="0">
      <text>
        <r>
          <rPr>
            <b/>
            <sz val="9"/>
            <color indexed="81"/>
            <rFont val="Calibri"/>
            <family val="2"/>
          </rPr>
          <t>Lyndon Estes:</t>
        </r>
        <r>
          <rPr>
            <sz val="9"/>
            <color indexed="81"/>
            <rFont val="Calibri"/>
            <family val="2"/>
          </rPr>
          <t xml:space="preserve">
assume 100 m hydrothermal vent ecosystem diameter</t>
        </r>
      </text>
    </comment>
    <comment ref="M124" authorId="2">
      <text>
        <r>
          <rPr>
            <b/>
            <sz val="9"/>
            <color indexed="81"/>
            <rFont val="Tahoma"/>
            <family val="2"/>
          </rPr>
          <t>LA:</t>
        </r>
        <r>
          <rPr>
            <sz val="9"/>
            <color indexed="81"/>
            <rFont val="Tahoma"/>
            <family val="2"/>
          </rPr>
          <t xml:space="preserve">
Assume 5 mins to drill a core</t>
        </r>
      </text>
    </comment>
    <comment ref="N124" authorId="2">
      <text>
        <r>
          <rPr>
            <b/>
            <sz val="9"/>
            <color indexed="81"/>
            <rFont val="Tahoma"/>
            <family val="2"/>
          </rPr>
          <t>LA:</t>
        </r>
        <r>
          <rPr>
            <sz val="9"/>
            <color indexed="81"/>
            <rFont val="Tahoma"/>
            <family val="2"/>
          </rPr>
          <t xml:space="preserve">
Assume 1 hr between each sample site
LDE: if there is only one replicate, and if this only once-off, this should be set to 0</t>
        </r>
      </text>
    </comment>
    <comment ref="O124" authorId="2">
      <text>
        <r>
          <rPr>
            <b/>
            <sz val="9"/>
            <color indexed="81"/>
            <rFont val="Tahoma"/>
            <family val="2"/>
          </rPr>
          <t>LA:</t>
        </r>
        <r>
          <rPr>
            <sz val="9"/>
            <color indexed="81"/>
            <rFont val="Tahoma"/>
            <family val="2"/>
          </rPr>
          <t xml:space="preserve">
samp_duration*1
LDE: this seems inconsistent with samp_duration and t_btwn_samp</t>
        </r>
      </text>
    </comment>
    <comment ref="P124" authorId="2">
      <text>
        <r>
          <rPr>
            <b/>
            <sz val="9"/>
            <color indexed="81"/>
            <rFont val="Tahoma"/>
            <family val="2"/>
          </rPr>
          <t>LA:</t>
        </r>
        <r>
          <rPr>
            <sz val="9"/>
            <color indexed="81"/>
            <rFont val="Tahoma"/>
            <family val="2"/>
          </rPr>
          <t xml:space="preserve">
Assume 30 days study span. Including 15 days the length of the actual survey
LDE: 18/4/2017. Changed from 30 days to act_dur, because once-off</t>
        </r>
      </text>
    </comment>
    <comment ref="I125" authorId="2">
      <text>
        <r>
          <rPr>
            <b/>
            <sz val="9"/>
            <color indexed="81"/>
            <rFont val="Tahoma"/>
            <family val="2"/>
          </rPr>
          <t>LA:</t>
        </r>
        <r>
          <rPr>
            <sz val="9"/>
            <color indexed="81"/>
            <rFont val="Tahoma"/>
            <family val="2"/>
          </rPr>
          <t xml:space="preserve">
Unclear how water sampling was done. Assume used a bottle with approx 2 inch opening and use as plot_res</t>
        </r>
      </text>
    </comment>
    <comment ref="K125" authorId="0">
      <text>
        <r>
          <rPr>
            <b/>
            <sz val="9"/>
            <color indexed="81"/>
            <rFont val="Calibri"/>
            <family val="2"/>
          </rPr>
          <t>Lyndon Estes:</t>
        </r>
        <r>
          <rPr>
            <sz val="9"/>
            <color indexed="81"/>
            <rFont val="Calibri"/>
            <family val="2"/>
          </rPr>
          <t xml:space="preserve">
assume 100 m hydrothermal vent ecosystem diameter</t>
        </r>
      </text>
    </comment>
    <comment ref="M125" authorId="2">
      <text>
        <r>
          <rPr>
            <b/>
            <sz val="9"/>
            <color indexed="81"/>
            <rFont val="Tahoma"/>
            <family val="2"/>
          </rPr>
          <t>LA:</t>
        </r>
        <r>
          <rPr>
            <sz val="9"/>
            <color indexed="81"/>
            <rFont val="Tahoma"/>
            <family val="2"/>
          </rPr>
          <t xml:space="preserve">
Assume 15 days of fluid exposure as the entire sample duration</t>
        </r>
      </text>
    </comment>
    <comment ref="N125" authorId="2">
      <text>
        <r>
          <rPr>
            <b/>
            <sz val="9"/>
            <color indexed="81"/>
            <rFont val="Tahoma"/>
            <family val="2"/>
          </rPr>
          <t>LA:</t>
        </r>
        <r>
          <rPr>
            <sz val="9"/>
            <color indexed="81"/>
            <rFont val="Tahoma"/>
            <family val="2"/>
          </rPr>
          <t xml:space="preserve">
Assume 1 hr between each sample site
LDE: if there is only one replicate, and if this only once-off, this should be set to 0</t>
        </r>
      </text>
    </comment>
    <comment ref="O125" authorId="2">
      <text>
        <r>
          <rPr>
            <b/>
            <sz val="9"/>
            <color indexed="81"/>
            <rFont val="Tahoma"/>
            <family val="2"/>
          </rPr>
          <t>LA:</t>
        </r>
        <r>
          <rPr>
            <sz val="9"/>
            <color indexed="81"/>
            <rFont val="Tahoma"/>
            <family val="2"/>
          </rPr>
          <t xml:space="preserve">
15 day survey
LDE: this seems inconsistent with samp_duration and t_btwn_samp</t>
        </r>
      </text>
    </comment>
    <comment ref="P125" authorId="2">
      <text>
        <r>
          <rPr>
            <b/>
            <sz val="9"/>
            <color indexed="81"/>
            <rFont val="Tahoma"/>
            <family val="2"/>
          </rPr>
          <t>LA:</t>
        </r>
        <r>
          <rPr>
            <sz val="9"/>
            <color indexed="81"/>
            <rFont val="Tahoma"/>
            <family val="2"/>
          </rPr>
          <t xml:space="preserve">
Assume 30 days study span. Including 15 days the length of the actual survey
LDE: 18/4/2017. Changed from 31 days to act_dur, because once-off</t>
        </r>
      </text>
    </comment>
    <comment ref="I126" authorId="2">
      <text>
        <r>
          <rPr>
            <b/>
            <sz val="9"/>
            <color indexed="81"/>
            <rFont val="Tahoma"/>
            <family val="2"/>
          </rPr>
          <t>LA:</t>
        </r>
        <r>
          <rPr>
            <sz val="9"/>
            <color indexed="81"/>
            <rFont val="Tahoma"/>
            <family val="2"/>
          </rPr>
          <t xml:space="preserve">
Unclear how water sampling was done. Assume used a bottle with approx 2 inch opening and use as plot_res</t>
        </r>
      </text>
    </comment>
    <comment ref="M126" authorId="2">
      <text>
        <r>
          <rPr>
            <b/>
            <sz val="9"/>
            <color indexed="81"/>
            <rFont val="Tahoma"/>
            <family val="2"/>
          </rPr>
          <t>LA:</t>
        </r>
        <r>
          <rPr>
            <sz val="9"/>
            <color indexed="81"/>
            <rFont val="Tahoma"/>
            <family val="2"/>
          </rPr>
          <t xml:space="preserve">
Assume 1 min to collect sample</t>
        </r>
      </text>
    </comment>
    <comment ref="N126" authorId="2">
      <text>
        <r>
          <rPr>
            <b/>
            <sz val="9"/>
            <color indexed="81"/>
            <rFont val="Tahoma"/>
            <family val="2"/>
          </rPr>
          <t>LA:</t>
        </r>
        <r>
          <rPr>
            <sz val="9"/>
            <color indexed="81"/>
            <rFont val="Tahoma"/>
            <family val="2"/>
          </rPr>
          <t xml:space="preserve">
Assume 1 hr between each sample depth
LDE: if this is a one-off sample, but there are multiple depth on the sample, just integrate, under samp_duration, the time estimate to collect one measurement, and set this to 0 (since it is effectively once-off)
Corrected to 0 because study_duration == samp_duration</t>
        </r>
      </text>
    </comment>
    <comment ref="P126" authorId="2">
      <text>
        <r>
          <rPr>
            <b/>
            <sz val="9"/>
            <color indexed="81"/>
            <rFont val="Tahoma"/>
            <family val="2"/>
          </rPr>
          <t>LA:</t>
        </r>
        <r>
          <rPr>
            <sz val="9"/>
            <color indexed="81"/>
            <rFont val="Tahoma"/>
            <family val="2"/>
          </rPr>
          <t xml:space="preserve">
December, 1998
LDE: 18/4/2017. Changed from 30 days to act_dur, because once-off</t>
        </r>
      </text>
    </comment>
    <comment ref="I127" authorId="2">
      <text>
        <r>
          <rPr>
            <b/>
            <sz val="9"/>
            <color indexed="81"/>
            <rFont val="Tahoma"/>
            <family val="2"/>
          </rPr>
          <t>LA:</t>
        </r>
        <r>
          <rPr>
            <sz val="9"/>
            <color indexed="81"/>
            <rFont val="Tahoma"/>
            <family val="2"/>
          </rPr>
          <t xml:space="preserve">
Core size uncertain. Assume 10 cm core diameter</t>
        </r>
      </text>
    </comment>
    <comment ref="M127" authorId="2">
      <text>
        <r>
          <rPr>
            <b/>
            <sz val="9"/>
            <color indexed="81"/>
            <rFont val="Tahoma"/>
            <family val="2"/>
          </rPr>
          <t>LA:</t>
        </r>
        <r>
          <rPr>
            <sz val="9"/>
            <color indexed="81"/>
            <rFont val="Tahoma"/>
            <family val="2"/>
          </rPr>
          <t xml:space="preserve">
Assume 5 mins to drill a core</t>
        </r>
      </text>
    </comment>
    <comment ref="N127" authorId="2">
      <text>
        <r>
          <rPr>
            <b/>
            <sz val="9"/>
            <color indexed="81"/>
            <rFont val="Tahoma"/>
            <family val="2"/>
          </rPr>
          <t>LA:</t>
        </r>
        <r>
          <rPr>
            <sz val="9"/>
            <color indexed="81"/>
            <rFont val="Tahoma"/>
            <family val="2"/>
          </rPr>
          <t xml:space="preserve">
1 sample only. Three DNA extractions from single soil core</t>
        </r>
      </text>
    </comment>
    <comment ref="O127" authorId="2">
      <text>
        <r>
          <rPr>
            <b/>
            <sz val="9"/>
            <color indexed="81"/>
            <rFont val="Tahoma"/>
            <family val="2"/>
          </rPr>
          <t>LA:</t>
        </r>
        <r>
          <rPr>
            <sz val="9"/>
            <color indexed="81"/>
            <rFont val="Tahoma"/>
            <family val="2"/>
          </rPr>
          <t xml:space="preserve">
Unclear. Assigned 1 day
LDE: fixed to same as samp_duration</t>
        </r>
      </text>
    </comment>
    <comment ref="P127" authorId="2">
      <text>
        <r>
          <rPr>
            <b/>
            <sz val="9"/>
            <color indexed="81"/>
            <rFont val="Tahoma"/>
            <family val="2"/>
          </rPr>
          <t>LA:</t>
        </r>
        <r>
          <rPr>
            <sz val="9"/>
            <color indexed="81"/>
            <rFont val="Tahoma"/>
            <family val="2"/>
          </rPr>
          <t xml:space="preserve">
Unclear when study took place. Assume it took 30 days.
LDE: 18/4/2017. Changed from 30 days to act_dur, because once-off</t>
        </r>
      </text>
    </comment>
    <comment ref="I128" authorId="2">
      <text>
        <r>
          <rPr>
            <b/>
            <sz val="9"/>
            <color indexed="81"/>
            <rFont val="Tahoma"/>
            <family val="2"/>
          </rPr>
          <t>LA:</t>
        </r>
        <r>
          <rPr>
            <sz val="9"/>
            <color indexed="81"/>
            <rFont val="Tahoma"/>
            <family val="2"/>
          </rPr>
          <t xml:space="preserve">
Assume solid soil tube used with 2.5 inch diameter http://www.soilsample.com/catalog/tooling.pdf</t>
        </r>
      </text>
    </comment>
    <comment ref="K128" authorId="0">
      <text>
        <r>
          <rPr>
            <b/>
            <sz val="9"/>
            <color indexed="81"/>
            <rFont val="Calibri"/>
            <family val="2"/>
          </rPr>
          <t>Lyndon Estes:</t>
        </r>
        <r>
          <rPr>
            <sz val="9"/>
            <color indexed="81"/>
            <rFont val="Calibri"/>
            <family val="2"/>
          </rPr>
          <t xml:space="preserve">
Rough estimate of triangle drawn on Figure 1, enclosing soil samples and reference sites, using scale bar in figure to estimate sides. </t>
        </r>
      </text>
    </comment>
    <comment ref="M128" authorId="2">
      <text>
        <r>
          <rPr>
            <b/>
            <sz val="9"/>
            <color indexed="81"/>
            <rFont val="Tahoma"/>
            <family val="2"/>
          </rPr>
          <t>LA:</t>
        </r>
        <r>
          <rPr>
            <sz val="9"/>
            <color indexed="81"/>
            <rFont val="Tahoma"/>
            <family val="2"/>
          </rPr>
          <t xml:space="preserve">
10 mins per soil core</t>
        </r>
      </text>
    </comment>
    <comment ref="N128" authorId="2">
      <text>
        <r>
          <rPr>
            <b/>
            <sz val="9"/>
            <color indexed="81"/>
            <rFont val="Tahoma"/>
            <family val="2"/>
          </rPr>
          <t>LA:</t>
        </r>
        <r>
          <rPr>
            <sz val="9"/>
            <color indexed="81"/>
            <rFont val="Tahoma"/>
            <family val="2"/>
          </rPr>
          <t xml:space="preserve">
All sample sites except reference sites were 30 meters apart. Assume 5 minutes between each sample.
LDE: I fixed this to 0 because it seems that with study_duration you are saying this was a once-off, and you say that the samples were collected at different sites, 5 minutes apart, so they were not repeats</t>
        </r>
      </text>
    </comment>
    <comment ref="P128" authorId="2">
      <text>
        <r>
          <rPr>
            <b/>
            <sz val="9"/>
            <color indexed="81"/>
            <rFont val="Tahoma"/>
            <family val="2"/>
          </rPr>
          <t>LA:</t>
        </r>
        <r>
          <rPr>
            <sz val="9"/>
            <color indexed="81"/>
            <rFont val="Tahoma"/>
            <family val="2"/>
          </rPr>
          <t xml:space="preserve">
April, 2010
LDE: 18/4/2017. Once, so changed to act_dur from 30</t>
        </r>
      </text>
    </comment>
    <comment ref="I129" authorId="2">
      <text>
        <r>
          <rPr>
            <b/>
            <sz val="9"/>
            <color indexed="81"/>
            <rFont val="Tahoma"/>
            <family val="2"/>
          </rPr>
          <t>LA:</t>
        </r>
        <r>
          <rPr>
            <sz val="9"/>
            <color indexed="81"/>
            <rFont val="Tahoma"/>
            <family val="2"/>
          </rPr>
          <t xml:space="preserve">
Dimensions for each site unclear. Assume, site is circle, and use </t>
        </r>
        <r>
          <rPr>
            <i/>
            <sz val="9"/>
            <color indexed="81"/>
            <rFont val="Tahoma"/>
            <family val="2"/>
          </rPr>
          <t>M. jurtina's</t>
        </r>
        <r>
          <rPr>
            <sz val="9"/>
            <color indexed="81"/>
            <rFont val="Tahoma"/>
            <family val="2"/>
          </rPr>
          <t xml:space="preserve"> perceptual range as surrogate for diameter
LDE: 19/4/2017. Changing this from =PI()*(70/2)^2 to be the average size of a GFM, which seems a reasonable proxy for area they tracked movements of each butterfly, on average. They list average GFM as 0.75 ha</t>
        </r>
      </text>
    </comment>
    <comment ref="J129" authorId="0">
      <text>
        <r>
          <rPr>
            <b/>
            <sz val="9"/>
            <color indexed="81"/>
            <rFont val="Calibri"/>
            <family val="2"/>
          </rPr>
          <t>Lyndon Estes:</t>
        </r>
        <r>
          <rPr>
            <sz val="9"/>
            <color indexed="81"/>
            <rFont val="Calibri"/>
            <family val="2"/>
          </rPr>
          <t xml:space="preserve">
19/4/2017. Changed from 3, the number of sites listed, to the number of of butterflies tracked in GFM and control sites</t>
        </r>
      </text>
    </comment>
    <comment ref="K129" authorId="0">
      <text>
        <r>
          <rPr>
            <b/>
            <sz val="9"/>
            <color indexed="81"/>
            <rFont val="Calibri"/>
            <family val="2"/>
          </rPr>
          <t>Lyndon Estes:</t>
        </r>
        <r>
          <rPr>
            <sz val="9"/>
            <color indexed="81"/>
            <rFont val="Calibri"/>
            <family val="2"/>
          </rPr>
          <t xml:space="preserve">
Took screenshot of Fig 1 into keynote and measured base and height of triangle connecting the 3 sites. Estimated using area of triangle</t>
        </r>
      </text>
    </comment>
    <comment ref="M129" authorId="2">
      <text>
        <r>
          <rPr>
            <b/>
            <sz val="9"/>
            <color indexed="81"/>
            <rFont val="Tahoma"/>
            <family val="2"/>
          </rPr>
          <t>LA:</t>
        </r>
        <r>
          <rPr>
            <sz val="9"/>
            <color indexed="81"/>
            <rFont val="Tahoma"/>
            <family val="2"/>
          </rPr>
          <t xml:space="preserve">
Unclear how long sample collections were done at each site. Highly variable, so assume 8 am to 5 pm (c.a. 9h) spent at one site
LDE: 19/4/2017. Changed from 9/24 because shifted unit to N butterflies. Sounds like they spent maybe 5-10 minutes observing each butterfly. I will put it down as 10 minutes</t>
        </r>
      </text>
    </comment>
    <comment ref="N129" authorId="2">
      <text>
        <r>
          <rPr>
            <b/>
            <sz val="9"/>
            <color indexed="81"/>
            <rFont val="Tahoma"/>
            <family val="2"/>
          </rPr>
          <t>LA:</t>
        </r>
        <r>
          <rPr>
            <sz val="9"/>
            <color indexed="81"/>
            <rFont val="Tahoma"/>
            <family val="2"/>
          </rPr>
          <t xml:space="preserve">
Unclear assume 1 day between each site
LDE: if these once-off (sampled one time at each site), then this should be 0</t>
        </r>
      </text>
    </comment>
    <comment ref="O129" authorId="2">
      <text>
        <r>
          <rPr>
            <b/>
            <sz val="9"/>
            <color indexed="81"/>
            <rFont val="Tahoma"/>
            <family val="2"/>
          </rPr>
          <t>LA:</t>
        </r>
        <r>
          <rPr>
            <sz val="9"/>
            <color indexed="81"/>
            <rFont val="Tahoma"/>
            <family val="2"/>
          </rPr>
          <t xml:space="preserve">
Uncertain assume sampling done at each site at least once
LDE: if only once per site, then this should equal samp_duration</t>
        </r>
      </text>
    </comment>
    <comment ref="P129" authorId="2">
      <text>
        <r>
          <rPr>
            <b/>
            <sz val="9"/>
            <color indexed="81"/>
            <rFont val="Tahoma"/>
            <family val="2"/>
          </rPr>
          <t>LA:</t>
        </r>
        <r>
          <rPr>
            <sz val="9"/>
            <color indexed="81"/>
            <rFont val="Tahoma"/>
            <family val="2"/>
          </rPr>
          <t xml:space="preserve">
June to August, 2009
LDE: 19/4/2017: Changed from 92, the duration of data collection.  Although a case could be made that this the full study interval could be given credit, because they were integrating temporal effects, this wasn't factored into analysis. Since observations were of individuals, effective duration is time spent observing movements of a single individual</t>
        </r>
      </text>
    </comment>
    <comment ref="I130" authorId="2">
      <text>
        <r>
          <rPr>
            <b/>
            <sz val="9"/>
            <color indexed="81"/>
            <rFont val="Tahoma"/>
            <family val="2"/>
          </rPr>
          <t xml:space="preserve">LDE: 
</t>
        </r>
        <r>
          <rPr>
            <sz val="9"/>
            <color indexed="81"/>
            <rFont val="Tahoma"/>
            <family val="2"/>
          </rPr>
          <t>assume 25 cm resolution aerial photo</t>
        </r>
      </text>
    </comment>
    <comment ref="J130" authorId="0">
      <text>
        <r>
          <rPr>
            <b/>
            <sz val="9"/>
            <color indexed="81"/>
            <rFont val="Calibri"/>
            <family val="2"/>
          </rPr>
          <t>Lyndon Estes:</t>
        </r>
        <r>
          <rPr>
            <sz val="9"/>
            <color indexed="81"/>
            <rFont val="Calibri"/>
            <family val="2"/>
          </rPr>
          <t xml:space="preserve">
Backed out on N pixels from total using resolution</t>
        </r>
      </text>
    </comment>
    <comment ref="K130" authorId="0">
      <text>
        <r>
          <rPr>
            <b/>
            <sz val="9"/>
            <color indexed="81"/>
            <rFont val="Calibri"/>
            <family val="2"/>
          </rPr>
          <t>Lyndon Estes:</t>
        </r>
        <r>
          <rPr>
            <sz val="9"/>
            <color indexed="81"/>
            <rFont val="Calibri"/>
            <family val="2"/>
          </rPr>
          <t xml:space="preserve">
Area of LTER as reported in paper. Total mapping down from aerial photos</t>
        </r>
      </text>
    </comment>
    <comment ref="M130" authorId="0">
      <text>
        <r>
          <rPr>
            <b/>
            <sz val="9"/>
            <color indexed="81"/>
            <rFont val="Calibri"/>
            <family val="2"/>
          </rPr>
          <t>Lyndon Estes:</t>
        </r>
        <r>
          <rPr>
            <sz val="9"/>
            <color indexed="81"/>
            <rFont val="Calibri"/>
            <family val="2"/>
          </rPr>
          <t xml:space="preserve">
Assume instantaneous orthophotos</t>
        </r>
      </text>
    </comment>
    <comment ref="N130" authorId="2">
      <text>
        <r>
          <rPr>
            <b/>
            <sz val="9"/>
            <color indexed="81"/>
            <rFont val="Tahoma"/>
            <family val="2"/>
          </rPr>
          <t>LA:</t>
        </r>
        <r>
          <rPr>
            <sz val="9"/>
            <color indexed="81"/>
            <rFont val="Tahoma"/>
            <family val="2"/>
          </rPr>
          <t xml:space="preserve">
Unclear assume 1 day between each site
LDE: if these once-off (sampled one time at each site), then this should be 0</t>
        </r>
      </text>
    </comment>
    <comment ref="O130" authorId="2">
      <text>
        <r>
          <rPr>
            <b/>
            <sz val="9"/>
            <color indexed="81"/>
            <rFont val="Tahoma"/>
            <family val="2"/>
          </rPr>
          <t>LA:</t>
        </r>
        <r>
          <rPr>
            <sz val="9"/>
            <color indexed="81"/>
            <rFont val="Tahoma"/>
            <family val="2"/>
          </rPr>
          <t xml:space="preserve">
Uncertain assume sampling done at each site at least once
LDE: if only once per site, then this should equal samp_duration</t>
        </r>
      </text>
    </comment>
    <comment ref="P130" authorId="0">
      <text>
        <r>
          <rPr>
            <b/>
            <sz val="9"/>
            <color indexed="81"/>
            <rFont val="Calibri"/>
            <family val="2"/>
          </rPr>
          <t>Lyndon Estes:</t>
        </r>
        <r>
          <rPr>
            <sz val="9"/>
            <color indexed="81"/>
            <rFont val="Calibri"/>
            <family val="2"/>
          </rPr>
          <t xml:space="preserve">
19/4/2017: Changed from token 1 day previously used to act_duration</t>
        </r>
      </text>
    </comment>
    <comment ref="J131" authorId="2">
      <text>
        <r>
          <rPr>
            <b/>
            <sz val="9"/>
            <color indexed="81"/>
            <rFont val="Tahoma"/>
            <family val="2"/>
          </rPr>
          <t>LA:</t>
        </r>
        <r>
          <rPr>
            <sz val="9"/>
            <color indexed="81"/>
            <rFont val="Tahoma"/>
            <family val="2"/>
          </rPr>
          <t xml:space="preserve">
Total of 16 regions, each region has 27 transects, and each transect has 10 quadrats.</t>
        </r>
      </text>
    </comment>
    <comment ref="K131" authorId="0">
      <text>
        <r>
          <rPr>
            <b/>
            <sz val="9"/>
            <color indexed="81"/>
            <rFont val="Calibri"/>
            <family val="2"/>
          </rPr>
          <t>Lyndon Estes:</t>
        </r>
        <r>
          <rPr>
            <sz val="9"/>
            <color indexed="81"/>
            <rFont val="Calibri"/>
            <family val="2"/>
          </rPr>
          <t xml:space="preserve">
Two possible ways to score this.  First, the way I have done it. 
Length of Western coastline  from http://www.infoplease.com/ipa/A0001801.html
converted to meters and multiplied by width of three transects in figure 2 (20 m).  This gives credit for the whole coastline.  
The second way is (20000 * 20) / 10000 * 16, which is summing the approximate area of each site</t>
        </r>
      </text>
    </comment>
    <comment ref="M131" authorId="2">
      <text>
        <r>
          <rPr>
            <b/>
            <sz val="9"/>
            <color indexed="81"/>
            <rFont val="Tahoma"/>
            <family val="2"/>
          </rPr>
          <t>LA:</t>
        </r>
        <r>
          <rPr>
            <sz val="9"/>
            <color indexed="81"/>
            <rFont val="Tahoma"/>
            <family val="2"/>
          </rPr>
          <t xml:space="preserve">
Assuming 10 minutes to collect the information at each quadrat</t>
        </r>
      </text>
    </comment>
    <comment ref="N131" authorId="2">
      <text>
        <r>
          <rPr>
            <b/>
            <sz val="9"/>
            <color indexed="81"/>
            <rFont val="Tahoma"/>
            <family val="2"/>
          </rPr>
          <t>LA:</t>
        </r>
        <r>
          <rPr>
            <sz val="9"/>
            <color indexed="81"/>
            <rFont val="Tahoma"/>
            <family val="2"/>
          </rPr>
          <t xml:space="preserve">
annual sampling</t>
        </r>
      </text>
    </comment>
    <comment ref="O131" authorId="2">
      <text>
        <r>
          <rPr>
            <b/>
            <sz val="9"/>
            <color indexed="81"/>
            <rFont val="Tahoma"/>
            <family val="2"/>
          </rPr>
          <t>LA:</t>
        </r>
        <r>
          <rPr>
            <sz val="9"/>
            <color indexed="81"/>
            <rFont val="Tahoma"/>
            <family val="2"/>
          </rPr>
          <t xml:space="preserve">
Annual sampling form 2000 to 2004</t>
        </r>
      </text>
    </comment>
    <comment ref="P131" authorId="2">
      <text>
        <r>
          <rPr>
            <b/>
            <sz val="9"/>
            <color indexed="81"/>
            <rFont val="Tahoma"/>
            <family val="2"/>
          </rPr>
          <t>LA:</t>
        </r>
        <r>
          <rPr>
            <sz val="9"/>
            <color indexed="81"/>
            <rFont val="Tahoma"/>
            <family val="2"/>
          </rPr>
          <t xml:space="preserve">
2000 to 2004</t>
        </r>
      </text>
    </comment>
    <comment ref="E132" authorId="0">
      <text>
        <r>
          <rPr>
            <b/>
            <sz val="9"/>
            <color indexed="81"/>
            <rFont val="Calibri"/>
            <family val="2"/>
          </rPr>
          <t>Lyndon Estes:</t>
        </r>
        <r>
          <rPr>
            <sz val="9"/>
            <color indexed="81"/>
            <rFont val="Calibri"/>
            <family val="2"/>
          </rPr>
          <t xml:space="preserve">
17/5/2017: Corrected year of study (was 2010)</t>
        </r>
      </text>
    </comment>
    <comment ref="I132" authorId="2">
      <text>
        <r>
          <rPr>
            <b/>
            <sz val="9"/>
            <color indexed="81"/>
            <rFont val="Tahoma"/>
            <family val="2"/>
          </rPr>
          <t>LA:</t>
        </r>
        <r>
          <rPr>
            <sz val="9"/>
            <color indexed="81"/>
            <rFont val="Tahoma"/>
            <family val="2"/>
          </rPr>
          <t xml:space="preserve">
Assume arctic fox as plot resolution - mean length head to tail and approximated width of the AF</t>
        </r>
      </text>
    </comment>
    <comment ref="J132" authorId="0">
      <text>
        <r>
          <rPr>
            <b/>
            <sz val="9"/>
            <color indexed="81"/>
            <rFont val="Calibri"/>
            <family val="2"/>
          </rPr>
          <t>Lyndon Estes:</t>
        </r>
        <r>
          <rPr>
            <sz val="9"/>
            <color indexed="81"/>
            <rFont val="Calibri"/>
            <family val="2"/>
          </rPr>
          <t xml:space="preserve">
22/3/2017: Removed Svalbard sample (because described as a separated population), and corrected numbers summed from Table 1</t>
        </r>
      </text>
    </comment>
    <comment ref="K132" authorId="0">
      <text>
        <r>
          <rPr>
            <b/>
            <sz val="9"/>
            <color indexed="81"/>
            <rFont val="Calibri"/>
            <family val="2"/>
          </rPr>
          <t>Lyndon Estes:</t>
        </r>
        <r>
          <rPr>
            <sz val="9"/>
            <color indexed="81"/>
            <rFont val="Calibri"/>
            <family val="2"/>
          </rPr>
          <t xml:space="preserve">
Enclosed area on my maps in Figure 1 of Carmichael et al (2007)</t>
        </r>
      </text>
    </comment>
    <comment ref="M132" authorId="2">
      <text>
        <r>
          <rPr>
            <b/>
            <sz val="9"/>
            <color indexed="81"/>
            <rFont val="Tahoma"/>
            <family val="2"/>
          </rPr>
          <t>LA:</t>
        </r>
        <r>
          <rPr>
            <sz val="9"/>
            <color indexed="81"/>
            <rFont val="Tahoma"/>
            <family val="2"/>
          </rPr>
          <t xml:space="preserve">
Assume at least 15 mins to obtain various types of DNA samples such as fecal samples, hair samples etc from caught or dead arctic foxes</t>
        </r>
      </text>
    </comment>
    <comment ref="N132" authorId="2">
      <text>
        <r>
          <rPr>
            <b/>
            <sz val="9"/>
            <color indexed="81"/>
            <rFont val="Tahoma"/>
            <family val="2"/>
          </rPr>
          <t>LA:</t>
        </r>
        <r>
          <rPr>
            <sz val="9"/>
            <color indexed="81"/>
            <rFont val="Tahoma"/>
            <family val="2"/>
          </rPr>
          <t xml:space="preserve">
Assume at least two days given vast sampling area
LDE: set to 0 because this seems to be once-off per your study_duration fixes</t>
        </r>
      </text>
    </comment>
    <comment ref="O132" authorId="2">
      <text>
        <r>
          <rPr>
            <b/>
            <sz val="9"/>
            <color indexed="81"/>
            <rFont val="Tahoma"/>
            <family val="2"/>
          </rPr>
          <t>LA:</t>
        </r>
        <r>
          <rPr>
            <sz val="9"/>
            <color indexed="81"/>
            <rFont val="Tahoma"/>
            <family val="2"/>
          </rPr>
          <t xml:space="preserve">
Assume that 1507 samples collection x samp_duration
LDE 19/4/2017: This looks like it was corrected at some stage</t>
        </r>
      </text>
    </comment>
    <comment ref="P132" authorId="2">
      <text>
        <r>
          <rPr>
            <b/>
            <sz val="9"/>
            <color indexed="81"/>
            <rFont val="Tahoma"/>
            <family val="2"/>
          </rPr>
          <t>LA:</t>
        </r>
        <r>
          <rPr>
            <sz val="9"/>
            <color indexed="81"/>
            <rFont val="Tahoma"/>
            <family val="2"/>
          </rPr>
          <t xml:space="preserve">
Assume year long sampling study
LDE 19/4/2017: Changed from 365 to act_dur. However, there's a case to be made that the eff duration of a genetics study would be the average lifespan of an arctic fox, because the DNA examined would not change over that fox's lifespan.  To be consistent with other studies, this is left as is. 
To ponder for revision.   </t>
        </r>
      </text>
    </comment>
    <comment ref="W132" authorId="0">
      <text>
        <r>
          <rPr>
            <b/>
            <sz val="9"/>
            <color indexed="81"/>
            <rFont val="Calibri"/>
            <family val="2"/>
          </rPr>
          <t>Lyndon Estes:</t>
        </r>
        <r>
          <rPr>
            <sz val="9"/>
            <color indexed="81"/>
            <rFont val="Calibri"/>
            <family val="2"/>
          </rPr>
          <t xml:space="preserve">
22 March, 2017
Separated Svalbard here</t>
        </r>
      </text>
    </comment>
    <comment ref="E133" authorId="0">
      <text>
        <r>
          <rPr>
            <b/>
            <sz val="9"/>
            <color indexed="81"/>
            <rFont val="Calibri"/>
            <family val="2"/>
          </rPr>
          <t>Lyndon Estes:</t>
        </r>
        <r>
          <rPr>
            <sz val="9"/>
            <color indexed="81"/>
            <rFont val="Calibri"/>
            <family val="2"/>
          </rPr>
          <t xml:space="preserve">
17/5/2017: Corrected year of study (was 2010)</t>
        </r>
      </text>
    </comment>
    <comment ref="I133" authorId="2">
      <text>
        <r>
          <rPr>
            <b/>
            <sz val="9"/>
            <color indexed="81"/>
            <rFont val="Tahoma"/>
            <family val="2"/>
          </rPr>
          <t>LA:</t>
        </r>
        <r>
          <rPr>
            <sz val="9"/>
            <color indexed="81"/>
            <rFont val="Tahoma"/>
            <family val="2"/>
          </rPr>
          <t xml:space="preserve">
Assume arctic fox as plot resolution - mean length head to tail and approximated width of the AF</t>
        </r>
      </text>
    </comment>
    <comment ref="K133" authorId="0">
      <text>
        <r>
          <rPr>
            <b/>
            <sz val="9"/>
            <color indexed="81"/>
            <rFont val="Calibri"/>
            <family val="2"/>
          </rPr>
          <t>Lyndon Estes:</t>
        </r>
        <r>
          <rPr>
            <sz val="9"/>
            <color indexed="81"/>
            <rFont val="Calibri"/>
            <family val="2"/>
          </rPr>
          <t xml:space="preserve">
Svalbard archipelago, digisitized from Carmichael et al (2007) Fig 1</t>
        </r>
      </text>
    </comment>
    <comment ref="M133" authorId="2">
      <text>
        <r>
          <rPr>
            <b/>
            <sz val="9"/>
            <color indexed="81"/>
            <rFont val="Tahoma"/>
            <family val="2"/>
          </rPr>
          <t>LA:</t>
        </r>
        <r>
          <rPr>
            <sz val="9"/>
            <color indexed="81"/>
            <rFont val="Tahoma"/>
            <family val="2"/>
          </rPr>
          <t xml:space="preserve">
Assume at least 15 mins to obtain various types of DNA samples such as fecal samples, hair samples etc from caught or dead arctic foxes</t>
        </r>
      </text>
    </comment>
    <comment ref="N133" authorId="2">
      <text>
        <r>
          <rPr>
            <b/>
            <sz val="9"/>
            <color indexed="81"/>
            <rFont val="Tahoma"/>
            <family val="2"/>
          </rPr>
          <t>LA:</t>
        </r>
        <r>
          <rPr>
            <sz val="9"/>
            <color indexed="81"/>
            <rFont val="Tahoma"/>
            <family val="2"/>
          </rPr>
          <t xml:space="preserve">
Assume at least two days given vast sampling area
LDE: set to 0 because this seems to be once-off per your study_duration fixes</t>
        </r>
      </text>
    </comment>
    <comment ref="O133" authorId="2">
      <text>
        <r>
          <rPr>
            <b/>
            <sz val="9"/>
            <color indexed="81"/>
            <rFont val="Tahoma"/>
            <family val="2"/>
          </rPr>
          <t>LA:</t>
        </r>
        <r>
          <rPr>
            <sz val="9"/>
            <color indexed="81"/>
            <rFont val="Tahoma"/>
            <family val="2"/>
          </rPr>
          <t xml:space="preserve">
Assume that 1507 samples collection x samp_duration</t>
        </r>
      </text>
    </comment>
    <comment ref="P133" authorId="2">
      <text>
        <r>
          <rPr>
            <b/>
            <sz val="9"/>
            <color indexed="81"/>
            <rFont val="Tahoma"/>
            <family val="2"/>
          </rPr>
          <t>LA:</t>
        </r>
        <r>
          <rPr>
            <sz val="9"/>
            <color indexed="81"/>
            <rFont val="Tahoma"/>
            <family val="2"/>
          </rPr>
          <t xml:space="preserve">
Assume year long sampling study
LDE 19/4/2017: Changed from 365 to act_dur. However, there's a case to be made that the eff duration of a genetics study would be the average lifespan of an arctic fox, because the DNA examined would not change over that fox's lifespan.  To be consistent with other studies, this is left as is. 
To ponder for revision.   </t>
        </r>
      </text>
    </comment>
    <comment ref="E134" authorId="0">
      <text>
        <r>
          <rPr>
            <b/>
            <sz val="9"/>
            <color indexed="81"/>
            <rFont val="Calibri"/>
            <family val="2"/>
          </rPr>
          <t>Lyndon Estes:</t>
        </r>
        <r>
          <rPr>
            <sz val="9"/>
            <color indexed="81"/>
            <rFont val="Calibri"/>
            <family val="2"/>
          </rPr>
          <t xml:space="preserve">
17/5/2017: Corrected year of study (was 2010)</t>
        </r>
      </text>
    </comment>
    <comment ref="I134" authorId="2">
      <text>
        <r>
          <rPr>
            <b/>
            <sz val="9"/>
            <color indexed="81"/>
            <rFont val="Tahoma"/>
            <family val="2"/>
          </rPr>
          <t>LA:</t>
        </r>
        <r>
          <rPr>
            <sz val="9"/>
            <color indexed="81"/>
            <rFont val="Tahoma"/>
            <family val="2"/>
          </rPr>
          <t xml:space="preserve">
Assume arctic fox as plot resolution - mean length head to tail and approximated width of the AF</t>
        </r>
      </text>
    </comment>
    <comment ref="K134" authorId="0">
      <text>
        <r>
          <rPr>
            <b/>
            <sz val="9"/>
            <color indexed="81"/>
            <rFont val="Calibri"/>
            <family val="2"/>
          </rPr>
          <t>Lyndon Estes:</t>
        </r>
        <r>
          <rPr>
            <sz val="9"/>
            <color indexed="81"/>
            <rFont val="Calibri"/>
            <family val="2"/>
          </rPr>
          <t xml:space="preserve">
Icelandic population from Noren et al (2009), Figure 1, digitized in my maps</t>
        </r>
      </text>
    </comment>
    <comment ref="M134" authorId="2">
      <text>
        <r>
          <rPr>
            <b/>
            <sz val="9"/>
            <color indexed="81"/>
            <rFont val="Tahoma"/>
            <family val="2"/>
          </rPr>
          <t>LA:</t>
        </r>
        <r>
          <rPr>
            <sz val="9"/>
            <color indexed="81"/>
            <rFont val="Tahoma"/>
            <family val="2"/>
          </rPr>
          <t xml:space="preserve">
Assume 30 mins for dissection and tissue extraction</t>
        </r>
      </text>
    </comment>
    <comment ref="N134" authorId="2">
      <text>
        <r>
          <rPr>
            <b/>
            <sz val="9"/>
            <color indexed="81"/>
            <rFont val="Tahoma"/>
            <family val="2"/>
          </rPr>
          <t>LA:</t>
        </r>
        <r>
          <rPr>
            <sz val="9"/>
            <color indexed="81"/>
            <rFont val="Tahoma"/>
            <family val="2"/>
          </rPr>
          <t xml:space="preserve">
Assume approximately 5 hours between each site for sampling.
LDE: set to 0 because this seems to be once-off per your study_duration fixes</t>
        </r>
      </text>
    </comment>
    <comment ref="P134" authorId="2">
      <text>
        <r>
          <rPr>
            <b/>
            <sz val="9"/>
            <color indexed="81"/>
            <rFont val="Tahoma"/>
            <family val="2"/>
          </rPr>
          <t>LA:</t>
        </r>
        <r>
          <rPr>
            <sz val="9"/>
            <color indexed="81"/>
            <rFont val="Tahoma"/>
            <family val="2"/>
          </rPr>
          <t xml:space="preserve">
1999 to 2007
LDE 19/4/2017: Changed from 2922 to act_dur. However, there's a case to be made that the eff duration of a genetics study would be the average lifespan of an arctic fox, because the DNA examined would not change over that fox's lifespan.  To be consistent with other studies, this is left as is. 
To ponder for revision.   </t>
        </r>
      </text>
    </comment>
    <comment ref="E135" authorId="0">
      <text>
        <r>
          <rPr>
            <b/>
            <sz val="9"/>
            <color indexed="81"/>
            <rFont val="Calibri"/>
            <family val="2"/>
          </rPr>
          <t>Lyndon Estes:</t>
        </r>
        <r>
          <rPr>
            <sz val="9"/>
            <color indexed="81"/>
            <rFont val="Calibri"/>
            <family val="2"/>
          </rPr>
          <t xml:space="preserve">
17/5/2017: Corrected year of study (was 2010)</t>
        </r>
      </text>
    </comment>
    <comment ref="I135" authorId="2">
      <text>
        <r>
          <rPr>
            <b/>
            <sz val="9"/>
            <color indexed="81"/>
            <rFont val="Tahoma"/>
            <family val="2"/>
          </rPr>
          <t>LA:</t>
        </r>
        <r>
          <rPr>
            <sz val="9"/>
            <color indexed="81"/>
            <rFont val="Tahoma"/>
            <family val="2"/>
          </rPr>
          <t xml:space="preserve">
Assume arctic fox as plot resolution - mean length head to tail and approximated width of the AF</t>
        </r>
      </text>
    </comment>
    <comment ref="K135" authorId="0">
      <text>
        <r>
          <rPr>
            <b/>
            <sz val="9"/>
            <color indexed="81"/>
            <rFont val="Calibri"/>
            <family val="2"/>
          </rPr>
          <t xml:space="preserve">Lyndon Estes:
</t>
        </r>
        <r>
          <rPr>
            <sz val="9"/>
            <color indexed="81"/>
            <rFont val="Calibri"/>
            <family val="2"/>
          </rPr>
          <t>Digitized locations in Dalen et al (2006), Figure 1, in mymap</t>
        </r>
        <r>
          <rPr>
            <b/>
            <sz val="9"/>
            <color indexed="81"/>
            <rFont val="Calibri"/>
            <family val="2"/>
          </rPr>
          <t>s</t>
        </r>
      </text>
    </comment>
    <comment ref="M135" authorId="2">
      <text>
        <r>
          <rPr>
            <b/>
            <sz val="9"/>
            <color indexed="81"/>
            <rFont val="Tahoma"/>
            <family val="2"/>
          </rPr>
          <t>LA:</t>
        </r>
        <r>
          <rPr>
            <sz val="9"/>
            <color indexed="81"/>
            <rFont val="Tahoma"/>
            <family val="2"/>
          </rPr>
          <t xml:space="preserve">
Assume at least 15 mins to obtain various types of DNA samples such as fecal samples, hair samples etc from caught or dead arctic foxes</t>
        </r>
      </text>
    </comment>
    <comment ref="N135" authorId="2">
      <text>
        <r>
          <rPr>
            <b/>
            <sz val="9"/>
            <color indexed="81"/>
            <rFont val="Tahoma"/>
            <family val="2"/>
          </rPr>
          <t>LA:</t>
        </r>
        <r>
          <rPr>
            <sz val="9"/>
            <color indexed="81"/>
            <rFont val="Tahoma"/>
            <family val="2"/>
          </rPr>
          <t xml:space="preserve">
Assume approximately 5 hours between each site for sampling.
LDE: set to 0 because this seems to be once-off per your study_duration fixes</t>
        </r>
      </text>
    </comment>
    <comment ref="P135" authorId="2">
      <text>
        <r>
          <rPr>
            <b/>
            <sz val="9"/>
            <color indexed="81"/>
            <rFont val="Tahoma"/>
            <family val="2"/>
          </rPr>
          <t>LA:</t>
        </r>
        <r>
          <rPr>
            <sz val="9"/>
            <color indexed="81"/>
            <rFont val="Tahoma"/>
            <family val="2"/>
          </rPr>
          <t xml:space="preserve">
1989 to 2004
LDE 19/4/2017: Changed from 5478 to act_dur. However, there's a case to be made that the eff duration of a genetics study would be the average lifespan of an arctic fox, because the DNA examined would not change over that fox's lifespan.  To be consistent with other studies, this is left as is. 
To ponder for revision.   </t>
        </r>
      </text>
    </comment>
    <comment ref="E136" authorId="0">
      <text>
        <r>
          <rPr>
            <b/>
            <sz val="9"/>
            <color indexed="81"/>
            <rFont val="Calibri"/>
            <family val="2"/>
          </rPr>
          <t>Lyndon Estes:</t>
        </r>
        <r>
          <rPr>
            <sz val="9"/>
            <color indexed="81"/>
            <rFont val="Calibri"/>
            <family val="2"/>
          </rPr>
          <t xml:space="preserve">
17/5/2017: Corrected year of study (was 2010)</t>
        </r>
      </text>
    </comment>
    <comment ref="I136" authorId="2">
      <text>
        <r>
          <rPr>
            <b/>
            <sz val="9"/>
            <color indexed="81"/>
            <rFont val="Tahoma"/>
            <family val="2"/>
          </rPr>
          <t>LA:</t>
        </r>
        <r>
          <rPr>
            <sz val="9"/>
            <color indexed="81"/>
            <rFont val="Tahoma"/>
            <family val="2"/>
          </rPr>
          <t xml:space="preserve">
Assume arctic fox as plot resolution - mean length head to tail and approximated width of the AF</t>
        </r>
      </text>
    </comment>
    <comment ref="J136" authorId="0">
      <text>
        <r>
          <rPr>
            <b/>
            <sz val="9"/>
            <color indexed="81"/>
            <rFont val="Calibri"/>
            <family val="2"/>
          </rPr>
          <t>Lyndon Estes:</t>
        </r>
        <r>
          <rPr>
            <sz val="9"/>
            <color indexed="81"/>
            <rFont val="Calibri"/>
            <family val="2"/>
          </rPr>
          <t xml:space="preserve">
22/3/2017: Added 40 samples from Siberia</t>
        </r>
      </text>
    </comment>
    <comment ref="K136" authorId="0">
      <text>
        <r>
          <rPr>
            <b/>
            <sz val="9"/>
            <color indexed="81"/>
            <rFont val="Calibri"/>
            <family val="2"/>
          </rPr>
          <t>Lyndon Estes:</t>
        </r>
        <r>
          <rPr>
            <sz val="9"/>
            <color indexed="81"/>
            <rFont val="Calibri"/>
            <family val="2"/>
          </rPr>
          <t xml:space="preserve">
Rough digitization of area between mapped locations in Dalen et al 2005 and Figure 1 in Dalen et al 2006 of Siberian locations. Rough guess as to how far inland.  Also guidance from Noren et al 2011 map. mymaps digitization.</t>
        </r>
      </text>
    </comment>
    <comment ref="M136" authorId="2">
      <text>
        <r>
          <rPr>
            <b/>
            <sz val="9"/>
            <color indexed="81"/>
            <rFont val="Tahoma"/>
            <family val="2"/>
          </rPr>
          <t>LA:</t>
        </r>
        <r>
          <rPr>
            <sz val="9"/>
            <color indexed="81"/>
            <rFont val="Tahoma"/>
            <family val="2"/>
          </rPr>
          <t xml:space="preserve">
Assume 5 mins spent collecting DNA samples</t>
        </r>
      </text>
    </comment>
    <comment ref="N136" authorId="2">
      <text>
        <r>
          <rPr>
            <b/>
            <sz val="9"/>
            <color indexed="81"/>
            <rFont val="Tahoma"/>
            <family val="2"/>
          </rPr>
          <t>LA:</t>
        </r>
        <r>
          <rPr>
            <sz val="9"/>
            <color indexed="81"/>
            <rFont val="Tahoma"/>
            <family val="2"/>
          </rPr>
          <t xml:space="preserve">
Assume 2-3 days between each sample site because of remoteness of sample sites
LDE: set to 0 because this seems to be once-off per your study_duration fixes</t>
        </r>
      </text>
    </comment>
    <comment ref="P136" authorId="2">
      <text>
        <r>
          <rPr>
            <b/>
            <sz val="9"/>
            <color indexed="81"/>
            <rFont val="Tahoma"/>
            <family val="2"/>
          </rPr>
          <t>LA:</t>
        </r>
        <r>
          <rPr>
            <sz val="9"/>
            <color indexed="81"/>
            <rFont val="Tahoma"/>
            <family val="2"/>
          </rPr>
          <t xml:space="preserve">
Assume year long sampling study
LDE 19/4/2017: Changed from 365 to act_dur. However, there's a case to be made that the eff duration of a genetics study would be the average lifespan of an arctic fox, because the DNA examined would not change over that fox's lifespan.  To be consistent with other studies, this is left as is. 
To ponder for revision.   </t>
        </r>
      </text>
    </comment>
    <comment ref="E137" authorId="0">
      <text>
        <r>
          <rPr>
            <b/>
            <sz val="9"/>
            <color indexed="81"/>
            <rFont val="Calibri"/>
            <family val="2"/>
          </rPr>
          <t>Lyndon Estes:</t>
        </r>
        <r>
          <rPr>
            <sz val="9"/>
            <color indexed="81"/>
            <rFont val="Calibri"/>
            <family val="2"/>
          </rPr>
          <t xml:space="preserve">
17/5/2017: Corrected year of study (was 2010)</t>
        </r>
      </text>
    </comment>
    <comment ref="G137" authorId="0">
      <text>
        <r>
          <rPr>
            <b/>
            <sz val="9"/>
            <color indexed="81"/>
            <rFont val="Calibri"/>
            <family val="2"/>
          </rPr>
          <t>Lyndon Estes:</t>
        </r>
        <r>
          <rPr>
            <sz val="9"/>
            <color indexed="81"/>
            <rFont val="Calibri"/>
            <family val="2"/>
          </rPr>
          <t xml:space="preserve">
22/3/2017: Removed Yamal, Taimyr and Wrangel Islands, Russia; and moved to previous</t>
        </r>
      </text>
    </comment>
    <comment ref="I137" authorId="2">
      <text>
        <r>
          <rPr>
            <b/>
            <sz val="9"/>
            <color indexed="81"/>
            <rFont val="Tahoma"/>
            <family val="2"/>
          </rPr>
          <t>LA:</t>
        </r>
        <r>
          <rPr>
            <sz val="9"/>
            <color indexed="81"/>
            <rFont val="Tahoma"/>
            <family val="2"/>
          </rPr>
          <t xml:space="preserve">
Assume arctic fox as plot resolution - mean length head to tail and approximated width of the AF</t>
        </r>
      </text>
    </comment>
    <comment ref="K137" authorId="0">
      <text>
        <r>
          <rPr>
            <b/>
            <sz val="9"/>
            <color indexed="81"/>
            <rFont val="Calibri"/>
            <family val="2"/>
          </rPr>
          <t>Lyndon Estes:</t>
        </r>
        <r>
          <rPr>
            <sz val="9"/>
            <color indexed="81"/>
            <rFont val="Calibri"/>
            <family val="2"/>
          </rPr>
          <t xml:space="preserve">
Connected dots on map (fig 2) in Noren et al (2011). Greenland. mymaps</t>
        </r>
      </text>
    </comment>
    <comment ref="M137" authorId="2">
      <text>
        <r>
          <rPr>
            <b/>
            <sz val="9"/>
            <color indexed="81"/>
            <rFont val="Tahoma"/>
            <family val="2"/>
          </rPr>
          <t>LA:</t>
        </r>
        <r>
          <rPr>
            <sz val="9"/>
            <color indexed="81"/>
            <rFont val="Tahoma"/>
            <family val="2"/>
          </rPr>
          <t xml:space="preserve">
Assume 5 mins spent collecting DNA samples</t>
        </r>
      </text>
    </comment>
    <comment ref="N137" authorId="2">
      <text>
        <r>
          <rPr>
            <b/>
            <sz val="9"/>
            <color indexed="81"/>
            <rFont val="Tahoma"/>
            <family val="2"/>
          </rPr>
          <t>LA:</t>
        </r>
        <r>
          <rPr>
            <sz val="9"/>
            <color indexed="81"/>
            <rFont val="Tahoma"/>
            <family val="2"/>
          </rPr>
          <t xml:space="preserve">
Assume at least two days given vast sampling area
LDE: set to 0 because this seems to be once-off per your study_duration fixes</t>
        </r>
      </text>
    </comment>
    <comment ref="P137" authorId="2">
      <text>
        <r>
          <rPr>
            <b/>
            <sz val="9"/>
            <color indexed="81"/>
            <rFont val="Tahoma"/>
            <family val="2"/>
          </rPr>
          <t>LA:</t>
        </r>
        <r>
          <rPr>
            <sz val="9"/>
            <color indexed="81"/>
            <rFont val="Tahoma"/>
            <family val="2"/>
          </rPr>
          <t xml:space="preserve">
Assume year long sampling study
LDE 19/4/2017: Changed from 365 to act_dur. However, there's a case to be made that the eff duration of a genetics study would be the average lifespan of an arctic fox, because the DNA examined would not change over that fox's lifespan.  To be consistent with other studies, this is left as is. 
To ponder for revision.   </t>
        </r>
      </text>
    </comment>
    <comment ref="I138" authorId="2">
      <text>
        <r>
          <rPr>
            <b/>
            <sz val="9"/>
            <color indexed="81"/>
            <rFont val="Tahoma"/>
            <family val="2"/>
          </rPr>
          <t>LA:</t>
        </r>
        <r>
          <rPr>
            <sz val="9"/>
            <color indexed="81"/>
            <rFont val="Tahoma"/>
            <family val="2"/>
          </rPr>
          <t xml:space="preserve">
Assume goat as plot_res. Mean length of adult 1.4 meters * c.a. width 0.3683 (from http://www.chuckhawks.com/kill_zone_game_animals.htm).</t>
        </r>
      </text>
    </comment>
    <comment ref="K138" authorId="0">
      <text>
        <r>
          <rPr>
            <b/>
            <sz val="9"/>
            <color indexed="81"/>
            <rFont val="Calibri"/>
            <family val="2"/>
          </rPr>
          <t>Lyndon Estes:</t>
        </r>
        <r>
          <rPr>
            <sz val="9"/>
            <color indexed="81"/>
            <rFont val="Calibri"/>
            <family val="2"/>
          </rPr>
          <t xml:space="preserve">
Digitized range size from Figure 1 in paper in mymaps</t>
        </r>
      </text>
    </comment>
    <comment ref="M138" authorId="2">
      <text>
        <r>
          <rPr>
            <b/>
            <sz val="9"/>
            <color indexed="81"/>
            <rFont val="Tahoma"/>
            <family val="2"/>
          </rPr>
          <t>LA:</t>
        </r>
        <r>
          <rPr>
            <sz val="9"/>
            <color indexed="81"/>
            <rFont val="Tahoma"/>
            <family val="2"/>
          </rPr>
          <t xml:space="preserve">
Assume 1 minute to record/log telemetry data</t>
        </r>
      </text>
    </comment>
    <comment ref="N138" authorId="2">
      <text>
        <r>
          <rPr>
            <b/>
            <sz val="9"/>
            <color indexed="81"/>
            <rFont val="Tahoma"/>
            <family val="2"/>
          </rPr>
          <t>LA:</t>
        </r>
        <r>
          <rPr>
            <sz val="9"/>
            <color indexed="81"/>
            <rFont val="Tahoma"/>
            <family val="2"/>
          </rPr>
          <t xml:space="preserve">
during migration events sampling was done every 7d and during non-migraiton seasons sampling was done twice a month c.a. 15d. </t>
        </r>
      </text>
    </comment>
    <comment ref="O138" authorId="2">
      <text>
        <r>
          <rPr>
            <b/>
            <sz val="9"/>
            <color indexed="81"/>
            <rFont val="Tahoma"/>
            <family val="2"/>
          </rPr>
          <t>LA:</t>
        </r>
        <r>
          <rPr>
            <sz val="9"/>
            <color indexed="81"/>
            <rFont val="Tahoma"/>
            <family val="2"/>
          </rPr>
          <t xml:space="preserve">
5743 telemetry locations recorded. Assume that each telemetry location equates to total number of animal sampling done from June, 2009 to August, 2005
23/3/2017:
LDE: edited, because the 5743 observations would be repeats of same animal. So found the average number of animals monitoring over all 7 years, and used that as number to divide 5743 by before calculating duration
(20+5+4+3+6+8)/6</t>
        </r>
      </text>
    </comment>
    <comment ref="P138" authorId="2">
      <text>
        <r>
          <rPr>
            <b/>
            <sz val="9"/>
            <color indexed="81"/>
            <rFont val="Tahoma"/>
            <family val="2"/>
          </rPr>
          <t>LA:</t>
        </r>
        <r>
          <rPr>
            <sz val="9"/>
            <color indexed="81"/>
            <rFont val="Tahoma"/>
            <family val="2"/>
          </rPr>
          <t xml:space="preserve">
June, 1999 to August, 2009
LDE 19/4/2017: No change, because the numbers were right, but it was actually until August, 2005</t>
        </r>
      </text>
    </comment>
    <comment ref="K139" authorId="0">
      <text>
        <r>
          <rPr>
            <b/>
            <sz val="9"/>
            <color indexed="81"/>
            <rFont val="Calibri"/>
            <family val="2"/>
          </rPr>
          <t>Lyndon Estes:</t>
        </r>
        <r>
          <rPr>
            <sz val="9"/>
            <color indexed="81"/>
            <rFont val="Calibri"/>
            <family val="2"/>
          </rPr>
          <t xml:space="preserve">
Downloaded DEM in R, digitized on top of that in QGIS to roughly estimate polygon around Fig. 1 in paper.  Area from mymaps</t>
        </r>
      </text>
    </comment>
    <comment ref="M139" authorId="2">
      <text>
        <r>
          <rPr>
            <b/>
            <sz val="9"/>
            <color indexed="81"/>
            <rFont val="Tahoma"/>
            <family val="2"/>
          </rPr>
          <t>LA:</t>
        </r>
        <r>
          <rPr>
            <sz val="9"/>
            <color indexed="81"/>
            <rFont val="Tahoma"/>
            <family val="2"/>
          </rPr>
          <t xml:space="preserve">
Assume 30 mins spent sampling each transect</t>
        </r>
      </text>
    </comment>
    <comment ref="N139" authorId="2">
      <text>
        <r>
          <rPr>
            <b/>
            <sz val="9"/>
            <color indexed="81"/>
            <rFont val="Tahoma"/>
            <family val="2"/>
          </rPr>
          <t>LA:</t>
        </r>
        <r>
          <rPr>
            <sz val="9"/>
            <color indexed="81"/>
            <rFont val="Tahoma"/>
            <family val="2"/>
          </rPr>
          <t xml:space="preserve">
yearly sampling done every 2 weeks between June to August</t>
        </r>
      </text>
    </comment>
    <comment ref="O139" authorId="2">
      <text>
        <r>
          <rPr>
            <b/>
            <sz val="9"/>
            <color indexed="81"/>
            <rFont val="Tahoma"/>
            <family val="2"/>
          </rPr>
          <t>LA:</t>
        </r>
        <r>
          <rPr>
            <sz val="9"/>
            <color indexed="81"/>
            <rFont val="Tahoma"/>
            <family val="2"/>
          </rPr>
          <t xml:space="preserve">
Assume each site sampled biweekly 5.4 times a year for three years, so s_dur*biwkly_samp*no_year</t>
        </r>
      </text>
    </comment>
    <comment ref="P139" authorId="2">
      <text>
        <r>
          <rPr>
            <b/>
            <sz val="9"/>
            <color indexed="81"/>
            <rFont val="Tahoma"/>
            <family val="2"/>
          </rPr>
          <t>LA:</t>
        </r>
        <r>
          <rPr>
            <sz val="9"/>
            <color indexed="81"/>
            <rFont val="Tahoma"/>
            <family val="2"/>
          </rPr>
          <t xml:space="preserve">
June, 2006 to August, 2008</t>
        </r>
      </text>
    </comment>
    <comment ref="K140" authorId="0">
      <text>
        <r>
          <rPr>
            <b/>
            <sz val="9"/>
            <color indexed="81"/>
            <rFont val="Calibri"/>
            <family val="2"/>
          </rPr>
          <t>Lyndon Estes:</t>
        </r>
        <r>
          <rPr>
            <sz val="9"/>
            <color indexed="81"/>
            <rFont val="Calibri"/>
            <family val="2"/>
          </rPr>
          <t xml:space="preserve">
Downloaded DEM in R, digitized on top of that in QGIS to roughly estimate polygon around Fig. 1 in paper.  Area from mymaps</t>
        </r>
      </text>
    </comment>
    <comment ref="M140" authorId="2">
      <text>
        <r>
          <rPr>
            <b/>
            <sz val="9"/>
            <color indexed="81"/>
            <rFont val="Tahoma"/>
            <family val="2"/>
          </rPr>
          <t>LA:</t>
        </r>
        <r>
          <rPr>
            <sz val="9"/>
            <color indexed="81"/>
            <rFont val="Tahoma"/>
            <family val="2"/>
          </rPr>
          <t xml:space="preserve">
10 mins per quadrat
</t>
        </r>
      </text>
    </comment>
    <comment ref="N140" authorId="2">
      <text>
        <r>
          <rPr>
            <b/>
            <sz val="9"/>
            <color indexed="81"/>
            <rFont val="Tahoma"/>
            <family val="2"/>
          </rPr>
          <t>LA:</t>
        </r>
        <r>
          <rPr>
            <sz val="9"/>
            <color indexed="81"/>
            <rFont val="Tahoma"/>
            <family val="2"/>
          </rPr>
          <t xml:space="preserve">
assume sampling for % cover &amp; vegetation height - recorded in 2006. Bare ground shrub coverage recorded in 2008.
LDE: shouldn't this be 730 because of sampling done in 2006 and 2008?
Fixed</t>
        </r>
      </text>
    </comment>
    <comment ref="O140" authorId="2">
      <text>
        <r>
          <rPr>
            <b/>
            <sz val="9"/>
            <color indexed="81"/>
            <rFont val="Tahoma"/>
            <family val="2"/>
          </rPr>
          <t>LA:</t>
        </r>
        <r>
          <rPr>
            <sz val="9"/>
            <color indexed="81"/>
            <rFont val="Tahoma"/>
            <family val="2"/>
          </rPr>
          <t xml:space="preserve">
samp_duration X sampled twice i.e 2006 &amp; 2008</t>
        </r>
      </text>
    </comment>
    <comment ref="P140" authorId="2">
      <text>
        <r>
          <rPr>
            <b/>
            <sz val="9"/>
            <color indexed="81"/>
            <rFont val="Tahoma"/>
            <family val="2"/>
          </rPr>
          <t>LA:</t>
        </r>
        <r>
          <rPr>
            <sz val="9"/>
            <color indexed="81"/>
            <rFont val="Tahoma"/>
            <family val="2"/>
          </rPr>
          <t xml:space="preserve">
June, 2006 to August, 2008</t>
        </r>
      </text>
    </comment>
    <comment ref="I141" authorId="4">
      <text>
        <r>
          <rPr>
            <b/>
            <sz val="9"/>
            <color indexed="81"/>
            <rFont val="Tahoma"/>
            <family val="2"/>
          </rPr>
          <t>Jason:</t>
        </r>
        <r>
          <rPr>
            <sz val="9"/>
            <color indexed="81"/>
            <rFont val="Tahoma"/>
            <family val="2"/>
          </rPr>
          <t xml:space="preserve">
Estimated pond size
Based on the coordinates provided, every pond that was clearly distinuishable in google earth 3 out of the eight) was digitized and the area of each polygon was calculated. The areas of the 3 pond sizes were then averaged. </t>
        </r>
      </text>
    </comment>
    <comment ref="K141" authorId="5">
      <text>
        <r>
          <rPr>
            <b/>
            <sz val="10"/>
            <color indexed="81"/>
            <rFont val="TimesNewRomanPSMT"/>
          </rPr>
          <t>Paul R. Elsen:</t>
        </r>
        <r>
          <rPr>
            <sz val="10"/>
            <color indexed="81"/>
            <rFont val="TimesNewRomanPSMT"/>
          </rPr>
          <t xml:space="preserve">
Given the difficulty of identifying the ponds from the map, it seems the effective extent is best estimated using the calculation for actual extent.</t>
        </r>
      </text>
    </comment>
    <comment ref="N141" authorId="4">
      <text>
        <r>
          <rPr>
            <b/>
            <sz val="9"/>
            <color indexed="81"/>
            <rFont val="Tahoma"/>
            <family val="2"/>
          </rPr>
          <t>Jason:</t>
        </r>
        <r>
          <rPr>
            <sz val="9"/>
            <color indexed="81"/>
            <rFont val="Tahoma"/>
            <family val="2"/>
          </rPr>
          <t xml:space="preserve">
Average taken
</t>
        </r>
      </text>
    </comment>
    <comment ref="O141" authorId="4">
      <text>
        <r>
          <rPr>
            <b/>
            <sz val="9"/>
            <color indexed="81"/>
            <rFont val="Tahoma"/>
            <family val="2"/>
          </rPr>
          <t>Jason:</t>
        </r>
        <r>
          <rPr>
            <sz val="9"/>
            <color indexed="81"/>
            <rFont val="Tahoma"/>
            <family val="2"/>
          </rPr>
          <t xml:space="preserve">
Assuming 1/4 a day was used for sampling 1 site with an average repeating sample of 2.5 days times</t>
        </r>
      </text>
    </comment>
    <comment ref="P141" authorId="5">
      <text>
        <r>
          <rPr>
            <b/>
            <sz val="10"/>
            <color indexed="81"/>
            <rFont val="TimesNewRomanPSMT"/>
          </rPr>
          <t>Paul R. Elsen:</t>
        </r>
        <r>
          <rPr>
            <sz val="10"/>
            <color indexed="81"/>
            <rFont val="TimesNewRomanPSMT"/>
          </rPr>
          <t xml:space="preserve">
Sampling from 8 April to 3 June = 56 days</t>
        </r>
      </text>
    </comment>
    <comment ref="I142" authorId="4">
      <text>
        <r>
          <rPr>
            <b/>
            <sz val="9"/>
            <color indexed="81"/>
            <rFont val="Tahoma"/>
            <family val="2"/>
          </rPr>
          <t>Jason:</t>
        </r>
        <r>
          <rPr>
            <sz val="9"/>
            <color indexed="81"/>
            <rFont val="Tahoma"/>
            <family val="2"/>
          </rPr>
          <t xml:space="preserve">
Assuming cast net radius is 2 meters</t>
        </r>
      </text>
    </comment>
    <comment ref="K142" authorId="5">
      <text>
        <r>
          <rPr>
            <b/>
            <sz val="10"/>
            <color indexed="81"/>
            <rFont val="TimesNewRomanPSMT"/>
          </rPr>
          <t>Paul R. Elsen:</t>
        </r>
        <r>
          <rPr>
            <sz val="10"/>
            <color indexed="81"/>
            <rFont val="TimesNewRomanPSMT"/>
          </rPr>
          <t xml:space="preserve">
Sample extent given in two panels in Fig 1. Could relatively easily find the points in GE Pro, drew mcp around each all points in each panel and summed the areas, rounding to nearest hectare</t>
        </r>
      </text>
    </comment>
    <comment ref="O142" authorId="4">
      <text>
        <r>
          <rPr>
            <b/>
            <sz val="9"/>
            <color indexed="81"/>
            <rFont val="Tahoma"/>
            <family val="2"/>
          </rPr>
          <t>Jason:</t>
        </r>
        <r>
          <rPr>
            <sz val="9"/>
            <color indexed="81"/>
            <rFont val="Tahoma"/>
            <family val="2"/>
          </rPr>
          <t xml:space="preserve">
assuming 1hour sampling duration at each site, for an estimated 1 site visit a week for 1 year</t>
        </r>
      </text>
    </comment>
    <comment ref="P142" authorId="5">
      <text>
        <r>
          <rPr>
            <b/>
            <sz val="10"/>
            <color indexed="81"/>
            <rFont val="TimesNewRomanPSMT"/>
          </rPr>
          <t>Paul R. Elsen:</t>
        </r>
        <r>
          <rPr>
            <sz val="10"/>
            <color indexed="81"/>
            <rFont val="TimesNewRomanPSMT"/>
          </rPr>
          <t xml:space="preserve">
Exact day/month not given for start of sampling, only given as 1985 - 2005 = 365*20 = 7300 (same as below)</t>
        </r>
      </text>
    </comment>
    <comment ref="I144" authorId="4">
      <text>
        <r>
          <rPr>
            <b/>
            <sz val="9"/>
            <color indexed="81"/>
            <rFont val="Tahoma"/>
            <family val="2"/>
          </rPr>
          <t>Jason:</t>
        </r>
        <r>
          <rPr>
            <sz val="9"/>
            <color indexed="81"/>
            <rFont val="Tahoma"/>
            <family val="2"/>
          </rPr>
          <t xml:space="preserve">
2.5 cm 
diameter
LDE: corrected to area</t>
        </r>
      </text>
    </comment>
    <comment ref="J144" authorId="4">
      <text>
        <r>
          <rPr>
            <b/>
            <sz val="9"/>
            <color indexed="81"/>
            <rFont val="Tahoma"/>
            <family val="2"/>
          </rPr>
          <t>Jason:</t>
        </r>
        <r>
          <rPr>
            <sz val="9"/>
            <color indexed="81"/>
            <rFont val="Tahoma"/>
            <family val="2"/>
          </rPr>
          <t xml:space="preserve">
average of 4.25 samples at 3 different sites</t>
        </r>
      </text>
    </comment>
    <comment ref="K144" authorId="5">
      <text>
        <r>
          <rPr>
            <b/>
            <sz val="10"/>
            <color indexed="81"/>
            <rFont val="TimesNewRomanPSMT"/>
          </rPr>
          <t>Paul R. Elsen:</t>
        </r>
        <r>
          <rPr>
            <sz val="10"/>
            <color indexed="81"/>
            <rFont val="TimesNewRomanPSMT"/>
          </rPr>
          <t xml:space="preserve">
Sample sites given in table 1; went to reference doi:10.1007/BF00008136 which had most sites in a figure. Found the sites using GE Pro and drew MCP around all points = 111,234 ha</t>
        </r>
      </text>
    </comment>
    <comment ref="N144" authorId="0">
      <text>
        <r>
          <rPr>
            <b/>
            <sz val="9"/>
            <color indexed="81"/>
            <rFont val="Arial"/>
          </rPr>
          <t>Lyndon Estes:</t>
        </r>
        <r>
          <rPr>
            <sz val="9"/>
            <color indexed="81"/>
            <rFont val="Arial"/>
          </rPr>
          <t xml:space="preserve">
Should there be an interval between samples? It seems you have replicates, but were they adjacent?
JC: Crude assumption that the time between each sample at the same site took 15 minutes
LDE: changed to zero because the sample at each site was a different location, so this doesn't represent an interval between repeated observations of the same site, which is what this parameter defines</t>
        </r>
      </text>
    </comment>
    <comment ref="O144" authorId="4">
      <text>
        <r>
          <rPr>
            <b/>
            <sz val="9"/>
            <color indexed="81"/>
            <rFont val="Tahoma"/>
            <family val="2"/>
          </rPr>
          <t>Jason:</t>
        </r>
        <r>
          <rPr>
            <sz val="9"/>
            <color indexed="81"/>
            <rFont val="Tahoma"/>
            <family val="2"/>
          </rPr>
          <t xml:space="preserve">
Assuming 2 hours took to sample 4 different samples at the same site
LDE: if samples weren't replicates over the same areas, just use samp_duration as the value
JC: Changed to samp_duration value
</t>
        </r>
      </text>
    </comment>
    <comment ref="P144" authorId="5">
      <text>
        <r>
          <rPr>
            <b/>
            <sz val="10"/>
            <color indexed="81"/>
            <rFont val="TimesNewRomanPSMT"/>
          </rPr>
          <t>Paul R. Elsen:</t>
        </r>
        <r>
          <rPr>
            <sz val="10"/>
            <color indexed="81"/>
            <rFont val="TimesNewRomanPSMT"/>
          </rPr>
          <t xml:space="preserve">
First 2 weeks in May recorded bleaching intensity and frequency of massive </t>
        </r>
        <r>
          <rPr>
            <i/>
            <sz val="10"/>
            <color indexed="81"/>
            <rFont val="TimesNewRomanPSMT"/>
          </rPr>
          <t xml:space="preserve">Porites </t>
        </r>
        <r>
          <rPr>
            <sz val="10"/>
            <color indexed="81"/>
            <rFont val="TimesNewRomanPSMT"/>
          </rPr>
          <t xml:space="preserve">(changed from 1095)
</t>
        </r>
        <r>
          <rPr>
            <b/>
            <sz val="10"/>
            <color indexed="81"/>
            <rFont val="TimesNewRomanPSMT"/>
          </rPr>
          <t xml:space="preserve">PE 4/21/17: </t>
        </r>
        <r>
          <rPr>
            <sz val="10"/>
            <color indexed="81"/>
            <rFont val="TimesNewRomanPSMT"/>
          </rPr>
          <t>Updated to act_dur (once-off)</t>
        </r>
      </text>
    </comment>
    <comment ref="I145" authorId="4">
      <text>
        <r>
          <rPr>
            <b/>
            <sz val="9"/>
            <color indexed="81"/>
            <rFont val="Tahoma"/>
            <family val="2"/>
          </rPr>
          <t>Jason:</t>
        </r>
        <r>
          <rPr>
            <sz val="9"/>
            <color indexed="81"/>
            <rFont val="Tahoma"/>
            <family val="2"/>
          </rPr>
          <t xml:space="preserve">
10m transect 
LDE: 10 M X by how many meter?  
JC: 10M X an estimated 1 meter. The article describes a line transect of 10M in length, but does not describt width. </t>
        </r>
      </text>
    </comment>
    <comment ref="P145" authorId="5">
      <text>
        <r>
          <rPr>
            <b/>
            <sz val="10"/>
            <color indexed="81"/>
            <rFont val="TimesNewRomanPSMT"/>
          </rPr>
          <t>Paul R. Elsen:</t>
        </r>
        <r>
          <rPr>
            <sz val="10"/>
            <color indexed="81"/>
            <rFont val="TimesNewRomanPSMT"/>
          </rPr>
          <t xml:space="preserve">
Benthic cover recorded from Jan-Mar in 2004 and 2005 = 365 + 31 + 28 + 31 = 455</t>
        </r>
        <r>
          <rPr>
            <i/>
            <sz val="10"/>
            <color indexed="81"/>
            <rFont val="TimesNewRomanPSMT"/>
          </rPr>
          <t xml:space="preserve"> </t>
        </r>
        <r>
          <rPr>
            <sz val="10"/>
            <color indexed="81"/>
            <rFont val="TimesNewRomanPSMT"/>
          </rPr>
          <t xml:space="preserve">(changed from 1095)
</t>
        </r>
        <r>
          <rPr>
            <b/>
            <sz val="10"/>
            <color indexed="81"/>
            <rFont val="TimesNewRomanPSMT"/>
          </rPr>
          <t>PE 4/21/17:</t>
        </r>
        <r>
          <rPr>
            <sz val="10"/>
            <color indexed="81"/>
            <rFont val="TimesNewRomanPSMT"/>
          </rPr>
          <t xml:space="preserve"> Updated to act_dur (once-off)</t>
        </r>
      </text>
    </comment>
    <comment ref="I146" authorId="4">
      <text>
        <r>
          <rPr>
            <b/>
            <sz val="9"/>
            <color indexed="81"/>
            <rFont val="Tahoma"/>
            <family val="2"/>
          </rPr>
          <t>Jason:</t>
        </r>
        <r>
          <rPr>
            <sz val="9"/>
            <color indexed="81"/>
            <rFont val="Tahoma"/>
            <family val="2"/>
          </rPr>
          <t xml:space="preserve">
Crude estimate of water bottle size. I googled "Water bottle for water sampling" and clicked the first link. I then took the dimensions of the listed waterbottle. (6.3 x 3.4 cm) = 21.42cm^2 = .2142m^2
LDE: not quite--it's actually then 0.063 * 0.034 to get it in m, so two more decimal places!</t>
        </r>
      </text>
    </comment>
    <comment ref="J146" authorId="4">
      <text>
        <r>
          <rPr>
            <b/>
            <sz val="9"/>
            <color indexed="81"/>
            <rFont val="Tahoma"/>
            <family val="2"/>
          </rPr>
          <t>Jason:</t>
        </r>
        <r>
          <rPr>
            <sz val="9"/>
            <color indexed="81"/>
            <rFont val="Tahoma"/>
            <family val="2"/>
          </rPr>
          <t xml:space="preserve">
average of 1.5 sites per study
</t>
        </r>
      </text>
    </comment>
    <comment ref="N146" authorId="4">
      <text>
        <r>
          <rPr>
            <b/>
            <sz val="9"/>
            <color indexed="81"/>
            <rFont val="Tahoma"/>
            <family val="2"/>
          </rPr>
          <t>Jason:</t>
        </r>
        <r>
          <rPr>
            <sz val="9"/>
            <color indexed="81"/>
            <rFont val="Tahoma"/>
            <family val="2"/>
          </rPr>
          <t xml:space="preserve">
used average between biannual and monthly t_btwn_samp
LDE: Did they sample at two different temporal intervals? If so, this should be on two lines.  If the interval varies between once/month and twice a year, then this is fine
JC: The interval varied. </t>
        </r>
      </text>
    </comment>
    <comment ref="O146" authorId="4">
      <text>
        <r>
          <rPr>
            <b/>
            <sz val="9"/>
            <color indexed="81"/>
            <rFont val="Tahoma"/>
            <family val="2"/>
          </rPr>
          <t>Jason:</t>
        </r>
        <r>
          <rPr>
            <sz val="9"/>
            <color indexed="81"/>
            <rFont val="Tahoma"/>
            <family val="2"/>
          </rPr>
          <t xml:space="preserve">
assuming each sample took 2 hours for 1.5 samples per site, for ~3.435 site vists in a year
</t>
        </r>
      </text>
    </comment>
    <comment ref="P146" authorId="5">
      <text>
        <r>
          <rPr>
            <b/>
            <sz val="10"/>
            <color indexed="81"/>
            <rFont val="TimesNewRomanPSMT"/>
          </rPr>
          <t>Paul R. Elsen:</t>
        </r>
        <r>
          <rPr>
            <sz val="10"/>
            <color indexed="81"/>
            <rFont val="TimesNewRomanPSMT"/>
          </rPr>
          <t xml:space="preserve">
Sampling between 2002-2005 (no months given) so 365*3 = 1095</t>
        </r>
      </text>
    </comment>
    <comment ref="I147" authorId="4">
      <text>
        <r>
          <rPr>
            <b/>
            <sz val="9"/>
            <color indexed="81"/>
            <rFont val="Tahoma"/>
            <family val="2"/>
          </rPr>
          <t>Jason:</t>
        </r>
        <r>
          <rPr>
            <sz val="9"/>
            <color indexed="81"/>
            <rFont val="Tahoma"/>
            <family val="2"/>
          </rPr>
          <t xml:space="preserve">
Assuming wire traps have an area of 1 foot. 
LDE: assume you meant that the side is 1 foot, so converted to meters and radius to get area
</t>
        </r>
      </text>
    </comment>
    <comment ref="J147" authorId="4">
      <text>
        <r>
          <rPr>
            <b/>
            <sz val="9"/>
            <color indexed="81"/>
            <rFont val="Tahoma"/>
            <family val="2"/>
          </rPr>
          <t>Jason:</t>
        </r>
        <r>
          <rPr>
            <sz val="9"/>
            <color indexed="81"/>
            <rFont val="Tahoma"/>
            <family val="2"/>
          </rPr>
          <t xml:space="preserve">
476 captures
</t>
        </r>
      </text>
    </comment>
    <comment ref="K147" authorId="5">
      <text>
        <r>
          <rPr>
            <b/>
            <sz val="10"/>
            <color indexed="81"/>
            <rFont val="TimesNewRomanPSMT"/>
          </rPr>
          <t>Paul R. Elsen:</t>
        </r>
        <r>
          <rPr>
            <sz val="10"/>
            <color indexed="81"/>
            <rFont val="TimesNewRomanPSMT"/>
          </rPr>
          <t xml:space="preserve">
Study site is Mpala research center: Googled mpala.org, in About the site lists 200 km2 = 20000 ha</t>
        </r>
      </text>
    </comment>
    <comment ref="M147" authorId="4">
      <text>
        <r>
          <rPr>
            <b/>
            <sz val="9"/>
            <color indexed="81"/>
            <rFont val="Tahoma"/>
            <family val="2"/>
          </rPr>
          <t>Jason:</t>
        </r>
        <r>
          <rPr>
            <sz val="9"/>
            <color indexed="81"/>
            <rFont val="Tahoma"/>
            <family val="2"/>
          </rPr>
          <t xml:space="preserve">
Assuming half a day was spent</t>
        </r>
      </text>
    </comment>
    <comment ref="N147" authorId="4">
      <text>
        <r>
          <rPr>
            <b/>
            <sz val="9"/>
            <color indexed="81"/>
            <rFont val="Tahoma"/>
            <family val="2"/>
          </rPr>
          <t>Jason:</t>
        </r>
        <r>
          <rPr>
            <sz val="9"/>
            <color indexed="81"/>
            <rFont val="Tahoma"/>
            <family val="2"/>
          </rPr>
          <t xml:space="preserve">
sampled between 1 to 3 days, average 2</t>
        </r>
      </text>
    </comment>
    <comment ref="O147" authorId="4">
      <text>
        <r>
          <rPr>
            <b/>
            <sz val="9"/>
            <color indexed="81"/>
            <rFont val="Tahoma"/>
            <family val="2"/>
          </rPr>
          <t>Jason:</t>
        </r>
        <r>
          <rPr>
            <sz val="9"/>
            <color indexed="81"/>
            <rFont val="Tahoma"/>
            <family val="2"/>
          </rPr>
          <t xml:space="preserve">
Assuming half a day was spent sampling each site every 2 days for an estimated 33.25 days (estimated duration of incubation+mating stages: see doi)</t>
        </r>
      </text>
    </comment>
    <comment ref="P147" authorId="5">
      <text>
        <r>
          <rPr>
            <b/>
            <sz val="10"/>
            <color indexed="81"/>
            <rFont val="TimesNewRomanPSMT"/>
          </rPr>
          <t>Paul R. Elsen:</t>
        </r>
        <r>
          <rPr>
            <sz val="10"/>
            <color indexed="81"/>
            <rFont val="TimesNewRomanPSMT"/>
          </rPr>
          <t xml:space="preserve">
April 2001 to December 2005 (assume Apr 1 - Dec 31) =  365*4 + 275 = 1735 (changed from 1307)</t>
        </r>
      </text>
    </comment>
    <comment ref="I148" authorId="4">
      <text>
        <r>
          <rPr>
            <b/>
            <sz val="9"/>
            <color indexed="81"/>
            <rFont val="Tahoma"/>
            <family val="2"/>
          </rPr>
          <t>Jason:</t>
        </r>
        <r>
          <rPr>
            <sz val="9"/>
            <color indexed="81"/>
            <rFont val="Tahoma"/>
            <family val="2"/>
          </rPr>
          <t xml:space="preserve">
5*15 soil core
LDE: Do you mean 5 X 15 cm, if so it should be 0.05 * 0.15, no? 
</t>
        </r>
      </text>
    </comment>
    <comment ref="J148" authorId="4">
      <text>
        <r>
          <rPr>
            <b/>
            <sz val="9"/>
            <color indexed="81"/>
            <rFont val="Tahoma"/>
            <family val="2"/>
          </rPr>
          <t xml:space="preserve">Jason:
</t>
        </r>
        <r>
          <rPr>
            <sz val="9"/>
            <color indexed="81"/>
            <rFont val="Tahoma"/>
            <family val="2"/>
          </rPr>
          <t xml:space="preserve">2 samples taken from 2 pits within 6 different plots
</t>
        </r>
      </text>
    </comment>
    <comment ref="K148" authorId="5">
      <text>
        <r>
          <rPr>
            <b/>
            <sz val="10"/>
            <color indexed="81"/>
            <rFont val="TimesNewRomanPSMT"/>
          </rPr>
          <t>Paul R. Elsen:</t>
        </r>
        <r>
          <rPr>
            <sz val="10"/>
            <color indexed="81"/>
            <rFont val="TimesNewRomanPSMT"/>
          </rPr>
          <t xml:space="preserve">
Two study locations: Arnot Forest given from Cornell.edu as 4075 acres (1649.09 ha). Tompkins Farm didn't yield any internet results, so used coordinates given in paper. Located farm, but difficult to know boundaries. Estimated based on presence of roads ~7 ha. Rounded total = 1656 ha</t>
        </r>
      </text>
    </comment>
    <comment ref="O148" authorId="4">
      <text>
        <r>
          <rPr>
            <b/>
            <sz val="9"/>
            <color indexed="81"/>
            <rFont val="Tahoma"/>
            <family val="2"/>
          </rPr>
          <t>Jason:</t>
        </r>
        <r>
          <rPr>
            <sz val="9"/>
            <color indexed="81"/>
            <rFont val="Tahoma"/>
            <family val="2"/>
          </rPr>
          <t xml:space="preserve">
Assuming 15 minutes per soil core at each of the 8 depths, in each of the 2 samples taken in each of the 2 pits. 
LDE: see comment on study_duration line 6
JC: Changed to sample duration.</t>
        </r>
      </text>
    </comment>
    <comment ref="P148" authorId="5">
      <text>
        <r>
          <rPr>
            <b/>
            <sz val="10"/>
            <color indexed="81"/>
            <rFont val="TimesNewRomanPSMT"/>
          </rPr>
          <t>Paul R. Elsen:</t>
        </r>
        <r>
          <rPr>
            <sz val="10"/>
            <color indexed="81"/>
            <rFont val="TimesNewRomanPSMT"/>
          </rPr>
          <t xml:space="preserve">
Soil samples taken July 1998 = 31 days (changed from 1095)
</t>
        </r>
        <r>
          <rPr>
            <b/>
            <sz val="10"/>
            <color indexed="81"/>
            <rFont val="TimesNewRomanPSMT"/>
          </rPr>
          <t>PE 4/21/17:</t>
        </r>
        <r>
          <rPr>
            <sz val="10"/>
            <color indexed="81"/>
            <rFont val="TimesNewRomanPSMT"/>
          </rPr>
          <t xml:space="preserve"> Updated to act_dur (once-off)</t>
        </r>
      </text>
    </comment>
    <comment ref="I149" authorId="6">
      <text>
        <r>
          <rPr>
            <sz val="10"/>
            <color rgb="FF000000"/>
            <rFont val="Arial"/>
          </rPr>
          <t xml:space="preserve">Based on the assumption that Lysimeter is 2ft in diameter
LDE: so that would be 1 foot in diameter or 0.3048 m, so pi*.3048^2 = 0.29
</t>
        </r>
      </text>
    </comment>
    <comment ref="N149" authorId="4">
      <text>
        <r>
          <rPr>
            <b/>
            <sz val="9"/>
            <color indexed="81"/>
            <rFont val="Tahoma"/>
            <family val="2"/>
          </rPr>
          <t>Jason:</t>
        </r>
        <r>
          <rPr>
            <sz val="9"/>
            <color indexed="81"/>
            <rFont val="Tahoma"/>
            <family val="2"/>
          </rPr>
          <t xml:space="preserve">
sampling every 2 weeks and sampling ever 4 weeks - used average
</t>
        </r>
      </text>
    </comment>
    <comment ref="O149" authorId="4">
      <text>
        <r>
          <rPr>
            <b/>
            <sz val="9"/>
            <color indexed="81"/>
            <rFont val="Tahoma"/>
            <family val="2"/>
          </rPr>
          <t>Jason:</t>
        </r>
        <r>
          <rPr>
            <sz val="9"/>
            <color indexed="81"/>
            <rFont val="Tahoma"/>
            <family val="2"/>
          </rPr>
          <t xml:space="preserve">
assuming 1 hour was taken to sample each of the sites for every 14 days for a year
</t>
        </r>
      </text>
    </comment>
    <comment ref="P149" authorId="5">
      <text>
        <r>
          <rPr>
            <b/>
            <sz val="10"/>
            <color indexed="81"/>
            <rFont val="TimesNewRomanPSMT"/>
          </rPr>
          <t xml:space="preserve">Paul R. Elsen
</t>
        </r>
        <r>
          <rPr>
            <sz val="10"/>
            <color indexed="81"/>
            <rFont val="TimesNewRomanPSMT"/>
          </rPr>
          <t>Lysimeter samples taken Oct 1999-Oct 2000 (but not Jan and Feb )= 365 days (changed from 1095)</t>
        </r>
      </text>
    </comment>
    <comment ref="I150" authorId="6">
      <text>
        <r>
          <rPr>
            <sz val="10"/>
            <color rgb="FF000000"/>
            <rFont val="Arial"/>
          </rPr>
          <t xml:space="preserve">Based on the assumption that Lysimeter is 2ft in diameter
LDE: so that would be 1 foot in diameter or 0.3048 m, so pi*.3048^2 = 0.29
</t>
        </r>
      </text>
    </comment>
    <comment ref="J150" authorId="6">
      <text>
        <r>
          <rPr>
            <sz val="10"/>
            <color rgb="FF000000"/>
            <rFont val="Arial"/>
          </rPr>
          <t xml:space="preserve">Best assumption made
</t>
        </r>
      </text>
    </comment>
    <comment ref="N150" authorId="4">
      <text>
        <r>
          <rPr>
            <b/>
            <sz val="9"/>
            <color indexed="81"/>
            <rFont val="Tahoma"/>
            <family val="2"/>
          </rPr>
          <t>Jason:</t>
        </r>
        <r>
          <rPr>
            <sz val="9"/>
            <color indexed="81"/>
            <rFont val="Tahoma"/>
            <family val="2"/>
          </rPr>
          <t xml:space="preserve">
Sampling every 4 weeks
</t>
        </r>
      </text>
    </comment>
    <comment ref="O150" authorId="4">
      <text>
        <r>
          <rPr>
            <b/>
            <sz val="9"/>
            <color indexed="81"/>
            <rFont val="Tahoma"/>
            <family val="2"/>
          </rPr>
          <t>Jason:
assuming 1 hour was taken to sample each of the sites for every 14 days for a year</t>
        </r>
        <r>
          <rPr>
            <sz val="9"/>
            <color indexed="81"/>
            <rFont val="Tahoma"/>
            <family val="2"/>
          </rPr>
          <t xml:space="preserve">
</t>
        </r>
      </text>
    </comment>
    <comment ref="P150" authorId="5">
      <text>
        <r>
          <rPr>
            <b/>
            <sz val="10"/>
            <color indexed="81"/>
            <rFont val="TimesNewRomanPSMT"/>
          </rPr>
          <t>Paul R. Elsen:</t>
        </r>
        <r>
          <rPr>
            <sz val="10"/>
            <color indexed="81"/>
            <rFont val="TimesNewRomanPSMT"/>
          </rPr>
          <t xml:space="preserve">
See above comment</t>
        </r>
      </text>
    </comment>
    <comment ref="I151" authorId="6">
      <text>
        <r>
          <rPr>
            <sz val="10"/>
            <color rgb="FF000000"/>
            <rFont val="Arial"/>
          </rPr>
          <t>Assuming a dip net has a radius of 1 ft.
As with above, needs to be converted to plot area</t>
        </r>
      </text>
    </comment>
    <comment ref="J151" authorId="6">
      <text>
        <r>
          <rPr>
            <sz val="10"/>
            <color rgb="FF000000"/>
            <rFont val="Arial"/>
          </rPr>
          <t>Assuming 5 samples were taken in the lake per day</t>
        </r>
      </text>
    </comment>
    <comment ref="K151" authorId="5">
      <text>
        <r>
          <rPr>
            <b/>
            <sz val="10"/>
            <color indexed="81"/>
            <rFont val="TimesNewRomanPSMT"/>
          </rPr>
          <t>Paul R. Elsen:</t>
        </r>
        <r>
          <rPr>
            <sz val="10"/>
            <color indexed="81"/>
            <rFont val="TimesNewRomanPSMT"/>
          </rPr>
          <t xml:space="preserve">
Survey site is Lake Opinicon in Ontario, Canada. Coordinates given and used to map MCP of lake in GE Pro at ~690 ha</t>
        </r>
      </text>
    </comment>
    <comment ref="O151" authorId="4">
      <text>
        <r>
          <rPr>
            <b/>
            <sz val="9"/>
            <color indexed="81"/>
            <rFont val="Tahoma"/>
            <family val="2"/>
          </rPr>
          <t>Jason:</t>
        </r>
        <r>
          <rPr>
            <sz val="9"/>
            <color indexed="81"/>
            <rFont val="Tahoma"/>
            <family val="2"/>
          </rPr>
          <t xml:space="preserve">
assuming 6 hours a day was used for sampling for 18 days</t>
        </r>
      </text>
    </comment>
    <comment ref="P151" authorId="5">
      <text>
        <r>
          <rPr>
            <b/>
            <sz val="10"/>
            <color indexed="81"/>
            <rFont val="TimesNewRomanPSMT"/>
          </rPr>
          <t>Paul R. Elsen:</t>
        </r>
        <r>
          <rPr>
            <sz val="10"/>
            <color indexed="81"/>
            <rFont val="TimesNewRomanPSMT"/>
          </rPr>
          <t xml:space="preserve">
Sampling from 8-26 June 2009 = 18 days</t>
        </r>
      </text>
    </comment>
    <comment ref="I152" authorId="4">
      <text>
        <r>
          <rPr>
            <b/>
            <sz val="9"/>
            <color indexed="81"/>
            <rFont val="Tahoma"/>
            <family val="2"/>
          </rPr>
          <t>Jason:</t>
        </r>
        <r>
          <rPr>
            <sz val="9"/>
            <color indexed="81"/>
            <rFont val="Tahoma"/>
            <family val="2"/>
          </rPr>
          <t xml:space="preserve">
.025 cm earthworm used as bait
LDE: amended by assuming worm is 5 cm long by 0.25 cm wide</t>
        </r>
      </text>
    </comment>
    <comment ref="J152" authorId="6">
      <text>
        <r>
          <rPr>
            <sz val="10"/>
            <color rgb="FF000000"/>
            <rFont val="Arial"/>
          </rPr>
          <t xml:space="preserve">Assuming 20 angling samples per day
</t>
        </r>
      </text>
    </comment>
    <comment ref="O152" authorId="4">
      <text>
        <r>
          <rPr>
            <b/>
            <sz val="9"/>
            <color indexed="81"/>
            <rFont val="Tahoma"/>
            <family val="2"/>
          </rPr>
          <t>Jason:</t>
        </r>
        <r>
          <rPr>
            <sz val="9"/>
            <color indexed="81"/>
            <rFont val="Tahoma"/>
            <family val="2"/>
          </rPr>
          <t xml:space="preserve">
assuming half a day was used for sampling for 6 days
</t>
        </r>
        <r>
          <rPr>
            <b/>
            <sz val="9"/>
            <color indexed="81"/>
            <rFont val="Tahoma"/>
            <family val="2"/>
          </rPr>
          <t xml:space="preserve">Paul 4/19/17:
</t>
        </r>
        <r>
          <rPr>
            <sz val="9"/>
            <color indexed="81"/>
            <rFont val="Tahoma"/>
            <family val="2"/>
          </rPr>
          <t>Sampling is 24 May-30 Jun 2010, so 37 days, not 6. Assuming half a day = 37/2 = 18.5</t>
        </r>
      </text>
    </comment>
    <comment ref="P152" authorId="5">
      <text>
        <r>
          <rPr>
            <b/>
            <sz val="10"/>
            <color indexed="81"/>
            <rFont val="TimesNewRomanPSMT"/>
          </rPr>
          <t xml:space="preserve">Paul R. Elsen:
</t>
        </r>
        <r>
          <rPr>
            <sz val="10"/>
            <color indexed="81"/>
            <rFont val="TimesNewRomanPSMT"/>
          </rPr>
          <t>Sampling from 24 May - 30 June 2010 = 37 days</t>
        </r>
      </text>
    </comment>
    <comment ref="F153" authorId="0">
      <text>
        <r>
          <rPr>
            <b/>
            <sz val="9"/>
            <color indexed="81"/>
            <rFont val="Arial"/>
          </rPr>
          <t>Lyndon Estes:</t>
        </r>
        <r>
          <rPr>
            <sz val="9"/>
            <color indexed="81"/>
            <rFont val="Arial"/>
          </rPr>
          <t xml:space="preserve">
Changed this to field observations because even though it was a camera being used, and that could qualify, it was essentially close up ground observations</t>
        </r>
      </text>
    </comment>
    <comment ref="I153" authorId="6">
      <text>
        <r>
          <rPr>
            <sz val="10"/>
            <color rgb="FF000000"/>
            <rFont val="Arial"/>
          </rPr>
          <t>Assuming mangrove roots have a 10 meter radius around the trunk (http://www.mangrove.at/rhizophora-mangle_red-mangrove.html)
LDE: I altered this because they were taking photos on individual roots as the sample. Assume camera has 30X30 cm area</t>
        </r>
      </text>
    </comment>
    <comment ref="K153" authorId="5">
      <text>
        <r>
          <rPr>
            <b/>
            <sz val="10"/>
            <color indexed="81"/>
            <rFont val="TimesNewRomanPSMT"/>
          </rPr>
          <t>Paul R. Elsen:</t>
        </r>
        <r>
          <rPr>
            <sz val="10"/>
            <color indexed="81"/>
            <rFont val="TimesNewRomanPSMT"/>
          </rPr>
          <t xml:space="preserve">
Study gives coordinates of mangrove forest in which trees were sampled. I could identify the mangrove in GE Pro, but difficult to delineate southern border. Estimated with polygon tool @ 4.88 ha.</t>
        </r>
      </text>
    </comment>
    <comment ref="M153" authorId="0">
      <text>
        <r>
          <rPr>
            <b/>
            <sz val="9"/>
            <color indexed="81"/>
            <rFont val="Arial"/>
          </rPr>
          <t>Lyndon Estes:</t>
        </r>
        <r>
          <rPr>
            <sz val="9"/>
            <color indexed="81"/>
            <rFont val="Arial"/>
          </rPr>
          <t xml:space="preserve">
Although the cameras were the sample, I assumed they watched the snails for 30 m, to record their habitat, whether it was resting, etc. </t>
        </r>
      </text>
    </comment>
    <comment ref="N153" authorId="4">
      <text>
        <r>
          <rPr>
            <b/>
            <sz val="9"/>
            <color indexed="81"/>
            <rFont val="Tahoma"/>
            <family val="2"/>
          </rPr>
          <t>Jason:</t>
        </r>
        <r>
          <rPr>
            <sz val="9"/>
            <color indexed="81"/>
            <rFont val="Tahoma"/>
            <family val="2"/>
          </rPr>
          <t xml:space="preserve">
assuming "four different days in septermner" equates to 1 day a week for the entire month
LDE: 
True that they were on different days, but they weren't comparing observations between dates. Rather I think they were building up enough observations (and they state they pooled the data). Corrected to 0
</t>
        </r>
      </text>
    </comment>
    <comment ref="O153" authorId="4">
      <text>
        <r>
          <rPr>
            <b/>
            <sz val="9"/>
            <color indexed="81"/>
            <rFont val="Tahoma"/>
            <family val="2"/>
          </rPr>
          <t>Jason:</t>
        </r>
        <r>
          <rPr>
            <sz val="9"/>
            <color indexed="81"/>
            <rFont val="Tahoma"/>
            <family val="2"/>
          </rPr>
          <t xml:space="preserve">
Assuming half a day was spent sampling during each of the sampling dates
LDE: corrected to equal samp duration</t>
        </r>
      </text>
    </comment>
    <comment ref="P153" authorId="4">
      <text>
        <r>
          <rPr>
            <b/>
            <sz val="9"/>
            <color indexed="81"/>
            <rFont val="Tahoma"/>
            <family val="2"/>
          </rPr>
          <t>Jason:</t>
        </r>
        <r>
          <rPr>
            <sz val="9"/>
            <color indexed="81"/>
            <rFont val="Tahoma"/>
            <family val="2"/>
          </rPr>
          <t xml:space="preserve">
Assuming half a year was spent on this study
LDE: corrected to September (we are assuming span of observations, not all research), 
so they said 4 days in September, following your assumption of 1 week apart
PE: because data are pooled, t_btwn_sample = 0 so considered once-off; eff_dur = act_dur</t>
        </r>
      </text>
    </comment>
    <comment ref="I154" authorId="4">
      <text>
        <r>
          <rPr>
            <b/>
            <sz val="9"/>
            <color indexed="81"/>
            <rFont val="Tahoma"/>
            <family val="2"/>
          </rPr>
          <t>Jason:</t>
        </r>
        <r>
          <rPr>
            <sz val="9"/>
            <color indexed="81"/>
            <rFont val="Tahoma"/>
            <family val="2"/>
          </rPr>
          <t xml:space="preserve">
Soil Core Radius of 2 cm</t>
        </r>
      </text>
    </comment>
    <comment ref="K154" authorId="5">
      <text>
        <r>
          <rPr>
            <b/>
            <sz val="10"/>
            <color indexed="81"/>
            <rFont val="TimesNewRomanPSMT"/>
          </rPr>
          <t>Paul R. Elsen:</t>
        </r>
        <r>
          <rPr>
            <sz val="10"/>
            <color indexed="81"/>
            <rFont val="TimesNewRomanPSMT"/>
          </rPr>
          <t xml:space="preserve">
Study was conducted in two regions of Saadani National Park in Tanzania: Mkwaja in the N is given at 470 km2 and Saadani in the S is given at 210 km2; combined total of 680 km2 = 68000 ha</t>
        </r>
      </text>
    </comment>
    <comment ref="M154" authorId="4">
      <text>
        <r>
          <rPr>
            <b/>
            <sz val="9"/>
            <color indexed="81"/>
            <rFont val="Tahoma"/>
            <family val="2"/>
          </rPr>
          <t>Jason:
 Assuming samplint plots at each site took 1 hour</t>
        </r>
      </text>
    </comment>
    <comment ref="N154" authorId="4">
      <text>
        <r>
          <rPr>
            <b/>
            <sz val="9"/>
            <color indexed="81"/>
            <rFont val="Tahoma"/>
            <family val="2"/>
          </rPr>
          <t>Jason:</t>
        </r>
        <r>
          <rPr>
            <sz val="9"/>
            <color indexed="81"/>
            <rFont val="Tahoma"/>
            <family val="2"/>
          </rPr>
          <t xml:space="preserve">
Best assumption made</t>
        </r>
      </text>
    </comment>
    <comment ref="O154" authorId="4">
      <text>
        <r>
          <rPr>
            <b/>
            <sz val="9"/>
            <color indexed="81"/>
            <rFont val="Tahoma"/>
            <family val="2"/>
          </rPr>
          <t>Jason:</t>
        </r>
        <r>
          <rPr>
            <sz val="9"/>
            <color indexed="81"/>
            <rFont val="Tahoma"/>
            <family val="2"/>
          </rPr>
          <t xml:space="preserve">
Assuming collecting 6 cores at each site took an estimated 1 hour
LDE: see comments on lines 6 and 10
JC: Changed to samp_duration
</t>
        </r>
      </text>
    </comment>
    <comment ref="P154" authorId="5">
      <text>
        <r>
          <rPr>
            <b/>
            <sz val="10"/>
            <color indexed="81"/>
            <rFont val="TimesNewRomanPSMT"/>
          </rPr>
          <t>Paul R. Elsen:</t>
        </r>
        <r>
          <rPr>
            <sz val="10"/>
            <color indexed="81"/>
            <rFont val="TimesNewRomanPSMT"/>
          </rPr>
          <t xml:space="preserve">
Soil sampled in Feb 2009 = 28 days (changed from 365)
</t>
        </r>
        <r>
          <rPr>
            <b/>
            <sz val="10"/>
            <color indexed="81"/>
            <rFont val="TimesNewRomanPSMT"/>
          </rPr>
          <t>PE 4/21/17:</t>
        </r>
        <r>
          <rPr>
            <sz val="10"/>
            <color indexed="81"/>
            <rFont val="TimesNewRomanPSMT"/>
          </rPr>
          <t xml:space="preserve"> Updated to act_dur (once-off)</t>
        </r>
      </text>
    </comment>
    <comment ref="M155" authorId="0">
      <text>
        <r>
          <rPr>
            <b/>
            <sz val="9"/>
            <color indexed="81"/>
            <rFont val="Arial"/>
          </rPr>
          <t>Lyndon Estes:</t>
        </r>
        <r>
          <rPr>
            <sz val="9"/>
            <color indexed="81"/>
            <rFont val="Arial"/>
          </rPr>
          <t xml:space="preserve">
Assume 1/2 hour sampling per site</t>
        </r>
      </text>
    </comment>
    <comment ref="O155" authorId="0">
      <text>
        <r>
          <rPr>
            <b/>
            <sz val="9"/>
            <color indexed="81"/>
            <rFont val="Arial"/>
          </rPr>
          <t>Lyndon Estes:</t>
        </r>
        <r>
          <rPr>
            <sz val="9"/>
            <color indexed="81"/>
            <rFont val="Arial"/>
          </rPr>
          <t xml:space="preserve">
Sampled twice, assume they hit the same trees, one year apart</t>
        </r>
      </text>
    </comment>
    <comment ref="P155" authorId="5">
      <text>
        <r>
          <rPr>
            <b/>
            <sz val="10"/>
            <color indexed="81"/>
            <rFont val="TimesNewRomanPSMT"/>
          </rPr>
          <t xml:space="preserve">Paul R. Elsen:
</t>
        </r>
        <r>
          <rPr>
            <sz val="10"/>
            <color indexed="81"/>
            <rFont val="TimesNewRomanPSMT"/>
          </rPr>
          <t>Sampling from Feb 2009 - Feb 2010 = 365 days</t>
        </r>
      </text>
    </comment>
    <comment ref="I156" authorId="4">
      <text>
        <r>
          <rPr>
            <b/>
            <sz val="9"/>
            <color indexed="81"/>
            <rFont val="Tahoma"/>
            <family val="2"/>
          </rPr>
          <t>Jason:</t>
        </r>
        <r>
          <rPr>
            <sz val="9"/>
            <color indexed="81"/>
            <rFont val="Tahoma"/>
            <family val="2"/>
          </rPr>
          <t xml:space="preserve">
50cm x 50cm plots
</t>
        </r>
      </text>
    </comment>
    <comment ref="J156" authorId="4">
      <text>
        <r>
          <rPr>
            <b/>
            <sz val="9"/>
            <color indexed="81"/>
            <rFont val="Tahoma"/>
            <family val="2"/>
          </rPr>
          <t>Jason:</t>
        </r>
        <r>
          <rPr>
            <sz val="9"/>
            <color indexed="81"/>
            <rFont val="Tahoma"/>
            <family val="2"/>
          </rPr>
          <t xml:space="preserve">
1 or 2 (used 1.5 average) plots in each of the 43 plots
LDE: Fixed because you added 1.5 to 43, rather than multiplied by 1.5</t>
        </r>
      </text>
    </comment>
    <comment ref="M156" authorId="4">
      <text>
        <r>
          <rPr>
            <b/>
            <sz val="9"/>
            <color indexed="81"/>
            <rFont val="Tahoma"/>
            <family val="2"/>
          </rPr>
          <t>Jason:
 Assuming samplint plots at each site took 1 hour</t>
        </r>
      </text>
    </comment>
    <comment ref="O156" authorId="4">
      <text>
        <r>
          <rPr>
            <b/>
            <sz val="9"/>
            <color indexed="81"/>
            <rFont val="Tahoma"/>
            <family val="2"/>
          </rPr>
          <t>Jason:</t>
        </r>
        <r>
          <rPr>
            <sz val="9"/>
            <color indexed="81"/>
            <rFont val="Tahoma"/>
            <family val="2"/>
          </rPr>
          <t xml:space="preserve">
assuming each .5m2 plot was sampled for an hour in the 1.5 plots per site</t>
        </r>
      </text>
    </comment>
    <comment ref="P156" authorId="5">
      <text>
        <r>
          <rPr>
            <b/>
            <sz val="10"/>
            <color indexed="81"/>
            <rFont val="TimesNewRomanPSMT"/>
          </rPr>
          <t>Paul R. Elsen:</t>
        </r>
        <r>
          <rPr>
            <sz val="10"/>
            <color indexed="81"/>
            <rFont val="TimesNewRomanPSMT"/>
          </rPr>
          <t xml:space="preserve">
Sampling done twice, once in Aug 2009, once in Jan 2010 - calculated as Aug 1 - Jan 31 = 184 days (changed from 365)</t>
        </r>
      </text>
    </comment>
    <comment ref="I157" authorId="0">
      <text>
        <r>
          <rPr>
            <b/>
            <sz val="9"/>
            <color indexed="81"/>
            <rFont val="Arial"/>
          </rPr>
          <t>Lyndon Estes:</t>
        </r>
        <r>
          <rPr>
            <sz val="9"/>
            <color indexed="81"/>
            <rFont val="Arial"/>
          </rPr>
          <t xml:space="preserve">
Fixed because it should have been 3X3, not just 3 m</t>
        </r>
      </text>
    </comment>
    <comment ref="J157" authorId="0">
      <text>
        <r>
          <rPr>
            <b/>
            <sz val="9"/>
            <color indexed="81"/>
            <rFont val="Arial"/>
          </rPr>
          <t>Lyndon Estes:</t>
        </r>
        <r>
          <rPr>
            <sz val="9"/>
            <color indexed="81"/>
            <rFont val="Arial"/>
          </rPr>
          <t xml:space="preserve">
Fixed to 20X20, because it seems like they took 20 random plots </t>
        </r>
        <r>
          <rPr>
            <i/>
            <sz val="9"/>
            <color indexed="81"/>
            <rFont val="Arial"/>
          </rPr>
          <t>per</t>
        </r>
        <r>
          <rPr>
            <sz val="9"/>
            <color indexed="81"/>
            <rFont val="Arial"/>
          </rPr>
          <t xml:space="preserve"> site, and then used data from only 20 sites</t>
        </r>
      </text>
    </comment>
    <comment ref="M157" authorId="4">
      <text>
        <r>
          <rPr>
            <b/>
            <sz val="9"/>
            <color indexed="81"/>
            <rFont val="Tahoma"/>
            <family val="2"/>
          </rPr>
          <t>Jason:
 Assuming samplint plots at each site took 1 hour</t>
        </r>
      </text>
    </comment>
    <comment ref="N157" authorId="0">
      <text>
        <r>
          <rPr>
            <b/>
            <sz val="9"/>
            <color indexed="81"/>
            <rFont val="Arial"/>
          </rPr>
          <t>Lyndon Estes:</t>
        </r>
        <r>
          <rPr>
            <sz val="9"/>
            <color indexed="81"/>
            <rFont val="Arial"/>
          </rPr>
          <t xml:space="preserve">
Fixed because it was zero, and seems like they probably collected grass cover in both August 2009 and January 2010</t>
        </r>
      </text>
    </comment>
    <comment ref="P157" authorId="5">
      <text>
        <r>
          <rPr>
            <b/>
            <sz val="10"/>
            <color indexed="81"/>
            <rFont val="TimesNewRomanPSMT"/>
          </rPr>
          <t>Paul R. Elsen:</t>
        </r>
        <r>
          <rPr>
            <sz val="10"/>
            <color indexed="81"/>
            <rFont val="TimesNewRomanPSMT"/>
          </rPr>
          <t xml:space="preserve">
Calculated as above</t>
        </r>
      </text>
    </comment>
    <comment ref="I158" authorId="4">
      <text>
        <r>
          <rPr>
            <b/>
            <sz val="9"/>
            <color indexed="81"/>
            <rFont val="Tahoma"/>
            <family val="2"/>
          </rPr>
          <t>Jason:</t>
        </r>
        <r>
          <rPr>
            <sz val="9"/>
            <color indexed="81"/>
            <rFont val="Tahoma"/>
            <family val="2"/>
          </rPr>
          <t xml:space="preserve">
 estimated 20m pixel size
LDE: Actually reading that paper they state the effective pixel resolution was 1.1X3.0 m</t>
        </r>
      </text>
    </comment>
    <comment ref="J158" authorId="4">
      <text>
        <r>
          <rPr>
            <b/>
            <sz val="9"/>
            <color indexed="81"/>
            <rFont val="Tahoma"/>
            <family val="2"/>
          </rPr>
          <t>Jason:</t>
        </r>
        <r>
          <rPr>
            <sz val="9"/>
            <color indexed="81"/>
            <rFont val="Tahoma"/>
            <family val="2"/>
          </rPr>
          <t xml:space="preserve">
Total number of transects
LDE: divided 6.7 km by the pixel distance along the transect to get n samples (short transect)
</t>
        </r>
      </text>
    </comment>
    <comment ref="K158" authorId="5">
      <text>
        <r>
          <rPr>
            <b/>
            <sz val="10"/>
            <color indexed="81"/>
            <rFont val="TimesNewRomanPSMT"/>
          </rPr>
          <t>Paul R. Elsen:</t>
        </r>
        <r>
          <rPr>
            <sz val="10"/>
            <color indexed="81"/>
            <rFont val="TimesNewRomanPSMT"/>
          </rPr>
          <t xml:space="preserve">
Study area (Barrow Peninsula on the N Slope of Alaska) is depicted in Fig 1 and the caption gives an area of 1802 km2 = 180200 ha</t>
        </r>
      </text>
    </comment>
    <comment ref="M158" authorId="0">
      <text>
        <r>
          <rPr>
            <b/>
            <sz val="9"/>
            <color indexed="81"/>
            <rFont val="Arial"/>
          </rPr>
          <t>Lyndon Estes:</t>
        </r>
        <r>
          <rPr>
            <sz val="9"/>
            <color indexed="81"/>
            <rFont val="Arial"/>
          </rPr>
          <t xml:space="preserve">
Aircraft was moving at 40 m/second, 3 meters covered per sample.  Pixel capture time is what we need here
But here we'll just the token 1 second that we assume elsewhere for instantaneous observations</t>
        </r>
      </text>
    </comment>
    <comment ref="N158" authorId="4">
      <text>
        <r>
          <rPr>
            <b/>
            <sz val="9"/>
            <color indexed="81"/>
            <rFont val="Tahoma"/>
            <family val="2"/>
          </rPr>
          <t>Jason:</t>
        </r>
        <r>
          <rPr>
            <sz val="9"/>
            <color indexed="81"/>
            <rFont val="Tahoma"/>
            <family val="2"/>
          </rPr>
          <t xml:space="preserve">
11 days between flights
LDE: They were actually making repeat flights per Table 1, so in the case of the short transect, it was 110 flights, and I added the 13 days of time together (assumed they were contiguous in time), so 13 days divide by 110 flights. I assume flights were all daylight, but didnt' correct it to dalylight hours</t>
        </r>
      </text>
    </comment>
    <comment ref="O158" authorId="4">
      <text>
        <r>
          <rPr>
            <b/>
            <sz val="9"/>
            <color indexed="81"/>
            <rFont val="Tahoma"/>
            <family val="2"/>
          </rPr>
          <t>Jason:</t>
        </r>
        <r>
          <rPr>
            <sz val="9"/>
            <color indexed="81"/>
            <rFont val="Tahoma"/>
            <family val="2"/>
          </rPr>
          <t xml:space="preserve">
Assuming each flight lasted 1 hour for each of the 187 flights. 
LDE: sampling duration is calculated on the pixel, not the total flight, so effectively instantaneous</t>
        </r>
      </text>
    </comment>
    <comment ref="P158" authorId="5">
      <text>
        <r>
          <rPr>
            <b/>
            <sz val="10"/>
            <color indexed="81"/>
            <rFont val="TimesNewRomanPSMT"/>
          </rPr>
          <t>Paul R. Elsen:</t>
        </r>
        <r>
          <rPr>
            <sz val="10"/>
            <color indexed="81"/>
            <rFont val="TimesNewRomanPSMT"/>
          </rPr>
          <t xml:space="preserve">
Samples taken 27 July - 4 Sep = 23 days</t>
        </r>
      </text>
    </comment>
    <comment ref="I159" authorId="4">
      <text>
        <r>
          <rPr>
            <b/>
            <sz val="9"/>
            <color indexed="81"/>
            <rFont val="Tahoma"/>
            <family val="2"/>
          </rPr>
          <t>Jason:</t>
        </r>
        <r>
          <rPr>
            <sz val="9"/>
            <color indexed="81"/>
            <rFont val="Tahoma"/>
            <family val="2"/>
          </rPr>
          <t xml:space="preserve">
 estimated 20m pixel size
LDE: Actually reading that paper they state the effective pixel resolution was 1.1X3.0 m</t>
        </r>
      </text>
    </comment>
    <comment ref="J159" authorId="4">
      <text>
        <r>
          <rPr>
            <b/>
            <sz val="9"/>
            <color indexed="81"/>
            <rFont val="Tahoma"/>
            <family val="2"/>
          </rPr>
          <t>Jason:</t>
        </r>
        <r>
          <rPr>
            <sz val="9"/>
            <color indexed="81"/>
            <rFont val="Tahoma"/>
            <family val="2"/>
          </rPr>
          <t xml:space="preserve">
Total number of transects
LDE: divided 6.7 km by the pixel distance along the transect to get n samples (short transect)
</t>
        </r>
      </text>
    </comment>
    <comment ref="M159" authorId="0">
      <text>
        <r>
          <rPr>
            <b/>
            <sz val="9"/>
            <color indexed="81"/>
            <rFont val="Arial"/>
          </rPr>
          <t>Lyndon Estes:</t>
        </r>
        <r>
          <rPr>
            <sz val="9"/>
            <color indexed="81"/>
            <rFont val="Arial"/>
          </rPr>
          <t xml:space="preserve">
Aircraft was moving at 40 m/second, 3 meters covered per sample.  Pixel capture time is what we need here
But here we'll just the token 1 second that we assume elsewhere for instantaneous observations</t>
        </r>
      </text>
    </comment>
    <comment ref="N159" authorId="0">
      <text>
        <r>
          <rPr>
            <b/>
            <sz val="9"/>
            <color indexed="81"/>
            <rFont val="Arial"/>
          </rPr>
          <t>Lyndon Estes:</t>
        </r>
        <r>
          <rPr>
            <sz val="9"/>
            <color indexed="81"/>
            <rFont val="Arial"/>
          </rPr>
          <t xml:space="preserve">
They were actually making repeat flights per Table 1, so in the case of the short transect, it was 42 flights, and I added the 13 days of time together (assumed they were contiguous in time), so 13 days divide by 42 flights. I assume flights were all daylight, but didnt' correct it to dalylight hours</t>
        </r>
      </text>
    </comment>
    <comment ref="O159" authorId="4">
      <text>
        <r>
          <rPr>
            <b/>
            <sz val="9"/>
            <color indexed="81"/>
            <rFont val="Tahoma"/>
            <family val="2"/>
          </rPr>
          <t>Jason:</t>
        </r>
        <r>
          <rPr>
            <sz val="9"/>
            <color indexed="81"/>
            <rFont val="Tahoma"/>
            <family val="2"/>
          </rPr>
          <t xml:space="preserve">
Assuming each flight lasted 1 hour for each of the 187 flights. 
LDE: sampling duration is calculated on the pixel, not the total flight, so effectively instantaneous</t>
        </r>
      </text>
    </comment>
    <comment ref="P159" authorId="5">
      <text>
        <r>
          <rPr>
            <b/>
            <sz val="10"/>
            <color indexed="81"/>
            <rFont val="TimesNewRomanPSMT"/>
          </rPr>
          <t>Paul R. Elsen:</t>
        </r>
        <r>
          <rPr>
            <sz val="10"/>
            <color indexed="81"/>
            <rFont val="TimesNewRomanPSMT"/>
          </rPr>
          <t xml:space="preserve">
Long, short, and PER transects - data recorded 8/10-8/12 and 8/23-9/2. Effective duration then from 8/10-9/2 = 23 days (same for above and below cells)</t>
        </r>
      </text>
    </comment>
    <comment ref="I160" authorId="4">
      <text>
        <r>
          <rPr>
            <b/>
            <sz val="9"/>
            <color indexed="81"/>
            <rFont val="Tahoma"/>
            <family val="2"/>
          </rPr>
          <t>Jason:</t>
        </r>
        <r>
          <rPr>
            <sz val="9"/>
            <color indexed="81"/>
            <rFont val="Tahoma"/>
            <family val="2"/>
          </rPr>
          <t xml:space="preserve">
 estimated 20m pixel size
LDE: Actually reading that paper they state the effective pixel resolution was 1.1X3.0 m</t>
        </r>
      </text>
    </comment>
    <comment ref="J160" authorId="0">
      <text>
        <r>
          <rPr>
            <b/>
            <sz val="9"/>
            <color indexed="81"/>
            <rFont val="Arial"/>
          </rPr>
          <t>Lyndon Estes:</t>
        </r>
        <r>
          <rPr>
            <sz val="9"/>
            <color indexed="81"/>
            <rFont val="Arial"/>
          </rPr>
          <t xml:space="preserve">
5500 m transect / 3 m forward pixel resolution</t>
        </r>
      </text>
    </comment>
    <comment ref="M160" authorId="0">
      <text>
        <r>
          <rPr>
            <b/>
            <sz val="9"/>
            <color indexed="81"/>
            <rFont val="Arial"/>
          </rPr>
          <t>Lyndon Estes:</t>
        </r>
        <r>
          <rPr>
            <sz val="9"/>
            <color indexed="81"/>
            <rFont val="Arial"/>
          </rPr>
          <t xml:space="preserve">
Aircraft was moving at 40 m/second, 3 meters covered per sample.  Pixel capture time is what we need here
But here we'll just the token 1 second that we assume elsewhere for instantaneous observations</t>
        </r>
      </text>
    </comment>
    <comment ref="N160" authorId="0">
      <text>
        <r>
          <rPr>
            <b/>
            <sz val="9"/>
            <color indexed="81"/>
            <rFont val="Arial"/>
          </rPr>
          <t>Lyndon Estes:</t>
        </r>
        <r>
          <rPr>
            <sz val="9"/>
            <color indexed="81"/>
            <rFont val="Arial"/>
          </rPr>
          <t xml:space="preserve">
They were actually making repeat flights per Table 1, so in the case of the short transect, it was 35 flights, and I added the 13 days of time together (assumed they were contiguous in time), so 13 days divide by 35 flights. I assume flights were all daylight, but didnt' correct it to dalylight hours</t>
        </r>
      </text>
    </comment>
    <comment ref="O160" authorId="4">
      <text>
        <r>
          <rPr>
            <b/>
            <sz val="9"/>
            <color indexed="81"/>
            <rFont val="Tahoma"/>
            <family val="2"/>
          </rPr>
          <t>Jason:</t>
        </r>
        <r>
          <rPr>
            <sz val="9"/>
            <color indexed="81"/>
            <rFont val="Tahoma"/>
            <family val="2"/>
          </rPr>
          <t xml:space="preserve">
Assuming each flight lasted 1 hour for each of the 187 flights. 
LDE: sampling duration is calculated on the pixel, not the total flight, so effectively instantaneous</t>
        </r>
      </text>
    </comment>
    <comment ref="I161" authorId="0">
      <text>
        <r>
          <rPr>
            <b/>
            <sz val="9"/>
            <color indexed="81"/>
            <rFont val="Arial"/>
          </rPr>
          <t>Lyndon Estes:</t>
        </r>
        <r>
          <rPr>
            <sz val="9"/>
            <color indexed="81"/>
            <rFont val="Arial"/>
          </rPr>
          <t xml:space="preserve">
MODIS pixel size of 232 m</t>
        </r>
      </text>
    </comment>
    <comment ref="J161" authorId="0">
      <text>
        <r>
          <rPr>
            <b/>
            <sz val="9"/>
            <color indexed="81"/>
            <rFont val="Arial"/>
          </rPr>
          <t>Lyndon Estes:</t>
        </r>
        <r>
          <rPr>
            <sz val="9"/>
            <color indexed="81"/>
            <rFont val="Arial"/>
          </rPr>
          <t xml:space="preserve">
MODIS image looks like it was used to cover 1802 km2, so backing pixel number out of this and plot_res</t>
        </r>
      </text>
    </comment>
    <comment ref="L161" authorId="0">
      <text>
        <r>
          <rPr>
            <b/>
            <sz val="9"/>
            <color indexed="81"/>
            <rFont val="Arial"/>
          </rPr>
          <t>Lyndon Estes:</t>
        </r>
        <r>
          <rPr>
            <sz val="9"/>
            <color indexed="81"/>
            <rFont val="Arial"/>
          </rPr>
          <t xml:space="preserve">
Works out to assumed 1802km^2 area</t>
        </r>
      </text>
    </comment>
    <comment ref="M161" authorId="0">
      <text>
        <r>
          <rPr>
            <b/>
            <sz val="9"/>
            <color indexed="81"/>
            <rFont val="Arial"/>
          </rPr>
          <t>Lyndon Estes:</t>
        </r>
        <r>
          <rPr>
            <sz val="9"/>
            <color indexed="81"/>
            <rFont val="Arial"/>
          </rPr>
          <t xml:space="preserve">
MODIS time
But here we'll just the token 1 second that we assume elsewhere for instantaneous observations</t>
        </r>
      </text>
    </comment>
    <comment ref="O161" authorId="0">
      <text>
        <r>
          <rPr>
            <b/>
            <sz val="9"/>
            <color indexed="81"/>
            <rFont val="Arial"/>
          </rPr>
          <t>Lyndon Estes:</t>
        </r>
        <r>
          <rPr>
            <sz val="9"/>
            <color indexed="81"/>
            <rFont val="Arial"/>
          </rPr>
          <t xml:space="preserve">
They only used a single 8-day image, which effectively means one observation in each day</t>
        </r>
      </text>
    </comment>
    <comment ref="P161" authorId="5">
      <text>
        <r>
          <rPr>
            <b/>
            <sz val="10"/>
            <color indexed="81"/>
            <rFont val="TimesNewRomanPSMT"/>
          </rPr>
          <t>Paul R. Elsen:</t>
        </r>
        <r>
          <rPr>
            <sz val="10"/>
            <color indexed="81"/>
            <rFont val="TimesNewRomanPSMT"/>
          </rPr>
          <t xml:space="preserve">
Single image so once-off, eff_dur = act_dur</t>
        </r>
      </text>
    </comment>
    <comment ref="I162" authorId="4">
      <text>
        <r>
          <rPr>
            <b/>
            <sz val="9"/>
            <color indexed="81"/>
            <rFont val="Tahoma"/>
            <family val="2"/>
          </rPr>
          <t>Jason:</t>
        </r>
        <r>
          <rPr>
            <sz val="9"/>
            <color indexed="81"/>
            <rFont val="Tahoma"/>
            <family val="2"/>
          </rPr>
          <t xml:space="preserve">
estimated size of flux tower
LDE: assume instruments doing the measurements have about 1 cm radius</t>
        </r>
      </text>
    </comment>
    <comment ref="M162" authorId="4">
      <text>
        <r>
          <rPr>
            <b/>
            <sz val="9"/>
            <color indexed="81"/>
            <rFont val="Tahoma"/>
            <family val="2"/>
          </rPr>
          <t>Jason:</t>
        </r>
        <r>
          <rPr>
            <sz val="9"/>
            <color indexed="81"/>
            <rFont val="Tahoma"/>
            <family val="2"/>
          </rPr>
          <t xml:space="preserve">
average of two 13 day sampling frames
LDE: flux tower values were averaged into half hour increments</t>
        </r>
      </text>
    </comment>
    <comment ref="N162" authorId="0">
      <text>
        <r>
          <rPr>
            <b/>
            <sz val="9"/>
            <color indexed="81"/>
            <rFont val="Arial"/>
          </rPr>
          <t>Lyndon Estes:</t>
        </r>
        <r>
          <rPr>
            <sz val="9"/>
            <color indexed="81"/>
            <rFont val="Arial"/>
          </rPr>
          <t xml:space="preserve">
I changed this to 0, because the tower measurements were continuous, and I am treating the period of continuous measurments as the average of the two periods reported (because only 2 towers were used at any given time, they didn't have full coverage over all sites for the whole study period
LDE: 24/5/2016. Changed back to be consistent with others.  Interval is averaging period</t>
        </r>
      </text>
    </comment>
    <comment ref="O162" authorId="4">
      <text>
        <r>
          <rPr>
            <b/>
            <sz val="9"/>
            <color indexed="81"/>
            <rFont val="Tahoma"/>
            <family val="2"/>
          </rPr>
          <t>Jason:</t>
        </r>
        <r>
          <rPr>
            <sz val="9"/>
            <color indexed="81"/>
            <rFont val="Tahoma"/>
            <family val="2"/>
          </rPr>
          <t xml:space="preserve">
Took average of each sampling duration for each site
LDE: close--I treated each interval as separate units of observation because they are tangled up with spatial replicates (3 places were sampled, but they only had two covered at any one time), so the average duration of coverage across all sites is the average of the two periods</t>
        </r>
      </text>
    </comment>
    <comment ref="P162" authorId="5">
      <text>
        <r>
          <rPr>
            <b/>
            <sz val="10"/>
            <color indexed="81"/>
            <rFont val="TimesNewRomanPSMT"/>
          </rPr>
          <t>Paul R. Elsen:</t>
        </r>
        <r>
          <rPr>
            <sz val="10"/>
            <color indexed="81"/>
            <rFont val="TimesNewRomanPSMT"/>
          </rPr>
          <t xml:space="preserve">
I don't see any difference in sampling period here, so perhaps the original value of 32 was a typo?</t>
        </r>
      </text>
    </comment>
    <comment ref="I163" authorId="4">
      <text>
        <r>
          <rPr>
            <b/>
            <sz val="9"/>
            <color indexed="81"/>
            <rFont val="Tahoma"/>
            <family val="2"/>
          </rPr>
          <t>Jason:</t>
        </r>
        <r>
          <rPr>
            <sz val="9"/>
            <color indexed="81"/>
            <rFont val="Tahoma"/>
            <family val="2"/>
          </rPr>
          <t xml:space="preserve">
1x1m plot</t>
        </r>
      </text>
    </comment>
    <comment ref="J163" authorId="4">
      <text>
        <r>
          <rPr>
            <b/>
            <sz val="9"/>
            <color indexed="81"/>
            <rFont val="Tahoma"/>
            <family val="2"/>
          </rPr>
          <t>Jason:</t>
        </r>
        <r>
          <rPr>
            <sz val="9"/>
            <color indexed="81"/>
            <rFont val="Tahoma"/>
            <family val="2"/>
          </rPr>
          <t xml:space="preserve">
48 sites with 20 plots at each site</t>
        </r>
      </text>
    </comment>
    <comment ref="K163" authorId="5">
      <text>
        <r>
          <rPr>
            <b/>
            <sz val="10"/>
            <color indexed="81"/>
            <rFont val="TimesNewRomanPSMT"/>
          </rPr>
          <t>Paul R. Elsen:</t>
        </r>
        <r>
          <rPr>
            <sz val="10"/>
            <color indexed="81"/>
            <rFont val="TimesNewRomanPSMT"/>
          </rPr>
          <t xml:space="preserve">
Kolombangara Island, easily delineated in GE Pro at 70,234.37 ha</t>
        </r>
      </text>
    </comment>
    <comment ref="M163" authorId="4">
      <text>
        <r>
          <rPr>
            <b/>
            <sz val="9"/>
            <color indexed="81"/>
            <rFont val="Tahoma"/>
            <family val="2"/>
          </rPr>
          <t>Jason:</t>
        </r>
        <r>
          <rPr>
            <sz val="9"/>
            <color indexed="81"/>
            <rFont val="Tahoma"/>
            <family val="2"/>
          </rPr>
          <t xml:space="preserve">
estimate
Changed from 3 hours to 1 hour. Although the plotres was only 1squared meter, the amount of vegetation that was classified within each plot was considerable. </t>
        </r>
      </text>
    </comment>
    <comment ref="O163" authorId="4">
      <text>
        <r>
          <rPr>
            <b/>
            <sz val="9"/>
            <color indexed="81"/>
            <rFont val="Tahoma"/>
            <family val="2"/>
          </rPr>
          <t>Jason:</t>
        </r>
        <r>
          <rPr>
            <sz val="9"/>
            <color indexed="81"/>
            <rFont val="Tahoma"/>
            <family val="2"/>
          </rPr>
          <t xml:space="preserve">
Assuming 3 hours was spent at each of the 20 1 x 1 plots within each site
LDE: if each sample plot was only collected once, then use the samp_duration for a single plot as this value. 3 hours is long to collect a 1X1 area.
JC: Changed to samp_duration
</t>
        </r>
      </text>
    </comment>
    <comment ref="P163" authorId="5">
      <text>
        <r>
          <rPr>
            <b/>
            <sz val="10"/>
            <color indexed="81"/>
            <rFont val="TimesNewRomanPSMT"/>
          </rPr>
          <t>Paul R. Elsen:</t>
        </r>
        <r>
          <rPr>
            <sz val="10"/>
            <color indexed="81"/>
            <rFont val="TimesNewRomanPSMT"/>
          </rPr>
          <t xml:space="preserve">
Surveys conducted in April and May 2009 = 30 + 31 = 61 days (changed from 60)
</t>
        </r>
        <r>
          <rPr>
            <b/>
            <sz val="10"/>
            <color indexed="81"/>
            <rFont val="TimesNewRomanPSMT"/>
          </rPr>
          <t xml:space="preserve">
PE 4/21/17:</t>
        </r>
        <r>
          <rPr>
            <sz val="10"/>
            <color indexed="81"/>
            <rFont val="TimesNewRomanPSMT"/>
          </rPr>
          <t xml:space="preserve"> Updated to act_dur (once-off)</t>
        </r>
      </text>
    </comment>
    <comment ref="I164" authorId="4">
      <text>
        <r>
          <rPr>
            <b/>
            <sz val="9"/>
            <color indexed="81"/>
            <rFont val="Tahoma"/>
            <family val="2"/>
          </rPr>
          <t xml:space="preserve">Jason:
</t>
        </r>
        <r>
          <rPr>
            <sz val="9"/>
            <color indexed="81"/>
            <rFont val="Tahoma"/>
            <family val="2"/>
          </rPr>
          <t xml:space="preserve">
Fetch had radius of 1km. So I calculated the area with a radius of 1000m.
To be consistent with other flux measures, I am reducing this to estimate of sensor size</t>
        </r>
      </text>
    </comment>
    <comment ref="K164" authorId="5">
      <text>
        <r>
          <rPr>
            <b/>
            <sz val="10"/>
            <color indexed="81"/>
            <rFont val="TimesNewRomanPSMT"/>
          </rPr>
          <t>Paul R. Elsen:</t>
        </r>
        <r>
          <rPr>
            <sz val="10"/>
            <color indexed="81"/>
            <rFont val="TimesNewRomanPSMT"/>
          </rPr>
          <t xml:space="preserve">
Study area is Haibei Research Station, Chinese Academy of Sciences, Qinhai, China in alpine shrubland at 3250 m asl. Coordinates given and shrubland identifiable on GE. Used the polygon tool to delineate the shrubland area surrounding the point at similar elevations (~3150 - 3300 m); area bounded by mountains and farmland totalling 2070.11 ha</t>
        </r>
      </text>
    </comment>
    <comment ref="M164" authorId="4">
      <text>
        <r>
          <rPr>
            <b/>
            <sz val="9"/>
            <color indexed="81"/>
            <rFont val="Tahoma"/>
            <family val="2"/>
          </rPr>
          <t>Jason:</t>
        </r>
        <r>
          <rPr>
            <sz val="9"/>
            <color indexed="81"/>
            <rFont val="Tahoma"/>
            <family val="2"/>
          </rPr>
          <t xml:space="preserve">
Assuming instantaneous measurement
LDE: measurements integrated over 30 minutes</t>
        </r>
      </text>
    </comment>
    <comment ref="N164" authorId="4">
      <text>
        <r>
          <rPr>
            <b/>
            <sz val="9"/>
            <color indexed="81"/>
            <rFont val="Tahoma"/>
            <family val="2"/>
          </rPr>
          <t>Jason:</t>
        </r>
        <r>
          <rPr>
            <sz val="9"/>
            <color indexed="81"/>
            <rFont val="Tahoma"/>
            <family val="2"/>
          </rPr>
          <t xml:space="preserve">
continuous sampling by tower
OR
should this reflect each incriment that the tower took a measurement (rate of 10 Hz which equals every .1 seconds)
JC: Although the tower took measurements, every .1 seconds, measurements were logged (sampled) every 30 minutes. 
LDE: So I reduced this to 0 originally, because no time between samples, but I have decided to make the interval of loggers equal the averaging period (which is what I initially did)
</t>
        </r>
      </text>
    </comment>
    <comment ref="O164" authorId="4">
      <text>
        <r>
          <rPr>
            <b/>
            <sz val="9"/>
            <color indexed="81"/>
            <rFont val="Tahoma"/>
            <family val="2"/>
          </rPr>
          <t>Jason:</t>
        </r>
        <r>
          <rPr>
            <sz val="9"/>
            <color indexed="81"/>
            <rFont val="Tahoma"/>
            <family val="2"/>
          </rPr>
          <t xml:space="preserve">
Changed to samp_duration
LDE: They sampled for a full 2 years, with constant measurements from the flux tower</t>
        </r>
      </text>
    </comment>
    <comment ref="P164" authorId="5">
      <text>
        <r>
          <rPr>
            <b/>
            <sz val="10"/>
            <color indexed="81"/>
            <rFont val="TimesNewRomanPSMT"/>
          </rPr>
          <t>Paul R. Elsen:</t>
        </r>
        <r>
          <rPr>
            <sz val="10"/>
            <color indexed="81"/>
            <rFont val="TimesNewRomanPSMT"/>
          </rPr>
          <t xml:space="preserve">
Samples taken from 1 Jan 2003 - 31 Dec 2004 = 365 * 2 = 730</t>
        </r>
      </text>
    </comment>
    <comment ref="I165" authorId="0">
      <text>
        <r>
          <rPr>
            <b/>
            <sz val="9"/>
            <color indexed="81"/>
            <rFont val="Arial"/>
          </rPr>
          <t>Lyndon Estes:</t>
        </r>
        <r>
          <rPr>
            <sz val="9"/>
            <color indexed="81"/>
            <rFont val="Arial"/>
          </rPr>
          <t xml:space="preserve">
Biomass and LAI plots. Assume 1 m^2, no value given</t>
        </r>
      </text>
    </comment>
    <comment ref="J165" authorId="0">
      <text>
        <r>
          <rPr>
            <b/>
            <sz val="9"/>
            <color indexed="81"/>
            <rFont val="Arial"/>
          </rPr>
          <t>Lyndon Estes:</t>
        </r>
        <r>
          <rPr>
            <sz val="9"/>
            <color indexed="81"/>
            <rFont val="Arial"/>
          </rPr>
          <t xml:space="preserve">
Assume they had at least 3 plots they were averaging over. No value given whatsooever</t>
        </r>
      </text>
    </comment>
    <comment ref="M165" authorId="0">
      <text>
        <r>
          <rPr>
            <b/>
            <sz val="9"/>
            <color indexed="81"/>
            <rFont val="Arial"/>
          </rPr>
          <t>Lyndon Estes:</t>
        </r>
        <r>
          <rPr>
            <sz val="9"/>
            <color indexed="81"/>
            <rFont val="Arial"/>
          </rPr>
          <t xml:space="preserve">
Biomass samples effectively integrating biomass/LAI over 14 days. Unlikely ot change much
LDE: changing this back for now, because we need to be consistent with these types of samples. Still not measuring between intervals, and if we are changing these types of unlikely to change between samples measurements, then we have to do it for all of them</t>
        </r>
      </text>
    </comment>
    <comment ref="O165" authorId="0">
      <text>
        <r>
          <rPr>
            <b/>
            <sz val="9"/>
            <color indexed="81"/>
            <rFont val="Arial"/>
          </rPr>
          <t>Lyndon Estes:</t>
        </r>
        <r>
          <rPr>
            <sz val="9"/>
            <color indexed="81"/>
            <rFont val="Arial"/>
          </rPr>
          <t xml:space="preserve">
Assume 5 month growing season X 2 years (late April to early October)
LDE: changed back to be consistent.  (see samp_duration comment).  Twice a month during 5 month growing X two years</t>
        </r>
      </text>
    </comment>
    <comment ref="P165" authorId="5">
      <text>
        <r>
          <rPr>
            <b/>
            <sz val="10"/>
            <color indexed="81"/>
            <rFont val="TimesNewRomanPSMT"/>
          </rPr>
          <t>Paul R. Elsen:</t>
        </r>
        <r>
          <rPr>
            <sz val="10"/>
            <color indexed="81"/>
            <rFont val="TimesNewRomanPSMT"/>
          </rPr>
          <t xml:space="preserve">
Same as above</t>
        </r>
      </text>
    </comment>
    <comment ref="I166" authorId="0">
      <text>
        <r>
          <rPr>
            <b/>
            <sz val="9"/>
            <color indexed="81"/>
            <rFont val="Arial"/>
          </rPr>
          <t>Lyndon Estes:</t>
        </r>
        <r>
          <rPr>
            <sz val="9"/>
            <color indexed="81"/>
            <rFont val="Arial"/>
          </rPr>
          <t xml:space="preserve">
Can you check this one, please?  What is 20 for? 
JC: I did this calculation incorrectly, updated to estimated size of a fyke net and seine net. The two net sizes were then averaged.
Fyke: 150x4 ft
Seine net: 4x20 ft
LDE: conversion not right between square feet and square meters. Conversion factor of 0.304 is for linear meter. For square foot to square meters its 0.0929</t>
        </r>
      </text>
    </comment>
    <comment ref="K166" authorId="5">
      <text>
        <r>
          <rPr>
            <b/>
            <sz val="10"/>
            <color indexed="81"/>
            <rFont val="TimesNewRomanPSMT"/>
          </rPr>
          <t>Paul R. Elsen:</t>
        </r>
        <r>
          <rPr>
            <sz val="10"/>
            <color indexed="81"/>
            <rFont val="TimesNewRomanPSMT"/>
          </rPr>
          <t xml:space="preserve">
9 study sites given in Fig 1/Table 1. Located each in GE Pro and delineated lower catchments or lakes. Most were easily delineated as they were labeled well in GE. Nine areas as follows (in ha):
1. Dundonnell: 2106.17
2. Dunstaffnage: 1708.43
3. Glen Mor: 448.24
4. Kinlocheil: 337.12
5. Loch Fyne: 818.75
6. Loch Linhe: 5456.36
7. Laxdale: 232.50
8. Laxford: 567.62
9. Shieldaig: 900.44
Total = 12575.63 ha</t>
        </r>
      </text>
    </comment>
    <comment ref="M166" authorId="4">
      <text>
        <r>
          <rPr>
            <b/>
            <sz val="9"/>
            <color indexed="81"/>
            <rFont val="Tahoma"/>
            <family val="2"/>
          </rPr>
          <t>Jason:</t>
        </r>
        <r>
          <rPr>
            <sz val="9"/>
            <color indexed="81"/>
            <rFont val="Tahoma"/>
            <family val="2"/>
          </rPr>
          <t xml:space="preserve">
estimate made
LDE: assume fish-catching took 2 hours at each site</t>
        </r>
      </text>
    </comment>
    <comment ref="N166" authorId="4">
      <text>
        <r>
          <rPr>
            <b/>
            <sz val="9"/>
            <color indexed="81"/>
            <rFont val="Tahoma"/>
            <family val="2"/>
          </rPr>
          <t>Jason:</t>
        </r>
        <r>
          <rPr>
            <sz val="9"/>
            <color indexed="81"/>
            <rFont val="Tahoma"/>
            <family val="2"/>
          </rPr>
          <t xml:space="preserve">
547.501 days in 18 months, which is the estimated duration of 1 fish farm cycle.  
http://www.thefishsite.com/articles/907/cultured-aquaculture-species-rainbow-trout/
LDE: looks like they caught fish in May-June of just two years, so 365 days between samples</t>
        </r>
      </text>
    </comment>
    <comment ref="O166" authorId="4">
      <text>
        <r>
          <rPr>
            <b/>
            <sz val="9"/>
            <color indexed="81"/>
            <rFont val="Tahoma"/>
            <family val="2"/>
          </rPr>
          <t>Jason:</t>
        </r>
        <r>
          <rPr>
            <sz val="9"/>
            <color indexed="81"/>
            <rFont val="Tahoma"/>
            <family val="2"/>
          </rPr>
          <t xml:space="preserve">
Assuming a full day was spent at 1 of each of the 10 sites for every fish farm cycle
JC: Changed to samp duration
LDE: these were actually repeat samples of the same river sites (over two years)</t>
        </r>
      </text>
    </comment>
    <comment ref="P166" authorId="5">
      <text>
        <r>
          <rPr>
            <b/>
            <sz val="10"/>
            <color indexed="81"/>
            <rFont val="TimesNewRomanPSMT"/>
          </rPr>
          <t>Paul R. Elsen:</t>
        </r>
        <r>
          <rPr>
            <sz val="10"/>
            <color indexed="81"/>
            <rFont val="TimesNewRomanPSMT"/>
          </rPr>
          <t xml:space="preserve">
Presence/absence sampling in 2000 and 2001 = 365 * 2 = 730 (changed from 365)</t>
        </r>
      </text>
    </comment>
    <comment ref="I167" authorId="6">
      <text>
        <r>
          <rPr>
            <sz val="10"/>
            <color rgb="FF000000"/>
            <rFont val="Arial"/>
          </rPr>
          <t>Assuming the range of electrofishing was 15x5 ft
LDE: Hatton-Ellis et al 2006 give the details on electro-fishing</t>
        </r>
      </text>
    </comment>
    <comment ref="J167" authorId="4">
      <text>
        <r>
          <rPr>
            <b/>
            <sz val="9"/>
            <color indexed="81"/>
            <rFont val="Tahoma"/>
            <family val="2"/>
          </rPr>
          <t>Jason:</t>
        </r>
        <r>
          <rPr>
            <sz val="9"/>
            <color indexed="81"/>
            <rFont val="Tahoma"/>
            <family val="2"/>
          </rPr>
          <t xml:space="preserve">
9 fish farms were electrofished
LDE: They only electro-fished in the River Sheaildag.  </t>
        </r>
      </text>
    </comment>
    <comment ref="M167" authorId="4">
      <text>
        <r>
          <rPr>
            <b/>
            <sz val="9"/>
            <color indexed="81"/>
            <rFont val="Tahoma"/>
            <family val="2"/>
          </rPr>
          <t>Jason:</t>
        </r>
        <r>
          <rPr>
            <sz val="9"/>
            <color indexed="81"/>
            <rFont val="Tahoma"/>
            <family val="2"/>
          </rPr>
          <t xml:space="preserve">
estimate made
LDE: might have been longer, since sampling was done in may and june of each year. Let's assume 1 week of sustained effort</t>
        </r>
      </text>
    </comment>
    <comment ref="N167" authorId="4">
      <text>
        <r>
          <rPr>
            <b/>
            <sz val="9"/>
            <color indexed="81"/>
            <rFont val="Tahoma"/>
            <family val="2"/>
          </rPr>
          <t>Jason:</t>
        </r>
        <r>
          <rPr>
            <sz val="9"/>
            <color indexed="81"/>
            <rFont val="Tahoma"/>
            <family val="2"/>
          </rPr>
          <t xml:space="preserve">
547.501 days in 18 months, which is the estimated duration of 1 fish farm cycle.  
http://www.thefishsite.com/articles/907/cultured-aquaculture-species-rainbow-trout/
LDE: but sounds like they sampled in each year for the fish</t>
        </r>
      </text>
    </comment>
    <comment ref="O167" authorId="4">
      <text>
        <r>
          <rPr>
            <b/>
            <sz val="9"/>
            <color indexed="81"/>
            <rFont val="Tahoma"/>
            <family val="2"/>
          </rPr>
          <t>Jason:</t>
        </r>
        <r>
          <rPr>
            <sz val="9"/>
            <color indexed="81"/>
            <rFont val="Tahoma"/>
            <family val="2"/>
          </rPr>
          <t xml:space="preserve">
Assuming a full day was spent at 1 of each of the 10 sites for every fish farm cycle
JC: Changed to samp duration
</t>
        </r>
      </text>
    </comment>
    <comment ref="P167" authorId="5">
      <text>
        <r>
          <rPr>
            <b/>
            <sz val="10"/>
            <color indexed="81"/>
            <rFont val="TimesNewRomanPSMT"/>
          </rPr>
          <t>Paul R. Elsen:</t>
        </r>
        <r>
          <rPr>
            <sz val="10"/>
            <color indexed="81"/>
            <rFont val="TimesNewRomanPSMT"/>
          </rPr>
          <t xml:space="preserve">
Fish anaesthetized 2002 - 2009 = 8 years = 8 * 365 = 2920 (changed from 3285)
</t>
        </r>
      </text>
    </comment>
    <comment ref="I168" authorId="0">
      <text>
        <r>
          <rPr>
            <b/>
            <sz val="9"/>
            <color indexed="81"/>
            <rFont val="Arial"/>
          </rPr>
          <t>Lyndon Estes:</t>
        </r>
        <r>
          <rPr>
            <sz val="9"/>
            <color indexed="81"/>
            <rFont val="Arial"/>
          </rPr>
          <t xml:space="preserve">
Check this please
JC: Quoting from the paper: 
"Plant species were recorded in spring 2006 in 80 1-m2 plots that had been distributed using a stratified random sampling scheme."</t>
        </r>
      </text>
    </comment>
    <comment ref="K168" authorId="5">
      <text>
        <r>
          <rPr>
            <b/>
            <sz val="10"/>
            <color indexed="81"/>
            <rFont val="TimesNewRomanPSMT"/>
          </rPr>
          <t>Paul R. Elsen:</t>
        </r>
        <r>
          <rPr>
            <sz val="10"/>
            <color indexed="81"/>
            <rFont val="TimesNewRomanPSMT"/>
          </rPr>
          <t xml:space="preserve">
Study area given as Alzette Floodplain in Luxembourg in a flood meadow. Using the coordinates, I bound what looked like a meadow at 6.88 ha.</t>
        </r>
      </text>
    </comment>
    <comment ref="M168" authorId="4">
      <text>
        <r>
          <rPr>
            <b/>
            <sz val="9"/>
            <color indexed="81"/>
            <rFont val="Tahoma"/>
            <family val="2"/>
          </rPr>
          <t>Jason:</t>
        </r>
        <r>
          <rPr>
            <sz val="9"/>
            <color indexed="81"/>
            <rFont val="Tahoma"/>
            <family val="2"/>
          </rPr>
          <t xml:space="preserve">
estimate made
LDE: actually probably much shorted for such a small plot.  I estimate 30 minutes</t>
        </r>
      </text>
    </comment>
    <comment ref="O168" authorId="4">
      <text>
        <r>
          <rPr>
            <b/>
            <sz val="9"/>
            <color indexed="81"/>
            <rFont val="Tahoma"/>
            <family val="2"/>
          </rPr>
          <t>Jason:</t>
        </r>
        <r>
          <rPr>
            <sz val="9"/>
            <color indexed="81"/>
            <rFont val="Tahoma"/>
            <family val="2"/>
          </rPr>
          <t xml:space="preserve">
Assuming 1 day was taken to measure each of the 10 plots that were in the same stratum (8 stratums)
LDE: if there were no repeat samples, then this = samp_duration
JC: Changed to samp_duration
LDE: edited to reflect like sampling time</t>
        </r>
      </text>
    </comment>
    <comment ref="P168" authorId="4">
      <text>
        <r>
          <rPr>
            <b/>
            <sz val="9"/>
            <color indexed="81"/>
            <rFont val="Tahoma"/>
            <family val="2"/>
          </rPr>
          <t>Jason:</t>
        </r>
        <r>
          <rPr>
            <sz val="9"/>
            <color indexed="81"/>
            <rFont val="Tahoma"/>
            <family val="2"/>
          </rPr>
          <t xml:space="preserve">
Estimated number of days in "spring"
</t>
        </r>
        <r>
          <rPr>
            <b/>
            <sz val="9"/>
            <color indexed="81"/>
            <rFont val="Tahoma"/>
            <family val="2"/>
          </rPr>
          <t xml:space="preserve">Paul Elsen: </t>
        </r>
        <r>
          <rPr>
            <sz val="9"/>
            <color indexed="81"/>
            <rFont val="Tahoma"/>
            <family val="2"/>
          </rPr>
          <t xml:space="preserve">This is for species occurrence only
</t>
        </r>
        <r>
          <rPr>
            <b/>
            <sz val="9"/>
            <color indexed="81"/>
            <rFont val="Tahoma"/>
            <family val="2"/>
          </rPr>
          <t xml:space="preserve">
PE 4/21/17:</t>
        </r>
        <r>
          <rPr>
            <sz val="9"/>
            <color indexed="81"/>
            <rFont val="Tahoma"/>
            <family val="2"/>
          </rPr>
          <t xml:space="preserve"> Updated to act_dur (once-off)</t>
        </r>
      </text>
    </comment>
    <comment ref="I169" authorId="0">
      <text>
        <r>
          <rPr>
            <b/>
            <sz val="9"/>
            <color indexed="81"/>
            <rFont val="Arial"/>
          </rPr>
          <t xml:space="preserve">Lyndon Estes:
</t>
        </r>
        <r>
          <rPr>
            <sz val="9"/>
            <color indexed="81"/>
            <rFont val="Arial"/>
          </rPr>
          <t>Estimated area of single leaf sampled from each species</t>
        </r>
      </text>
    </comment>
    <comment ref="J169" authorId="0">
      <text>
        <r>
          <rPr>
            <b/>
            <sz val="9"/>
            <color indexed="81"/>
            <rFont val="Arial"/>
          </rPr>
          <t>Lyndon Estes:</t>
        </r>
        <r>
          <rPr>
            <sz val="9"/>
            <color indexed="81"/>
            <rFont val="Arial"/>
          </rPr>
          <t xml:space="preserve">
Took average of 6-30 species across all elevation strata, and multipled by N strata and 10 individuals per species sampled</t>
        </r>
      </text>
    </comment>
    <comment ref="O169" authorId="0">
      <text>
        <r>
          <rPr>
            <b/>
            <sz val="9"/>
            <color indexed="81"/>
            <rFont val="Arial"/>
          </rPr>
          <t>Lyndon Estes:</t>
        </r>
        <r>
          <rPr>
            <sz val="9"/>
            <color indexed="81"/>
            <rFont val="Arial"/>
          </rPr>
          <t xml:space="preserve">
Once-off</t>
        </r>
      </text>
    </comment>
    <comment ref="P169" authorId="4">
      <text>
        <r>
          <rPr>
            <b/>
            <sz val="9"/>
            <color indexed="81"/>
            <rFont val="Tahoma"/>
            <family val="2"/>
          </rPr>
          <t>Jason:</t>
        </r>
        <r>
          <rPr>
            <sz val="9"/>
            <color indexed="81"/>
            <rFont val="Tahoma"/>
            <family val="2"/>
          </rPr>
          <t xml:space="preserve">
Estimated number of days in "spring"
</t>
        </r>
        <r>
          <rPr>
            <b/>
            <sz val="9"/>
            <color indexed="81"/>
            <rFont val="Tahoma"/>
            <family val="2"/>
          </rPr>
          <t xml:space="preserve">Paul Elsen: </t>
        </r>
        <r>
          <rPr>
            <sz val="9"/>
            <color indexed="81"/>
            <rFont val="Tahoma"/>
            <family val="2"/>
          </rPr>
          <t xml:space="preserve">For SLA and LDMC, sampling occurred in May and June, so 61 days
</t>
        </r>
        <r>
          <rPr>
            <b/>
            <sz val="9"/>
            <color indexed="81"/>
            <rFont val="Tahoma"/>
            <family val="2"/>
          </rPr>
          <t xml:space="preserve">
PE 4/21/17:</t>
        </r>
        <r>
          <rPr>
            <sz val="9"/>
            <color indexed="81"/>
            <rFont val="Tahoma"/>
            <family val="2"/>
          </rPr>
          <t xml:space="preserve"> Updated to act_dur (once-off)</t>
        </r>
      </text>
    </comment>
    <comment ref="I170" authorId="0">
      <text>
        <r>
          <rPr>
            <b/>
            <sz val="9"/>
            <color indexed="81"/>
            <rFont val="Arial"/>
          </rPr>
          <t>Lyndon Estes:</t>
        </r>
        <r>
          <rPr>
            <sz val="9"/>
            <color indexed="81"/>
            <rFont val="Arial"/>
          </rPr>
          <t xml:space="preserve">
Assume 20X20 cm area, on average, of plants adius of plants having heights measured</t>
        </r>
      </text>
    </comment>
    <comment ref="J170" authorId="0">
      <text>
        <r>
          <rPr>
            <b/>
            <sz val="9"/>
            <color indexed="81"/>
            <rFont val="Arial"/>
          </rPr>
          <t>Lyndon Estes:</t>
        </r>
        <r>
          <rPr>
            <sz val="9"/>
            <color indexed="81"/>
            <rFont val="Arial"/>
          </rPr>
          <t xml:space="preserve">
As with previous. Assume measurements of height made on same plants having leaves sampled</t>
        </r>
      </text>
    </comment>
    <comment ref="O170" authorId="0">
      <text>
        <r>
          <rPr>
            <b/>
            <sz val="9"/>
            <color indexed="81"/>
            <rFont val="Arial"/>
          </rPr>
          <t>Lyndon Estes:</t>
        </r>
        <r>
          <rPr>
            <sz val="9"/>
            <color indexed="81"/>
            <rFont val="Arial"/>
          </rPr>
          <t xml:space="preserve">
Once-off</t>
        </r>
      </text>
    </comment>
    <comment ref="P170" authorId="4">
      <text>
        <r>
          <rPr>
            <b/>
            <sz val="9"/>
            <color indexed="81"/>
            <rFont val="Tahoma"/>
            <family val="2"/>
          </rPr>
          <t>Jason:</t>
        </r>
        <r>
          <rPr>
            <sz val="9"/>
            <color indexed="81"/>
            <rFont val="Tahoma"/>
            <family val="2"/>
          </rPr>
          <t xml:space="preserve">
Estimated number of days in "spring"
</t>
        </r>
        <r>
          <rPr>
            <b/>
            <sz val="9"/>
            <color indexed="81"/>
            <rFont val="Tahoma"/>
            <family val="2"/>
          </rPr>
          <t xml:space="preserve">
Paul Elsen:</t>
        </r>
        <r>
          <rPr>
            <sz val="9"/>
            <color indexed="81"/>
            <rFont val="Tahoma"/>
            <family val="2"/>
          </rPr>
          <t xml:space="preserve"> For SLA and LDMC, sampling occurred in May and June, so 61 days (changed from 92)
</t>
        </r>
        <r>
          <rPr>
            <b/>
            <sz val="9"/>
            <color indexed="81"/>
            <rFont val="Tahoma"/>
            <family val="2"/>
          </rPr>
          <t xml:space="preserve">
PE 4/21/17:</t>
        </r>
        <r>
          <rPr>
            <sz val="9"/>
            <color indexed="81"/>
            <rFont val="Tahoma"/>
            <family val="2"/>
          </rPr>
          <t xml:space="preserve"> Updated to act_dur (once-off)</t>
        </r>
      </text>
    </comment>
    <comment ref="I171" authorId="0">
      <text>
        <r>
          <rPr>
            <b/>
            <sz val="9"/>
            <color indexed="81"/>
            <rFont val="Arial"/>
          </rPr>
          <t>Lyndon Estes:</t>
        </r>
        <r>
          <rPr>
            <sz val="9"/>
            <color indexed="81"/>
            <rFont val="Arial"/>
          </rPr>
          <t xml:space="preserve">
1 cm radius soil probe</t>
        </r>
      </text>
    </comment>
    <comment ref="M171" authorId="0">
      <text>
        <r>
          <rPr>
            <b/>
            <sz val="9"/>
            <color indexed="81"/>
            <rFont val="Arial"/>
          </rPr>
          <t>Lyndon Estes:</t>
        </r>
        <r>
          <rPr>
            <sz val="9"/>
            <color indexed="81"/>
            <rFont val="Arial"/>
          </rPr>
          <t xml:space="preserve">
Assume soil moisture measures takes 15 minutes</t>
        </r>
      </text>
    </comment>
    <comment ref="O171" authorId="0">
      <text>
        <r>
          <rPr>
            <b/>
            <sz val="9"/>
            <color indexed="81"/>
            <rFont val="Arial"/>
          </rPr>
          <t>Lyndon Estes:</t>
        </r>
        <r>
          <rPr>
            <sz val="9"/>
            <color indexed="81"/>
            <rFont val="Arial"/>
          </rPr>
          <t xml:space="preserve">
Once-off</t>
        </r>
      </text>
    </comment>
    <comment ref="P171" authorId="0">
      <text>
        <r>
          <rPr>
            <b/>
            <sz val="9"/>
            <color indexed="81"/>
            <rFont val="Arial"/>
          </rPr>
          <t>Lyndon Estes:</t>
        </r>
        <r>
          <rPr>
            <sz val="9"/>
            <color indexed="81"/>
            <rFont val="Arial"/>
          </rPr>
          <t xml:space="preserve">
Single day soil moisture measure
</t>
        </r>
        <r>
          <rPr>
            <b/>
            <sz val="9"/>
            <color indexed="81"/>
            <rFont val="Arial"/>
          </rPr>
          <t xml:space="preserve">Paul Elsen: </t>
        </r>
        <r>
          <rPr>
            <sz val="9"/>
            <color indexed="81"/>
            <rFont val="Arial"/>
          </rPr>
          <t>one-off so changing to act_dur (from token 1 day)</t>
        </r>
      </text>
    </comment>
    <comment ref="H172" authorId="6">
      <text>
        <r>
          <rPr>
            <sz val="10"/>
            <color rgb="FF000000"/>
            <rFont val="Arial"/>
          </rPr>
          <t xml:space="preserve">WOCE AR01
</t>
        </r>
      </text>
    </comment>
    <comment ref="I172" authorId="4">
      <text>
        <r>
          <rPr>
            <b/>
            <sz val="9"/>
            <color indexed="81"/>
            <rFont val="Tahoma"/>
            <family val="2"/>
          </rPr>
          <t>Jason:</t>
        </r>
        <r>
          <rPr>
            <sz val="9"/>
            <color indexed="81"/>
            <rFont val="Tahoma"/>
            <family val="2"/>
          </rPr>
          <t xml:space="preserve">
Estimated size of a 10L sampling bottle
LDE: 36 bottles assume 15 cm diameter each</t>
        </r>
      </text>
    </comment>
    <comment ref="J172" authorId="6">
      <text>
        <r>
          <rPr>
            <sz val="10"/>
            <color rgb="FF000000"/>
            <rFont val="Arial"/>
          </rPr>
          <t>36 ten liter sample bottles were attached to a Seabird-911 CTD. Each a Seabird-911 CTD  was then placed at 130 conductivity temperature depth hydrograhic stations
LDE: were the stations in the same locartions?
JC: In this case, a special apparatus was placed at each station. Each apparatus was equipped with 36 bottles. Should I list the 130 seabird-911's or list each of the bottles attached to a a Seabird-911 CTD unit?
LDE: I listed the stations, and then considered the 36 bottles to contribute towards the plot resolution. Actually were 159 stations occupied</t>
        </r>
      </text>
    </comment>
    <comment ref="K172" authorId="5">
      <text>
        <r>
          <rPr>
            <b/>
            <sz val="10"/>
            <color indexed="81"/>
            <rFont val="TimesNewRomanPSMT"/>
          </rPr>
          <t>Paul R. Elsen:</t>
        </r>
        <r>
          <rPr>
            <sz val="10"/>
            <color indexed="81"/>
            <rFont val="TimesNewRomanPSMT"/>
          </rPr>
          <t xml:space="preserve">
For each of the four study sites in this paper, I calculated the length of the surveyed region given in Figs. 1 and 2 using GE Pro. I then assumed the paths were 0.1 miles wide. For each cell I provide the length (in miles) and final area measurement rounded to the nearest ha.
1. WOCE AR01: length = 4342.22 miles x 0.1 mile wide = 112,463 ha </t>
        </r>
      </text>
    </comment>
    <comment ref="M172" authorId="4">
      <text>
        <r>
          <rPr>
            <b/>
            <sz val="9"/>
            <color indexed="81"/>
            <rFont val="Tahoma"/>
            <family val="2"/>
          </rPr>
          <t>Jason:</t>
        </r>
        <r>
          <rPr>
            <sz val="9"/>
            <color indexed="81"/>
            <rFont val="Tahoma"/>
            <family val="2"/>
          </rPr>
          <t xml:space="preserve">
Esimating that sampling took 1 hour
LDE: assume it takes 6 hours to do the full cast</t>
        </r>
      </text>
    </comment>
    <comment ref="N172" authorId="4">
      <text>
        <r>
          <rPr>
            <b/>
            <sz val="9"/>
            <color indexed="81"/>
            <rFont val="Tahoma"/>
            <family val="2"/>
          </rPr>
          <t>Jason:</t>
        </r>
        <r>
          <rPr>
            <sz val="9"/>
            <color indexed="81"/>
            <rFont val="Tahoma"/>
            <family val="2"/>
          </rPr>
          <t xml:space="preserve">
Assuming Samples were made daily on the cruise
LDE: if repeat sampling did not occur at the same location (i.e. they kept cruising and not staying in same location for the most part, then setthis to 0
JC: Changed to 0
</t>
        </r>
      </text>
    </comment>
    <comment ref="O172" authorId="4">
      <text>
        <r>
          <rPr>
            <b/>
            <sz val="9"/>
            <color indexed="81"/>
            <rFont val="Tahoma"/>
            <family val="2"/>
          </rPr>
          <t>Jason:</t>
        </r>
        <r>
          <rPr>
            <sz val="9"/>
            <color indexed="81"/>
            <rFont val="Tahoma"/>
            <family val="2"/>
          </rPr>
          <t xml:space="preserve">
Assuming 1 single water sample took 15 minutes
LDE: assume the full cast took a day</t>
        </r>
      </text>
    </comment>
    <comment ref="P172" authorId="5">
      <text>
        <r>
          <rPr>
            <b/>
            <sz val="10"/>
            <color indexed="81"/>
            <rFont val="TimesNewRomanPSMT"/>
          </rPr>
          <t>Paul R. Elsen:</t>
        </r>
        <r>
          <rPr>
            <sz val="10"/>
            <color indexed="81"/>
            <rFont val="TimesNewRomanPSMT"/>
          </rPr>
          <t xml:space="preserve">
Cruise dates 30 May 2002 - 1 July 2002 = 33 days
</t>
        </r>
        <r>
          <rPr>
            <b/>
            <sz val="10"/>
            <color indexed="81"/>
            <rFont val="TimesNewRomanPSMT"/>
          </rPr>
          <t xml:space="preserve">
PE 4/21/17:</t>
        </r>
        <r>
          <rPr>
            <sz val="10"/>
            <color indexed="81"/>
            <rFont val="TimesNewRomanPSMT"/>
          </rPr>
          <t xml:space="preserve"> Updated to act_dur (once-off)</t>
        </r>
      </text>
    </comment>
    <comment ref="U172" authorId="6">
      <text>
        <r>
          <rPr>
            <sz val="10"/>
            <color rgb="FF000000"/>
            <rFont val="Arial"/>
          </rPr>
          <t xml:space="preserve">I used this report to extract further information. DOI not provided in report.
LDE: replaced with correct reference. Previous one was for latitudinal cruise
</t>
        </r>
      </text>
    </comment>
    <comment ref="H173" authorId="6">
      <text>
        <r>
          <rPr>
            <sz val="10"/>
            <color rgb="FF000000"/>
            <rFont val="Arial"/>
          </rPr>
          <t xml:space="preserve">WOCE A14
</t>
        </r>
      </text>
    </comment>
    <comment ref="I173" authorId="4">
      <text>
        <r>
          <rPr>
            <b/>
            <sz val="9"/>
            <color indexed="81"/>
            <rFont val="Tahoma"/>
            <family val="2"/>
          </rPr>
          <t>Jason:</t>
        </r>
        <r>
          <rPr>
            <sz val="9"/>
            <color indexed="81"/>
            <rFont val="Tahoma"/>
            <family val="2"/>
          </rPr>
          <t xml:space="preserve">
Estimated size of 8L niskin bottle
LDE: assume diameter of 8 l bottle &lt; 10 L bottle.  Assume there were 36 bottles also
</t>
        </r>
      </text>
    </comment>
    <comment ref="J173" authorId="6">
      <text>
        <r>
          <rPr>
            <strike/>
            <sz val="10"/>
            <color rgb="FF000000"/>
            <rFont val="Arial"/>
            <family val="2"/>
          </rPr>
          <t xml:space="preserve">8, 8 liter Niskin bottles were used at 107 sampling stations.
</t>
        </r>
        <r>
          <rPr>
            <sz val="10"/>
            <color rgb="FF000000"/>
            <rFont val="Arial"/>
          </rPr>
          <t>107 stations with repeating samples</t>
        </r>
      </text>
    </comment>
    <comment ref="K173" authorId="5">
      <text>
        <r>
          <rPr>
            <b/>
            <sz val="10"/>
            <color indexed="81"/>
            <rFont val="TimesNewRomanPSMT"/>
          </rPr>
          <t>Paul R. Elsen:</t>
        </r>
        <r>
          <rPr>
            <sz val="10"/>
            <color indexed="81"/>
            <rFont val="TimesNewRomanPSMT"/>
          </rPr>
          <t xml:space="preserve">
2. WOCE AR14: length = 3473.90 miles x 0.1 mile wide = 89974 ha </t>
        </r>
      </text>
    </comment>
    <comment ref="M173" authorId="4">
      <text>
        <r>
          <rPr>
            <b/>
            <sz val="9"/>
            <color indexed="81"/>
            <rFont val="Tahoma"/>
            <family val="2"/>
          </rPr>
          <t>Jason:</t>
        </r>
        <r>
          <rPr>
            <sz val="9"/>
            <color indexed="81"/>
            <rFont val="Tahoma"/>
            <family val="2"/>
          </rPr>
          <t xml:space="preserve">
Esimating that sampling took 1 hour
LDE: assume it takes 6 hours to do the full cast</t>
        </r>
      </text>
    </comment>
    <comment ref="N173" authorId="4">
      <text>
        <r>
          <rPr>
            <b/>
            <sz val="9"/>
            <color indexed="81"/>
            <rFont val="Tahoma"/>
            <family val="2"/>
          </rPr>
          <t>Jason:</t>
        </r>
        <r>
          <rPr>
            <sz val="9"/>
            <color indexed="81"/>
            <rFont val="Tahoma"/>
            <family val="2"/>
          </rPr>
          <t xml:space="preserve">
Assuming Samples were made daily on the cruise
LDE: if repeat sampling did not occur at the same location (i.e. they kept cruising and not staying in same location for the most part, then setthis to 0
JC: Changed to 0
</t>
        </r>
      </text>
    </comment>
    <comment ref="O173" authorId="4">
      <text>
        <r>
          <rPr>
            <b/>
            <sz val="9"/>
            <color indexed="81"/>
            <rFont val="Tahoma"/>
            <family val="2"/>
          </rPr>
          <t>Jason:</t>
        </r>
        <r>
          <rPr>
            <sz val="9"/>
            <color indexed="81"/>
            <rFont val="Tahoma"/>
            <family val="2"/>
          </rPr>
          <t xml:space="preserve">
Assuming 1 single water sample took 15 minutes
LDE: assume the full cast took a day</t>
        </r>
      </text>
    </comment>
    <comment ref="P173" authorId="5">
      <text>
        <r>
          <rPr>
            <b/>
            <sz val="10"/>
            <color indexed="81"/>
            <rFont val="TimesNewRomanPSMT"/>
          </rPr>
          <t>Paul R. Elsen:</t>
        </r>
        <r>
          <rPr>
            <sz val="10"/>
            <color indexed="81"/>
            <rFont val="TimesNewRomanPSMT"/>
          </rPr>
          <t xml:space="preserve">
Can't find this in the supporting document, all I see is "cruise took place during austral summer of 1995"
</t>
        </r>
        <r>
          <rPr>
            <b/>
            <sz val="10"/>
            <color indexed="81"/>
            <rFont val="TimesNewRomanPSMT"/>
          </rPr>
          <t xml:space="preserve">
PE 4/21/17:</t>
        </r>
        <r>
          <rPr>
            <sz val="10"/>
            <color indexed="81"/>
            <rFont val="TimesNewRomanPSMT"/>
          </rPr>
          <t xml:space="preserve"> Updated to act_dur (once-off)</t>
        </r>
      </text>
    </comment>
    <comment ref="H174" authorId="6">
      <text>
        <r>
          <rPr>
            <sz val="10"/>
            <color rgb="FF000000"/>
            <rFont val="Arial"/>
          </rPr>
          <t xml:space="preserve">NSeas/Knorr
</t>
        </r>
      </text>
    </comment>
    <comment ref="I174" authorId="4">
      <text>
        <r>
          <rPr>
            <b/>
            <sz val="9"/>
            <color indexed="81"/>
            <rFont val="Tahoma"/>
            <family val="2"/>
          </rPr>
          <t>Jason:</t>
        </r>
        <r>
          <rPr>
            <sz val="9"/>
            <color indexed="81"/>
            <rFont val="Tahoma"/>
            <family val="2"/>
          </rPr>
          <t xml:space="preserve">
Estimated size of 8L niskin bottle
LDE: assume diameter of 8 l bottle &lt; 10 L bottle</t>
        </r>
      </text>
    </comment>
    <comment ref="J174" authorId="6">
      <text>
        <r>
          <rPr>
            <strike/>
            <sz val="10"/>
            <color rgb="FF000000"/>
            <rFont val="Arial"/>
            <family val="2"/>
          </rPr>
          <t xml:space="preserve">10 8 liter Niskin bottles used at an estimated 140 sample stations.
</t>
        </r>
        <r>
          <rPr>
            <sz val="10"/>
            <color rgb="FF000000"/>
            <rFont val="Arial"/>
          </rPr>
          <t>Stations between 142 and 159 were sampled. 
LDE: Actually this was a different cruise then that one.  52 stations reported</t>
        </r>
      </text>
    </comment>
    <comment ref="K174" authorId="5">
      <text>
        <r>
          <rPr>
            <b/>
            <sz val="10"/>
            <color indexed="81"/>
            <rFont val="TimesNewRomanPSMT"/>
          </rPr>
          <t>Paul R. Elsen:</t>
        </r>
        <r>
          <rPr>
            <sz val="10"/>
            <color indexed="81"/>
            <rFont val="TimesNewRomanPSMT"/>
          </rPr>
          <t xml:space="preserve">
3. Nseas/Knorr: length = 1207.29 miles x 0.1 mile wide = 31269 ha </t>
        </r>
      </text>
    </comment>
    <comment ref="M174" authorId="4">
      <text>
        <r>
          <rPr>
            <b/>
            <sz val="9"/>
            <color indexed="81"/>
            <rFont val="Tahoma"/>
            <family val="2"/>
          </rPr>
          <t>Jason:</t>
        </r>
        <r>
          <rPr>
            <sz val="9"/>
            <color indexed="81"/>
            <rFont val="Tahoma"/>
            <family val="2"/>
          </rPr>
          <t xml:space="preserve">
Esimating that sampling took 1 hour
LDE: assume it takes 6 hours to do the full cast</t>
        </r>
      </text>
    </comment>
    <comment ref="N174" authorId="4">
      <text>
        <r>
          <rPr>
            <b/>
            <sz val="9"/>
            <color indexed="81"/>
            <rFont val="Tahoma"/>
            <family val="2"/>
          </rPr>
          <t>Jason:</t>
        </r>
        <r>
          <rPr>
            <sz val="9"/>
            <color indexed="81"/>
            <rFont val="Tahoma"/>
            <family val="2"/>
          </rPr>
          <t xml:space="preserve">
Assuming Samples were made daily on the cruise
LDE: if repeat sampling did not occur at the same location (i.e. they kept cruising and not staying in same location for the most part, then setthis to 0
JC: Changed to 0
</t>
        </r>
      </text>
    </comment>
    <comment ref="O174" authorId="4">
      <text>
        <r>
          <rPr>
            <b/>
            <sz val="9"/>
            <color indexed="81"/>
            <rFont val="Tahoma"/>
            <family val="2"/>
          </rPr>
          <t>Jason:</t>
        </r>
        <r>
          <rPr>
            <sz val="9"/>
            <color indexed="81"/>
            <rFont val="Tahoma"/>
            <family val="2"/>
          </rPr>
          <t xml:space="preserve">
Assuming 1 single water sample took 15 minutes
LDE: assume the full cast took a day</t>
        </r>
      </text>
    </comment>
    <comment ref="P174" authorId="5">
      <text>
        <r>
          <rPr>
            <b/>
            <sz val="10"/>
            <color indexed="81"/>
            <rFont val="TimesNewRomanPSMT"/>
          </rPr>
          <t>Paul R. Elsen:</t>
        </r>
        <r>
          <rPr>
            <sz val="10"/>
            <color indexed="81"/>
            <rFont val="TimesNewRomanPSMT"/>
          </rPr>
          <t xml:space="preserve">
Cruise dates Feb-Mar 1996 = 28 + 31 = 59 days (changed from 61)
</t>
        </r>
        <r>
          <rPr>
            <b/>
            <sz val="10"/>
            <color indexed="81"/>
            <rFont val="TimesNewRomanPSMT"/>
          </rPr>
          <t xml:space="preserve">PE 4/21/17: </t>
        </r>
        <r>
          <rPr>
            <sz val="10"/>
            <color indexed="81"/>
            <rFont val="TimesNewRomanPSMT"/>
          </rPr>
          <t>Updated to act_dur (once-off)</t>
        </r>
      </text>
    </comment>
    <comment ref="U174" authorId="6">
      <text>
        <r>
          <rPr>
            <sz val="10"/>
            <color rgb="FF000000"/>
            <rFont val="Arial"/>
          </rPr>
          <t>http://cchdo.ucsd.edu/data/7444/a5repeat.pdf</t>
        </r>
      </text>
    </comment>
    <comment ref="H175" authorId="6">
      <text>
        <r>
          <rPr>
            <sz val="10"/>
            <color rgb="FF000000"/>
            <rFont val="Arial"/>
          </rPr>
          <t>CLIVAR A16N</t>
        </r>
      </text>
    </comment>
    <comment ref="I175" authorId="4">
      <text>
        <r>
          <rPr>
            <b/>
            <sz val="9"/>
            <color indexed="81"/>
            <rFont val="Tahoma"/>
            <family val="2"/>
          </rPr>
          <t>Jason:</t>
        </r>
        <r>
          <rPr>
            <sz val="9"/>
            <color indexed="81"/>
            <rFont val="Tahoma"/>
            <family val="2"/>
          </rPr>
          <t xml:space="preserve">
Estimated size of 8L niskin bottle
LDE: assume diameter of 10 l  bottle per report</t>
        </r>
      </text>
    </comment>
    <comment ref="J175" authorId="4">
      <text>
        <r>
          <rPr>
            <b/>
            <sz val="9"/>
            <color indexed="81"/>
            <rFont val="Tahoma"/>
            <family val="2"/>
          </rPr>
          <t>Jason:</t>
        </r>
        <r>
          <rPr>
            <sz val="9"/>
            <color indexed="81"/>
            <rFont val="Tahoma"/>
            <family val="2"/>
          </rPr>
          <t xml:space="preserve">
5011 samples, but samples were repeated at each of the 150 stations. </t>
        </r>
      </text>
    </comment>
    <comment ref="K175" authorId="5">
      <text>
        <r>
          <rPr>
            <b/>
            <sz val="10"/>
            <color indexed="81"/>
            <rFont val="TimesNewRomanPSMT"/>
          </rPr>
          <t>Paul R. Elsen:</t>
        </r>
        <r>
          <rPr>
            <sz val="10"/>
            <color indexed="81"/>
            <rFont val="TimesNewRomanPSMT"/>
          </rPr>
          <t xml:space="preserve">
4. CLIVAR A16N: length = 4967.83 miles x 0.1 mile wide = 128,666 ha </t>
        </r>
      </text>
    </comment>
    <comment ref="M175" authorId="4">
      <text>
        <r>
          <rPr>
            <b/>
            <sz val="9"/>
            <color indexed="81"/>
            <rFont val="Tahoma"/>
            <family val="2"/>
          </rPr>
          <t>Jason:</t>
        </r>
        <r>
          <rPr>
            <sz val="9"/>
            <color indexed="81"/>
            <rFont val="Tahoma"/>
            <family val="2"/>
          </rPr>
          <t xml:space="preserve">
Esimating that sampling took 1 hour
LDE: assume it takes 6 hours to do the full cast</t>
        </r>
      </text>
    </comment>
    <comment ref="N175" authorId="4">
      <text>
        <r>
          <rPr>
            <b/>
            <sz val="9"/>
            <color indexed="81"/>
            <rFont val="Tahoma"/>
            <family val="2"/>
          </rPr>
          <t>Jason:</t>
        </r>
        <r>
          <rPr>
            <sz val="9"/>
            <color indexed="81"/>
            <rFont val="Tahoma"/>
            <family val="2"/>
          </rPr>
          <t xml:space="preserve">
Assuming Samples were made daily on the cruise
LDE: if repeat sampling did not occur at the same location (i.e. they kept cruising and not staying in same location for the most part, then setthis to 0
JC: Changed to 0
</t>
        </r>
      </text>
    </comment>
    <comment ref="O175" authorId="4">
      <text>
        <r>
          <rPr>
            <b/>
            <sz val="9"/>
            <color indexed="81"/>
            <rFont val="Tahoma"/>
            <family val="2"/>
          </rPr>
          <t>Jason:</t>
        </r>
        <r>
          <rPr>
            <sz val="9"/>
            <color indexed="81"/>
            <rFont val="Tahoma"/>
            <family val="2"/>
          </rPr>
          <t xml:space="preserve">
Assuming 1 single water sample took 15 minutes
LDE: assume the full cast took a day</t>
        </r>
      </text>
    </comment>
    <comment ref="P175" authorId="5">
      <text>
        <r>
          <rPr>
            <b/>
            <sz val="10"/>
            <color indexed="81"/>
            <rFont val="TimesNewRomanPSMT"/>
          </rPr>
          <t>Paul R. Elsen:</t>
        </r>
        <r>
          <rPr>
            <sz val="10"/>
            <color indexed="81"/>
            <rFont val="TimesNewRomanPSMT"/>
          </rPr>
          <t xml:space="preserve">
Cruise from 4 Jun - 11 Aug 2003 = 69 days (changed from 70)
</t>
        </r>
        <r>
          <rPr>
            <b/>
            <sz val="10"/>
            <color indexed="81"/>
            <rFont val="TimesNewRomanPSMT"/>
          </rPr>
          <t xml:space="preserve">
PE 4/21/17:</t>
        </r>
        <r>
          <rPr>
            <sz val="10"/>
            <color indexed="81"/>
            <rFont val="TimesNewRomanPSMT"/>
          </rPr>
          <t xml:space="preserve"> Updated to act_dur (once-off)</t>
        </r>
      </text>
    </comment>
    <comment ref="U175" authorId="6">
      <text>
        <r>
          <rPr>
            <sz val="10"/>
            <color rgb="FF000000"/>
            <rFont val="Arial"/>
          </rPr>
          <t xml:space="preserve">No DOI available
</t>
        </r>
      </text>
    </comment>
    <comment ref="I176" authorId="6">
      <text>
        <r>
          <rPr>
            <sz val="10"/>
            <color rgb="FF000000"/>
            <rFont val="Arial"/>
          </rPr>
          <t>"The width of the transects was greater than or equal to 397 m, depending on the viewing conditions"
The width was 397m but the length of the transect would be the range of sight of the observer which I crudely estimate to be 1 mile. Without listing the type of bionoculars, I googled the average range of sight. 
LDE: I reduced this to 500 m because seabirds probably hard to see even with binos that far out. Assume two observers so that increases distance to 1000 m</t>
        </r>
      </text>
    </comment>
    <comment ref="J176" authorId="4">
      <text>
        <r>
          <rPr>
            <b/>
            <sz val="9"/>
            <color indexed="81"/>
            <rFont val="Tahoma"/>
            <family val="2"/>
          </rPr>
          <t>Jason:</t>
        </r>
        <r>
          <rPr>
            <sz val="9"/>
            <color indexed="81"/>
            <rFont val="Tahoma"/>
            <family val="2"/>
          </rPr>
          <t xml:space="preserve">
SE North Sea, SW Baltic Sea
LDE: Assume transects continuous next to one another, so divide total length covered/per year by transect width</t>
        </r>
      </text>
    </comment>
    <comment ref="K176" authorId="5">
      <text>
        <r>
          <rPr>
            <b/>
            <sz val="10"/>
            <color indexed="81"/>
            <rFont val="TimesNewRomanPSMT"/>
          </rPr>
          <t>Paul R. Elsen:</t>
        </r>
        <r>
          <rPr>
            <sz val="10"/>
            <color indexed="81"/>
            <rFont val="TimesNewRomanPSMT"/>
          </rPr>
          <t xml:space="preserve">
Two study regions: south-eastern North Sea and south-western Baltic sea. Regions are outlined in bold in Fig. 1. Used GE Pro to delineate each region following bold lines:
North Sea = 179,097 ha
Baltic Sea = 194,917 ha
Total = 374,014 ha</t>
        </r>
      </text>
    </comment>
    <comment ref="L176" authorId="0">
      <text>
        <r>
          <rPr>
            <b/>
            <sz val="9"/>
            <color indexed="81"/>
            <rFont val="Calibri"/>
            <family val="2"/>
          </rPr>
          <t>Lyndon Estes:</t>
        </r>
        <r>
          <rPr>
            <sz val="9"/>
            <color indexed="81"/>
            <rFont val="Calibri"/>
            <family val="2"/>
          </rPr>
          <t xml:space="preserve">
1/5/2017: Because act_ext &gt; eff_ext, in this case cset act_ext to eff_ext because eff_ext probably more accurately estimated.  
Act_ext was 1566700</t>
        </r>
      </text>
    </comment>
    <comment ref="M176" authorId="4">
      <text>
        <r>
          <rPr>
            <b/>
            <sz val="9"/>
            <color indexed="81"/>
            <rFont val="Tahoma"/>
            <family val="2"/>
          </rPr>
          <t>Jason:</t>
        </r>
        <r>
          <rPr>
            <sz val="9"/>
            <color indexed="81"/>
            <rFont val="Tahoma"/>
            <family val="2"/>
          </rPr>
          <t xml:space="preserve">
bird counts made every minute
LDE: plane was traveling at 185 km/h, which is 51.4 m/s. If transect width was 397 m, then 397/51.4 is the amount of time observing each width</t>
        </r>
      </text>
    </comment>
    <comment ref="N176" authorId="4">
      <text>
        <r>
          <rPr>
            <b/>
            <sz val="9"/>
            <color indexed="81"/>
            <rFont val="Tahoma"/>
            <family val="2"/>
          </rPr>
          <t>Jason:</t>
        </r>
        <r>
          <rPr>
            <sz val="9"/>
            <color indexed="81"/>
            <rFont val="Tahoma"/>
            <family val="2"/>
          </rPr>
          <t xml:space="preserve">
averaged 10, 2 and 1 minute intervals
LDE: Transects appear to have been every year.  The same areas covered?  Who knows, but we'll assume these were repeats of the same areas 1 year apart</t>
        </r>
      </text>
    </comment>
    <comment ref="O176" authorId="4">
      <text>
        <r>
          <rPr>
            <b/>
            <sz val="9"/>
            <color indexed="81"/>
            <rFont val="Tahoma"/>
            <family val="2"/>
          </rPr>
          <t>Jason:</t>
        </r>
        <r>
          <rPr>
            <sz val="9"/>
            <color indexed="81"/>
            <rFont val="Tahoma"/>
            <family val="2"/>
          </rPr>
          <t xml:space="preserve">
Assuming 1 full day was used to sample the entire 
LDE: was it one full day for the whole bird count, which lasted one minute each? If there is an average interval, then you should figure out how many times that is in day (probably just daylight, and calculate by samp_duration)
JC: Assuming 16 hours of daylight
LDE: I reduced the duration down to the time any given transect was resampled in each of the three years</t>
        </r>
      </text>
    </comment>
    <comment ref="P176" authorId="5">
      <text>
        <r>
          <rPr>
            <b/>
            <sz val="10"/>
            <color indexed="81"/>
            <rFont val="TimesNewRomanPSMT"/>
          </rPr>
          <t>Paul R. Elsen:</t>
        </r>
        <r>
          <rPr>
            <sz val="10"/>
            <color indexed="81"/>
            <rFont val="TimesNewRomanPSMT"/>
          </rPr>
          <t xml:space="preserve">
Plane surveys conducted from March 2002 - June 2004; assume Mar 1 - Jun 1 = 365*3 + 31 + 30 + 31 = 1187 (changed from 1095) </t>
        </r>
      </text>
    </comment>
    <comment ref="I177" authorId="4">
      <text>
        <r>
          <rPr>
            <b/>
            <sz val="9"/>
            <color indexed="81"/>
            <rFont val="Tahoma"/>
            <family val="2"/>
          </rPr>
          <t>Jason:</t>
        </r>
        <r>
          <rPr>
            <sz val="9"/>
            <color indexed="81"/>
            <rFont val="Tahoma"/>
            <family val="2"/>
          </rPr>
          <t xml:space="preserve">
"Birds were counted from either the top deck or thebridge-wing, usually in 300-m wide transects at either one or bothsides of the vessel. "
The width was 300, but the length of the transect would be the range of sight of the observer which I crudely estimate to be 1 mile. Without listing the type of bionoculars, I googled the average range of sight. 
LDE: I reduced this to 500 m because seabirds probably hard to see even with binos that far out. Assume two observers so that increases distance to 1000 m</t>
        </r>
      </text>
    </comment>
    <comment ref="J177" authorId="0">
      <text>
        <r>
          <rPr>
            <b/>
            <sz val="9"/>
            <color indexed="81"/>
            <rFont val="Arial"/>
          </rPr>
          <t>Lyndon Estes:</t>
        </r>
        <r>
          <rPr>
            <sz val="9"/>
            <color indexed="81"/>
            <rFont val="Arial"/>
          </rPr>
          <t xml:space="preserve">
LDE: Assume transects continuous next to one another, so divide total length covered/per year by transect width</t>
        </r>
      </text>
    </comment>
    <comment ref="L177" authorId="0">
      <text>
        <r>
          <rPr>
            <b/>
            <sz val="9"/>
            <color indexed="81"/>
            <rFont val="Calibri"/>
            <family val="2"/>
          </rPr>
          <t>Lyndon Estes:</t>
        </r>
        <r>
          <rPr>
            <sz val="9"/>
            <color indexed="81"/>
            <rFont val="Calibri"/>
            <family val="2"/>
          </rPr>
          <t xml:space="preserve">
1/5/2017: Because act_ext &gt; eff_ext, in this case cset act_ext to eff_ext because eff_ext probably more accurately estimated.  
Act_ext was 642467</t>
        </r>
      </text>
    </comment>
    <comment ref="M177" authorId="4">
      <text>
        <r>
          <rPr>
            <b/>
            <sz val="9"/>
            <color indexed="81"/>
            <rFont val="Tahoma"/>
            <family val="2"/>
          </rPr>
          <t>Jason:</t>
        </r>
        <r>
          <rPr>
            <sz val="9"/>
            <color indexed="81"/>
            <rFont val="Tahoma"/>
            <family val="2"/>
          </rPr>
          <t xml:space="preserve">
bird counts made every minute
LDE: they said they started with 10, then went to 1-2, so I chose 2
</t>
        </r>
      </text>
    </comment>
    <comment ref="N177" authorId="4">
      <text>
        <r>
          <rPr>
            <b/>
            <sz val="9"/>
            <color indexed="81"/>
            <rFont val="Tahoma"/>
            <family val="2"/>
          </rPr>
          <t>Jason:</t>
        </r>
        <r>
          <rPr>
            <sz val="9"/>
            <color indexed="81"/>
            <rFont val="Tahoma"/>
            <family val="2"/>
          </rPr>
          <t xml:space="preserve">
bird counts made every minute
LDE: Transects appear to have been every year.  The same areas covered?  Who knows, but we'll assume these were repeats of the same areas 1 year apart</t>
        </r>
      </text>
    </comment>
    <comment ref="O177" authorId="4">
      <text>
        <r>
          <rPr>
            <b/>
            <sz val="9"/>
            <color indexed="81"/>
            <rFont val="Tahoma"/>
            <family val="2"/>
          </rPr>
          <t>Jason:</t>
        </r>
        <r>
          <rPr>
            <sz val="9"/>
            <color indexed="81"/>
            <rFont val="Tahoma"/>
            <family val="2"/>
          </rPr>
          <t xml:space="preserve">
Assuming 1 full day was used to sample the entire 
LDE: was it one full day for the whole bird count, which lasted one minute each? If there is an average interval, then you should figure out how many times that is in day (probably just daylight, and calculate by samp_duration)
JC: assuming 16 hours of daylight and that sampling occured in those 16 hours
LDE: I reduced the duration down to the time any given transect was resampled in each of the 19 years</t>
        </r>
      </text>
    </comment>
    <comment ref="P177" authorId="5">
      <text>
        <r>
          <rPr>
            <b/>
            <sz val="10"/>
            <color indexed="81"/>
            <rFont val="TimesNewRomanPSMT"/>
          </rPr>
          <t>Paul R. Elsen:</t>
        </r>
        <r>
          <rPr>
            <sz val="10"/>
            <color indexed="81"/>
            <rFont val="TimesNewRomanPSMT"/>
          </rPr>
          <t xml:space="preserve">
Bird surveys by ship conducted Apr 1986 - Jun 2004; assume Apr 1 - Jun 1 = 365*18 + 30 + 31 = 6631 (leaving the same as is, which probably accounts for leap years)</t>
        </r>
      </text>
    </comment>
    <comment ref="I178" authorId="6">
      <text>
        <r>
          <rPr>
            <sz val="10"/>
            <color rgb="FF000000"/>
            <rFont val="Arial"/>
          </rPr>
          <t>Best estimate made - no indication of size parameters of plot
LDE: Seems reasonable.  Probably a bit smaller, but maybe they had multiple plots at each of the four sites. Ridiculous that they didn't bother to give a plot size</t>
        </r>
      </text>
    </comment>
    <comment ref="K178" authorId="5">
      <text>
        <r>
          <rPr>
            <b/>
            <sz val="10"/>
            <color indexed="81"/>
            <rFont val="TimesNewRomanPSMT"/>
          </rPr>
          <t>Paul R. Elsen:</t>
        </r>
        <r>
          <rPr>
            <sz val="10"/>
            <color indexed="81"/>
            <rFont val="TimesNewRomanPSMT"/>
          </rPr>
          <t xml:space="preserve">
Four survey regions in Hawaii based off of soil age. Reference given (doi:10.2307/1938144) lists the sites by name. Used GE Pro to delineate the first site, was able to get the rest from dlnr.hawaii.gov (converted to ha):
1. Thurston, Hawaii Volcanoes NP: 62.32 ha
2. Laupahoehoe, Laupahoehoe Forest Reserve: 3195 ha
3. Kohala, Kohala Forest Reserve: 60600 ha
4. Kokee, Na Pali-Kona Forest Reserve: 934.42 ha
Total = 64791.74 ha</t>
        </r>
      </text>
    </comment>
    <comment ref="M178" authorId="0">
      <text>
        <r>
          <rPr>
            <b/>
            <sz val="9"/>
            <color indexed="81"/>
            <rFont val="Arial"/>
          </rPr>
          <t>Lyndon Estes:</t>
        </r>
        <r>
          <rPr>
            <sz val="9"/>
            <color indexed="81"/>
            <rFont val="Arial"/>
          </rPr>
          <t xml:space="preserve">
Probably more like an hour to sample</t>
        </r>
      </text>
    </comment>
    <comment ref="O178" authorId="4">
      <text>
        <r>
          <rPr>
            <b/>
            <sz val="9"/>
            <color indexed="81"/>
            <rFont val="Tahoma"/>
            <family val="2"/>
          </rPr>
          <t>Jason:</t>
        </r>
        <r>
          <rPr>
            <sz val="9"/>
            <color indexed="81"/>
            <rFont val="Tahoma"/>
            <family val="2"/>
          </rPr>
          <t xml:space="preserve">
Assuming half a day was spent at each plot
LDE: I corrected to just 1/2 day, if there were no repeats per plot</t>
        </r>
      </text>
    </comment>
    <comment ref="P178" authorId="5">
      <text>
        <r>
          <rPr>
            <b/>
            <sz val="10"/>
            <color indexed="81"/>
            <rFont val="TimesNewRomanPSMT"/>
          </rPr>
          <t>Paul R. Elsen:</t>
        </r>
        <r>
          <rPr>
            <sz val="10"/>
            <color indexed="81"/>
            <rFont val="TimesNewRomanPSMT"/>
          </rPr>
          <t xml:space="preserve">
I can't find where this value is from in the paper; seems to be no information given on when ferns were sampled
</t>
        </r>
        <r>
          <rPr>
            <b/>
            <sz val="10"/>
            <color indexed="81"/>
            <rFont val="TimesNewRomanPSMT"/>
          </rPr>
          <t>PE 4/21/17:</t>
        </r>
        <r>
          <rPr>
            <sz val="10"/>
            <color indexed="81"/>
            <rFont val="TimesNewRomanPSMT"/>
          </rPr>
          <t xml:space="preserve"> Updated to act_dur (once-off)</t>
        </r>
      </text>
    </comment>
    <comment ref="D179" authorId="0">
      <text>
        <r>
          <rPr>
            <b/>
            <sz val="9"/>
            <color indexed="81"/>
            <rFont val="Arial"/>
          </rPr>
          <t>Lyndon Estes:</t>
        </r>
        <r>
          <rPr>
            <sz val="9"/>
            <color indexed="81"/>
            <rFont val="Arial"/>
          </rPr>
          <t xml:space="preserve">
LDE: decided okay to use this study, because the human footprint index uses primary remote sensing observations from at least two datasets.</t>
        </r>
      </text>
    </comment>
    <comment ref="I179" authorId="4">
      <text>
        <r>
          <rPr>
            <b/>
            <sz val="9"/>
            <color indexed="81"/>
            <rFont val="Tahoma"/>
            <family val="2"/>
          </rPr>
          <t>Jason:</t>
        </r>
        <r>
          <rPr>
            <sz val="9"/>
            <color indexed="81"/>
            <rFont val="Tahoma"/>
            <family val="2"/>
          </rPr>
          <t xml:space="preserve">
1km2 cell
LDE: I looked into these datasets, and the remote sensing components has a 1 km resolution dataset in it, and a 2.7 km component, so I set the resolution to the coarsest</t>
        </r>
      </text>
    </comment>
    <comment ref="J179" authorId="4">
      <text>
        <r>
          <rPr>
            <b/>
            <sz val="9"/>
            <color indexed="81"/>
            <rFont val="Tahoma"/>
            <family val="2"/>
          </rPr>
          <t>Jason:</t>
        </r>
        <r>
          <rPr>
            <sz val="9"/>
            <color indexed="81"/>
            <rFont val="Tahoma"/>
            <family val="2"/>
          </rPr>
          <t xml:space="preserve">
from paper "21,186 protected areas greater than or equal to 1 km2"
LDE: since the resolution is 2.7 km, and since the average area of PAs &gt; 1km2 was 598, multiplied this value by 598 and divided by .27</t>
        </r>
      </text>
    </comment>
    <comment ref="K179" authorId="5">
      <text>
        <r>
          <rPr>
            <b/>
            <sz val="10"/>
            <color indexed="81"/>
            <rFont val="TimesNewRomanPSMT"/>
          </rPr>
          <t>Paul R. Elsen:</t>
        </r>
        <r>
          <rPr>
            <sz val="10"/>
            <color indexed="81"/>
            <rFont val="TimesNewRomanPSMT"/>
          </rPr>
          <t xml:space="preserve">
Study area is extent of Human Footprint, which covers global land area. Wikipedia source (Michael Pidwirny) gives 148,940,000 km2 = 14,894,000,000 ha</t>
        </r>
      </text>
    </comment>
    <comment ref="M179" authorId="0">
      <text>
        <r>
          <rPr>
            <b/>
            <sz val="9"/>
            <color indexed="81"/>
            <rFont val="Arial"/>
          </rPr>
          <t>Lyndon Estes:</t>
        </r>
        <r>
          <rPr>
            <sz val="9"/>
            <color indexed="81"/>
            <rFont val="Arial"/>
          </rPr>
          <t xml:space="preserve">
These are probably instantaneous, if they are RS data
JC: Changed to instant
</t>
        </r>
      </text>
    </comment>
    <comment ref="O179" authorId="0">
      <text>
        <r>
          <rPr>
            <sz val="9"/>
            <color indexed="81"/>
            <rFont val="Arial"/>
          </rPr>
          <t>changed to instant
LDE: I assume nighttime lights might have integrated a bunch of daily/nightly observations over a year to get the value</t>
        </r>
      </text>
    </comment>
    <comment ref="P179" authorId="6">
      <text>
        <r>
          <rPr>
            <sz val="10"/>
            <color rgb="FF000000"/>
            <rFont val="Arial"/>
          </rPr>
          <t>Best estimate made
See also comment below</t>
        </r>
      </text>
    </comment>
    <comment ref="D180" authorId="0">
      <text>
        <r>
          <rPr>
            <b/>
            <sz val="9"/>
            <color indexed="81"/>
            <rFont val="Arial"/>
          </rPr>
          <t>Lyndon Estes:</t>
        </r>
        <r>
          <rPr>
            <sz val="9"/>
            <color indexed="81"/>
            <rFont val="Arial"/>
          </rPr>
          <t xml:space="preserve">
LDE: decided okay to use this study, because the human footprint index uses primary remote sensing observations from at least two datasets.</t>
        </r>
      </text>
    </comment>
    <comment ref="I180" authorId="0">
      <text>
        <r>
          <rPr>
            <b/>
            <sz val="9"/>
            <color indexed="81"/>
            <rFont val="Arial"/>
          </rPr>
          <t>Lyndon Estes:</t>
        </r>
        <r>
          <rPr>
            <sz val="9"/>
            <color indexed="81"/>
            <rFont val="Arial"/>
          </rPr>
          <t xml:space="preserve">
Human footprint uses a landcover product from AVHRR</t>
        </r>
      </text>
    </comment>
    <comment ref="J180" authorId="4">
      <text>
        <r>
          <rPr>
            <b/>
            <sz val="9"/>
            <color indexed="81"/>
            <rFont val="Tahoma"/>
            <family val="2"/>
          </rPr>
          <t>Jason:</t>
        </r>
        <r>
          <rPr>
            <sz val="9"/>
            <color indexed="81"/>
            <rFont val="Tahoma"/>
            <family val="2"/>
          </rPr>
          <t xml:space="preserve">
from paper "21,186 protected areas greater than or equal to 1 km2"
LDE: since the resolution is 2.7 km, and since the average area of PAs &gt; 1km2 was 598, multiplied this value by 598 and divided by 2.7^2</t>
        </r>
      </text>
    </comment>
    <comment ref="M180" authorId="0">
      <text>
        <r>
          <rPr>
            <b/>
            <sz val="9"/>
            <color indexed="81"/>
            <rFont val="Arial"/>
          </rPr>
          <t>Lyndon Estes:</t>
        </r>
        <r>
          <rPr>
            <sz val="9"/>
            <color indexed="81"/>
            <rFont val="Arial"/>
          </rPr>
          <t xml:space="preserve">
These are probably instantaneous, if they are RS data
JC: Changed to instant
</t>
        </r>
      </text>
    </comment>
    <comment ref="O180" authorId="0">
      <text>
        <r>
          <rPr>
            <sz val="9"/>
            <color indexed="81"/>
            <rFont val="Arial"/>
          </rPr>
          <t>AVHRR 10 day composites over 1 year, so 3 per month X 12</t>
        </r>
      </text>
    </comment>
    <comment ref="P180" authorId="5">
      <text>
        <r>
          <rPr>
            <b/>
            <sz val="10"/>
            <color indexed="81"/>
            <rFont val="TimesNewRomanPSMT"/>
          </rPr>
          <t>Paul R. Elsen:</t>
        </r>
        <r>
          <rPr>
            <sz val="10"/>
            <color indexed="81"/>
            <rFont val="TimesNewRomanPSMT"/>
          </rPr>
          <t xml:space="preserve">
From doi:10.1080/014311600210191, land cover dates given 1992-1993 so assume 365 days</t>
        </r>
      </text>
    </comment>
    <comment ref="I181" authorId="0">
      <text>
        <r>
          <rPr>
            <b/>
            <sz val="9"/>
            <color indexed="81"/>
            <rFont val="Arial"/>
          </rPr>
          <t>Lyndon Estes:</t>
        </r>
        <r>
          <rPr>
            <sz val="9"/>
            <color indexed="81"/>
            <rFont val="Arial"/>
          </rPr>
          <t xml:space="preserve">
What sensor was used?  Is this the pixel size, or the total image extent?  It should be the former, not the latter
</t>
        </r>
        <r>
          <rPr>
            <b/>
            <sz val="9"/>
            <color indexed="81"/>
            <rFont val="Arial"/>
          </rPr>
          <t xml:space="preserve">JC 
</t>
        </r>
        <r>
          <rPr>
            <sz val="9"/>
            <color indexed="81"/>
            <rFont val="Arial"/>
          </rPr>
          <t>pixel size was 30x30
LDE
You forgot to square it, which I changed here</t>
        </r>
      </text>
    </comment>
    <comment ref="J181" authorId="6">
      <text>
        <r>
          <rPr>
            <sz val="10"/>
            <color rgb="FF000000"/>
            <rFont val="Arial"/>
          </rPr>
          <t xml:space="preserve">Assuming imagery was taken in the four nature reserves
LDE: for remote sensing the samples are the total number of pixels in the image(s).  
JC: Estimated number of pixels. Study area = 6093000m2
#pixels = 6093000/30
LDE: Should then by 6093000 / 900
But reading the paper they say they used three Landsat scenes, and these covered the same area
LDE: 1/5/2017, corrected because act_ext was larger than eff_ext. Authors mention the study area as 6093 km2, so assume only those areas of three landsat images were used. Was =6600*6087
</t>
        </r>
      </text>
    </comment>
    <comment ref="K181" authorId="5">
      <text>
        <r>
          <rPr>
            <b/>
            <sz val="10"/>
            <color indexed="81"/>
            <rFont val="TimesNewRomanPSMT"/>
          </rPr>
          <t>Paul R. Elsen:</t>
        </r>
        <r>
          <rPr>
            <sz val="10"/>
            <color indexed="81"/>
            <rFont val="TimesNewRomanPSMT"/>
          </rPr>
          <t xml:space="preserve">
Study area given as five counties within South Minshan, Sichuan Province in China at 6,093 km2 = 609,300 ha. Note that the calculation for n_sites is incorrect; I'm not sure how that calculation is made, but 6093 km2 does not equal 6,093,000 m2, it equals 6,093,000,000 m2. If n_sites is calculated as the total area divided by the pixel size (30 x 30 m), then n_sites should equal 6,093,000,000 / 900 = 6,770,000 and actual extent should be 6,770,000 x 900 / 10000 = 609,300 ha, the same as the effective extent</t>
        </r>
      </text>
    </comment>
    <comment ref="L181" authorId="0">
      <text>
        <r>
          <rPr>
            <b/>
            <sz val="9"/>
            <color indexed="81"/>
            <rFont val="Calibri"/>
            <family val="2"/>
          </rPr>
          <t>Lyndon Estes:</t>
        </r>
        <r>
          <rPr>
            <sz val="9"/>
            <color indexed="81"/>
            <rFont val="Calibri"/>
            <family val="2"/>
          </rPr>
          <t xml:space="preserve">
1/5/2017: See comments on n_sites</t>
        </r>
      </text>
    </comment>
    <comment ref="M181" authorId="0">
      <text>
        <r>
          <rPr>
            <b/>
            <sz val="9"/>
            <color indexed="81"/>
            <rFont val="Arial"/>
          </rPr>
          <t>Lyndon Estes:</t>
        </r>
        <r>
          <rPr>
            <sz val="9"/>
            <color indexed="81"/>
            <rFont val="Arial"/>
          </rPr>
          <t xml:space="preserve">
I assume these are once of remote sensing, so I made them instantaneous (1 second).  Please double-check
</t>
        </r>
      </text>
    </comment>
    <comment ref="N181" authorId="0">
      <text>
        <r>
          <rPr>
            <b/>
            <sz val="9"/>
            <color indexed="81"/>
            <rFont val="Arial"/>
          </rPr>
          <t>Lyndon Estes:</t>
        </r>
        <r>
          <rPr>
            <sz val="9"/>
            <color indexed="81"/>
            <rFont val="Arial"/>
          </rPr>
          <t xml:space="preserve">
They were doing a repeat assessment with Landsat before and after Earthquake</t>
        </r>
      </text>
    </comment>
    <comment ref="O181" authorId="0">
      <text>
        <r>
          <rPr>
            <b/>
            <sz val="9"/>
            <color indexed="81"/>
            <rFont val="Arial"/>
          </rPr>
          <t>Lyndon Estes:</t>
        </r>
        <r>
          <rPr>
            <sz val="9"/>
            <color indexed="81"/>
            <rFont val="Arial"/>
          </rPr>
          <t xml:space="preserve">
Two periods (actually three, but one was a filler)</t>
        </r>
      </text>
    </comment>
    <comment ref="P181" authorId="5">
      <text>
        <r>
          <rPr>
            <b/>
            <sz val="10"/>
            <color indexed="81"/>
            <rFont val="TimesNewRomanPSMT"/>
          </rPr>
          <t>Paul R. Elsen:</t>
        </r>
        <r>
          <rPr>
            <sz val="10"/>
            <color indexed="81"/>
            <rFont val="TimesNewRomanPSMT"/>
          </rPr>
          <t xml:space="preserve">
Habitat classified from three land cover images acquired 19 May 2006, 18 Sep 2007, and 8 July 2008 so 365*2 + 12 + 30 + 8 = 780 (changed from 1095)</t>
        </r>
      </text>
    </comment>
    <comment ref="I182" authorId="4">
      <text>
        <r>
          <rPr>
            <b/>
            <sz val="9"/>
            <color indexed="81"/>
            <rFont val="Tahoma"/>
            <family val="2"/>
          </rPr>
          <t>Jason:</t>
        </r>
        <r>
          <rPr>
            <sz val="9"/>
            <color indexed="81"/>
            <rFont val="Tahoma"/>
            <family val="2"/>
          </rPr>
          <t xml:space="preserve">
5cm diameter tubes
LDE: value didn't seem correct for 5 cm diameter
</t>
        </r>
      </text>
    </comment>
    <comment ref="K182" authorId="5">
      <text>
        <r>
          <rPr>
            <b/>
            <sz val="10"/>
            <color indexed="81"/>
            <rFont val="TimesNewRomanPSMT"/>
          </rPr>
          <t>Paul R. Elsen:</t>
        </r>
        <r>
          <rPr>
            <sz val="10"/>
            <color indexed="81"/>
            <rFont val="TimesNewRomanPSMT"/>
          </rPr>
          <t xml:space="preserve">
Study region is the Changuinola peat deposit of the San San Pond Sak peatland on Bocas del Toro in Panama. Methods list study region as 80 km2 = 8000 ha</t>
        </r>
      </text>
    </comment>
    <comment ref="M182" authorId="4">
      <text>
        <r>
          <rPr>
            <b/>
            <sz val="9"/>
            <color indexed="81"/>
            <rFont val="Tahoma"/>
            <family val="2"/>
          </rPr>
          <t>Jason:</t>
        </r>
        <r>
          <rPr>
            <sz val="9"/>
            <color indexed="81"/>
            <rFont val="Tahoma"/>
            <family val="2"/>
          </rPr>
          <t xml:space="preserve">
assuming each plot was sampled for 1 hour
LDE: they seem to mention an hour</t>
        </r>
      </text>
    </comment>
    <comment ref="O182" authorId="4">
      <text>
        <r>
          <rPr>
            <b/>
            <sz val="9"/>
            <color indexed="81"/>
            <rFont val="Tahoma"/>
            <family val="2"/>
          </rPr>
          <t>Jason:</t>
        </r>
        <r>
          <rPr>
            <sz val="9"/>
            <color indexed="81"/>
            <rFont val="Tahoma"/>
            <family val="2"/>
          </rPr>
          <t xml:space="preserve">
assuming each plot was sampled for 1 hour
LDE: they mention 20 minutes, and samples were made in both July and August, 2009</t>
        </r>
      </text>
    </comment>
    <comment ref="P182" authorId="5">
      <text>
        <r>
          <rPr>
            <b/>
            <sz val="10"/>
            <color indexed="81"/>
            <rFont val="TimesNewRomanPSMT"/>
          </rPr>
          <t>Paul R. Elsen:</t>
        </r>
        <r>
          <rPr>
            <sz val="10"/>
            <color indexed="81"/>
            <rFont val="TimesNewRomanPSMT"/>
          </rPr>
          <t xml:space="preserve">
Measurements made in July and August 2009 = 31*2 = 62 days (changed from 60); see also below)</t>
        </r>
      </text>
    </comment>
    <comment ref="I183" authorId="4">
      <text>
        <r>
          <rPr>
            <b/>
            <sz val="9"/>
            <color indexed="81"/>
            <rFont val="Tahoma"/>
            <family val="2"/>
          </rPr>
          <t>Jason:</t>
        </r>
        <r>
          <rPr>
            <sz val="9"/>
            <color indexed="81"/>
            <rFont val="Tahoma"/>
            <family val="2"/>
          </rPr>
          <t xml:space="preserve">
5cm diameter tubes
LDE: value didn't seem correct for 5 cm diameter
</t>
        </r>
      </text>
    </comment>
    <comment ref="M183" authorId="4">
      <text>
        <r>
          <rPr>
            <b/>
            <sz val="9"/>
            <color indexed="81"/>
            <rFont val="Tahoma"/>
            <family val="2"/>
          </rPr>
          <t>Jason:</t>
        </r>
        <r>
          <rPr>
            <sz val="9"/>
            <color indexed="81"/>
            <rFont val="Tahoma"/>
            <family val="2"/>
          </rPr>
          <t xml:space="preserve">
assuming each plot was sampled for 1 hour
LDE: they seem to mention an hour</t>
        </r>
      </text>
    </comment>
    <comment ref="O183" authorId="4">
      <text>
        <r>
          <rPr>
            <b/>
            <sz val="9"/>
            <color indexed="81"/>
            <rFont val="Tahoma"/>
            <family val="2"/>
          </rPr>
          <t>Jason:</t>
        </r>
        <r>
          <rPr>
            <sz val="9"/>
            <color indexed="81"/>
            <rFont val="Tahoma"/>
            <family val="2"/>
          </rPr>
          <t xml:space="preserve">
assuming each plot was sampled for 1 hour
LDE: they mention 20 minutes, and samples were made in both July and August, 2009</t>
        </r>
      </text>
    </comment>
    <comment ref="I184" authorId="4">
      <text>
        <r>
          <rPr>
            <b/>
            <sz val="9"/>
            <color indexed="81"/>
            <rFont val="Tahoma"/>
            <family val="2"/>
          </rPr>
          <t>Jason:</t>
        </r>
        <r>
          <rPr>
            <sz val="9"/>
            <color indexed="81"/>
            <rFont val="Tahoma"/>
            <family val="2"/>
          </rPr>
          <t xml:space="preserve">
From paper "Four 1 m long cores were taken at all three sampling sites"
LDE: 7.6 cm corer used</t>
        </r>
      </text>
    </comment>
    <comment ref="M184" authorId="4">
      <text>
        <r>
          <rPr>
            <b/>
            <sz val="9"/>
            <color indexed="81"/>
            <rFont val="Tahoma"/>
            <family val="2"/>
          </rPr>
          <t>Jason:</t>
        </r>
        <r>
          <rPr>
            <sz val="9"/>
            <color indexed="81"/>
            <rFont val="Tahoma"/>
            <family val="2"/>
          </rPr>
          <t xml:space="preserve">
assuming each core took 15 minutes
LDE: they let samples stabilize for 40 minutes, and then sampled at 0 and 10 minutes.  So just integrating this time
But they also took moisture content measures after taking ex situ fluxes, and this was done after 70 hours, so using this as duration</t>
        </r>
      </text>
    </comment>
    <comment ref="O184" authorId="4">
      <text>
        <r>
          <rPr>
            <b/>
            <sz val="9"/>
            <color indexed="81"/>
            <rFont val="Tahoma"/>
            <family val="2"/>
          </rPr>
          <t>Jason:</t>
        </r>
        <r>
          <rPr>
            <sz val="9"/>
            <color indexed="81"/>
            <rFont val="Tahoma"/>
            <family val="2"/>
          </rPr>
          <t xml:space="preserve">
assuming each core took 15 minutes</t>
        </r>
      </text>
    </comment>
    <comment ref="P184" authorId="5">
      <text>
        <r>
          <rPr>
            <b/>
            <sz val="10"/>
            <color indexed="81"/>
            <rFont val="TimesNewRomanPSMT"/>
          </rPr>
          <t>Paul R. Elsen:</t>
        </r>
        <r>
          <rPr>
            <sz val="10"/>
            <color indexed="81"/>
            <rFont val="TimesNewRomanPSMT"/>
          </rPr>
          <t xml:space="preserve">
Updated to act_dur (once-off)</t>
        </r>
      </text>
    </comment>
    <comment ref="E185" authorId="0">
      <text>
        <r>
          <rPr>
            <b/>
            <sz val="9"/>
            <color indexed="81"/>
            <rFont val="Calibri"/>
            <family val="2"/>
          </rPr>
          <t>Lyndon Estes:</t>
        </r>
        <r>
          <rPr>
            <sz val="9"/>
            <color indexed="81"/>
            <rFont val="Calibri"/>
            <family val="2"/>
          </rPr>
          <t xml:space="preserve">
17/5/2017: corrected from 2012</t>
        </r>
      </text>
    </comment>
    <comment ref="I185" authorId="6">
      <text>
        <r>
          <rPr>
            <sz val="10"/>
            <color rgb="FF000000"/>
            <rFont val="Arial"/>
          </rPr>
          <t>Best-assumption made- very crude estimate
I'm assuming the sampling net used here was 1m^2.
LDE: They were water samples and sediment, so I assume they collected in a bottle for both</t>
        </r>
      </text>
    </comment>
    <comment ref="J185" authorId="0">
      <text>
        <r>
          <rPr>
            <b/>
            <sz val="9"/>
            <color indexed="81"/>
            <rFont val="Arial"/>
          </rPr>
          <t>Lyndon Estes:</t>
        </r>
        <r>
          <rPr>
            <sz val="9"/>
            <color indexed="81"/>
            <rFont val="Arial"/>
          </rPr>
          <t xml:space="preserve">
Looks like they collected from 20 locations over time, at four different places in the Med</t>
        </r>
      </text>
    </comment>
    <comment ref="K185" authorId="5">
      <text>
        <r>
          <rPr>
            <b/>
            <sz val="10"/>
            <color indexed="81"/>
            <rFont val="TimesNewRomanPSMT"/>
          </rPr>
          <t>Paul R. Elsen:</t>
        </r>
        <r>
          <rPr>
            <sz val="10"/>
            <color indexed="81"/>
            <rFont val="TimesNewRomanPSMT"/>
          </rPr>
          <t xml:space="preserve">
7 survey sites given in Table S1 of supplementary material. Coordinates for each site were bound by a minimum convex polygon in GE Pro. I then subtracted out all land area by separately calculating areas for all land areas that should be masked (parts of Italy, Sicily, Sardinia, Mallorca, and Spain). The final MCP totalled 33,352,971 ha</t>
        </r>
      </text>
    </comment>
    <comment ref="M185" authorId="6">
      <text>
        <r>
          <rPr>
            <sz val="10"/>
            <color rgb="FF000000"/>
            <rFont val="Arial"/>
          </rPr>
          <t>assuming single sample took 1 hour to complete
LDE: assume 1/2 hour, but splitting hairs</t>
        </r>
      </text>
    </comment>
    <comment ref="O185" authorId="6">
      <text>
        <r>
          <rPr>
            <sz val="10"/>
            <color rgb="FF000000"/>
            <rFont val="Arial"/>
          </rPr>
          <t>assuming single sample took 1 hour to complete
LDE: assume 1/2 hour, but splitting hairs</t>
        </r>
      </text>
    </comment>
    <comment ref="P185" authorId="5">
      <text>
        <r>
          <rPr>
            <b/>
            <sz val="10"/>
            <color indexed="81"/>
            <rFont val="TimesNewRomanPSMT"/>
          </rPr>
          <t>Paul R. Elsen:</t>
        </r>
        <r>
          <rPr>
            <sz val="10"/>
            <color indexed="81"/>
            <rFont val="TimesNewRomanPSMT"/>
          </rPr>
          <t xml:space="preserve">
In DOI data source, table 2 samples are taken from different studies from 1996-2003 = 365*8 = 2920 (the date 2001 sticks out more than 2003 in the table, so it is possible this is the value that Jason chose originally). Changing from 2190 to 2920
</t>
        </r>
        <r>
          <rPr>
            <b/>
            <sz val="10"/>
            <color indexed="81"/>
            <rFont val="TimesNewRomanPSMT"/>
          </rPr>
          <t>PE 4/21/17:</t>
        </r>
        <r>
          <rPr>
            <sz val="10"/>
            <color indexed="81"/>
            <rFont val="TimesNewRomanPSMT"/>
          </rPr>
          <t xml:space="preserve"> Updated to act_dur (once-off)</t>
        </r>
      </text>
    </comment>
    <comment ref="I186" authorId="4">
      <text>
        <r>
          <rPr>
            <b/>
            <sz val="9"/>
            <color indexed="81"/>
            <rFont val="Tahoma"/>
            <family val="2"/>
          </rPr>
          <t>Jason:</t>
        </r>
        <r>
          <rPr>
            <sz val="9"/>
            <color indexed="81"/>
            <rFont val="Tahoma"/>
            <family val="2"/>
          </rPr>
          <t xml:space="preserve">
17 × 25-cm dip net
LDE: value in there didn't match your notes.  </t>
        </r>
      </text>
    </comment>
    <comment ref="K186" authorId="5">
      <text>
        <r>
          <rPr>
            <b/>
            <sz val="10"/>
            <color indexed="81"/>
            <rFont val="TimesNewRomanPSMT"/>
          </rPr>
          <t>Paul R. Elsen:</t>
        </r>
        <r>
          <rPr>
            <sz val="10"/>
            <color indexed="81"/>
            <rFont val="TimesNewRomanPSMT"/>
          </rPr>
          <t xml:space="preserve">
Study region given as 160 km latitudinal extent spanning three sites. Take 160 km as long dimension, and assume short dimension is maximum diameter of a pond. Ponds ranged in area up to 8300 m2 = .1028 km in diameter. So 160 km x 0.1028 km = 16.448 km2 = 1644.8 ha</t>
        </r>
      </text>
    </comment>
    <comment ref="M186" authorId="4">
      <text>
        <r>
          <rPr>
            <b/>
            <sz val="9"/>
            <color indexed="81"/>
            <rFont val="Tahoma"/>
            <family val="2"/>
          </rPr>
          <t>Jason:</t>
        </r>
        <r>
          <rPr>
            <sz val="9"/>
            <color indexed="81"/>
            <rFont val="Tahoma"/>
            <family val="2"/>
          </rPr>
          <t xml:space="preserve">
estimate
</t>
        </r>
      </text>
    </comment>
    <comment ref="O186" authorId="4">
      <text>
        <r>
          <rPr>
            <b/>
            <sz val="9"/>
            <color indexed="81"/>
            <rFont val="Tahoma"/>
            <family val="2"/>
          </rPr>
          <t>Jason:</t>
        </r>
        <r>
          <rPr>
            <sz val="9"/>
            <color indexed="81"/>
            <rFont val="Tahoma"/>
            <family val="2"/>
          </rPr>
          <t xml:space="preserve">
assuming each pond was sampled for half a day from May to an Estimated October for 3 years
LDE: Isn't it then more like 0.5 * 26.0.75/2 * 3, since your interval is 14 days between samples? Assuming the 26.075 is supposed to be May-October…
JC: corrected</t>
        </r>
      </text>
    </comment>
    <comment ref="P186" authorId="5">
      <text>
        <r>
          <rPr>
            <b/>
            <sz val="10"/>
            <color indexed="81"/>
            <rFont val="TimesNewRomanPSMT"/>
          </rPr>
          <t>Paul R. Elsen:</t>
        </r>
        <r>
          <rPr>
            <sz val="10"/>
            <color indexed="81"/>
            <rFont val="TimesNewRomanPSMT"/>
          </rPr>
          <t xml:space="preserve">
See act_dur comment for calculation and assumptions</t>
        </r>
      </text>
    </comment>
    <comment ref="I187" authorId="6">
      <text>
        <r>
          <rPr>
            <sz val="10"/>
            <color rgb="FF000000"/>
            <rFont val="Arial"/>
          </rPr>
          <t>Assuming net size is 1 square meter</t>
        </r>
      </text>
    </comment>
    <comment ref="J187" authorId="4">
      <text>
        <r>
          <rPr>
            <b/>
            <sz val="9"/>
            <color indexed="81"/>
            <rFont val="Tahoma"/>
            <family val="2"/>
          </rPr>
          <t>Jason:</t>
        </r>
        <r>
          <rPr>
            <sz val="9"/>
            <color indexed="81"/>
            <rFont val="Tahoma"/>
            <family val="2"/>
          </rPr>
          <t xml:space="preserve">
28 populations</t>
        </r>
      </text>
    </comment>
    <comment ref="K187" authorId="5">
      <text>
        <r>
          <rPr>
            <b/>
            <sz val="10"/>
            <color indexed="81"/>
            <rFont val="TimesNewRomanPSMT"/>
          </rPr>
          <t>Paul R. Elsen:</t>
        </r>
        <r>
          <rPr>
            <sz val="10"/>
            <color indexed="81"/>
            <rFont val="TimesNewRomanPSMT"/>
          </rPr>
          <t xml:space="preserve">
"Map" of study region given in Fig. S1 of supplemental. Using the scale bar, I estimate the long dimension is 34 km and the short dimension is 8 km = 272 km2 = 27200 ha</t>
        </r>
      </text>
    </comment>
    <comment ref="M187" authorId="6">
      <text>
        <r>
          <rPr>
            <sz val="10"/>
            <color rgb="FF000000"/>
            <rFont val="Arial"/>
          </rPr>
          <t xml:space="preserve">Assuming collection took half a day
</t>
        </r>
      </text>
    </comment>
    <comment ref="N187" authorId="6">
      <text>
        <r>
          <rPr>
            <sz val="10"/>
            <color rgb="FF000000"/>
            <rFont val="Arial"/>
          </rPr>
          <t xml:space="preserve">Best assumption made
</t>
        </r>
      </text>
    </comment>
    <comment ref="O187" authorId="4">
      <text>
        <r>
          <rPr>
            <b/>
            <sz val="9"/>
            <color indexed="81"/>
            <rFont val="Tahoma"/>
            <family val="2"/>
          </rPr>
          <t>Jason:</t>
        </r>
        <r>
          <rPr>
            <sz val="9"/>
            <color indexed="81"/>
            <rFont val="Tahoma"/>
            <family val="2"/>
          </rPr>
          <t xml:space="preserve">
assuming each population took half a day to sample, both in 2003 and 2004
LDE: I reduced this to equal samp_duration, since it sounds like the population was the sample unit, and there were no repeats.  Correct? 
JC: Correct</t>
        </r>
      </text>
    </comment>
    <comment ref="P187" authorId="5">
      <text>
        <r>
          <rPr>
            <b/>
            <sz val="10"/>
            <color indexed="81"/>
            <rFont val="TimesNewRomanPSMT"/>
          </rPr>
          <t>Paul R. Elsen:</t>
        </r>
        <r>
          <rPr>
            <sz val="10"/>
            <color indexed="81"/>
            <rFont val="TimesNewRomanPSMT"/>
          </rPr>
          <t xml:space="preserve">
Species only captured in spring 2003 and 2004; assume spring = 90 days = 365 + 90 = 455 (changed from 730, an assumed 2 years)
</t>
        </r>
        <r>
          <rPr>
            <b/>
            <sz val="10"/>
            <color indexed="81"/>
            <rFont val="TimesNewRomanPSMT"/>
          </rPr>
          <t>PE 4/21/17:</t>
        </r>
        <r>
          <rPr>
            <sz val="10"/>
            <color indexed="81"/>
            <rFont val="TimesNewRomanPSMT"/>
          </rPr>
          <t xml:space="preserve"> Updated to act_dur (once-off)</t>
        </r>
      </text>
    </comment>
    <comment ref="I188" authorId="4">
      <text>
        <r>
          <rPr>
            <b/>
            <sz val="9"/>
            <color indexed="81"/>
            <rFont val="Tahoma"/>
            <family val="2"/>
          </rPr>
          <t>Jason:</t>
        </r>
        <r>
          <rPr>
            <sz val="9"/>
            <color indexed="81"/>
            <rFont val="Tahoma"/>
            <family val="2"/>
          </rPr>
          <t xml:space="preserve">
estimated size of a 2.0 L Niskin
sampler
LDE: edited to match Niskin bottles in biogeosciences paper</t>
        </r>
      </text>
    </comment>
    <comment ref="J188" authorId="4">
      <text>
        <r>
          <rPr>
            <b/>
            <sz val="9"/>
            <color indexed="81"/>
            <rFont val="Tahoma"/>
            <family val="2"/>
          </rPr>
          <t>Jason:</t>
        </r>
        <r>
          <rPr>
            <sz val="9"/>
            <color indexed="81"/>
            <rFont val="Tahoma"/>
            <family val="2"/>
          </rPr>
          <t xml:space="preserve">
Changed to 1, sample taken at 1 station but at 6 different depths, is this correcT?
</t>
        </r>
      </text>
    </comment>
    <comment ref="K188" authorId="5">
      <text>
        <r>
          <rPr>
            <b/>
            <sz val="10"/>
            <color indexed="81"/>
            <rFont val="TimesNewRomanPSMT"/>
          </rPr>
          <t>Paul R. Elsen:</t>
        </r>
        <r>
          <rPr>
            <sz val="10"/>
            <color indexed="81"/>
            <rFont val="TimesNewRomanPSMT"/>
          </rPr>
          <t xml:space="preserve">
Study region is Lake Mashu in East Asia. Methods give catchment area of 32.4 km2 with the lake surface comprisin 19.6 km2 of that amount. Water samples were taken from the lake surface, so using 19.6 km2 as effective extent = 1960 ha</t>
        </r>
      </text>
    </comment>
    <comment ref="M188" authorId="0">
      <text>
        <r>
          <rPr>
            <b/>
            <sz val="9"/>
            <color indexed="81"/>
            <rFont val="Arial"/>
          </rPr>
          <t>Lyndon Estes:</t>
        </r>
        <r>
          <rPr>
            <sz val="9"/>
            <color indexed="81"/>
            <rFont val="Arial"/>
          </rPr>
          <t xml:space="preserve">
Only an hour, I would imagine</t>
        </r>
      </text>
    </comment>
    <comment ref="O188" authorId="0">
      <text>
        <r>
          <rPr>
            <b/>
            <sz val="9"/>
            <color indexed="81"/>
            <rFont val="Arial"/>
          </rPr>
          <t>Lyndon Estes:</t>
        </r>
        <r>
          <rPr>
            <sz val="9"/>
            <color indexed="81"/>
            <rFont val="Arial"/>
          </rPr>
          <t xml:space="preserve">
This still looks like a mistake, because you are multipliying duration by n_sites.  How many repeats were done per sample?
JC: Only 1 repeat per sample, but if I included each depth that smapling was don’t at then, it would be 6 repeats per sample. 
LDE: Treated all depths as one samples. </t>
        </r>
      </text>
    </comment>
    <comment ref="P188" authorId="6">
      <text>
        <r>
          <rPr>
            <sz val="10"/>
            <color rgb="FF000000"/>
            <rFont val="Arial"/>
          </rPr>
          <t xml:space="preserve">Best estimate made
</t>
        </r>
        <r>
          <rPr>
            <b/>
            <sz val="10"/>
            <color rgb="FF000000"/>
            <rFont val="Arial"/>
          </rPr>
          <t>Paul Elsen:</t>
        </r>
        <r>
          <rPr>
            <sz val="10"/>
            <color rgb="FF000000"/>
            <rFont val="Arial"/>
          </rPr>
          <t xml:space="preserve"> water samples taken 25 June and 24 August = 60 days, changed from 365</t>
        </r>
      </text>
    </comment>
    <comment ref="I189" authorId="4">
      <text>
        <r>
          <rPr>
            <b/>
            <sz val="9"/>
            <color indexed="81"/>
            <rFont val="Tahoma"/>
            <family val="2"/>
          </rPr>
          <t>Jason:</t>
        </r>
        <r>
          <rPr>
            <sz val="9"/>
            <color indexed="81"/>
            <rFont val="Tahoma"/>
            <family val="2"/>
          </rPr>
          <t xml:space="preserve">
from paper "Bird data were collected for 197 two-hectare transects
(each 250 9 80 m) "</t>
        </r>
      </text>
    </comment>
    <comment ref="K189" authorId="5">
      <text>
        <r>
          <rPr>
            <b/>
            <sz val="10"/>
            <color indexed="81"/>
            <rFont val="TimesNewRomanPSMT"/>
          </rPr>
          <t>Paul R. Elsen:</t>
        </r>
        <r>
          <rPr>
            <sz val="10"/>
            <color indexed="81"/>
            <rFont val="TimesNewRomanPSMT"/>
          </rPr>
          <t xml:space="preserve">
Survey region is box iron-bark forest region in central Victoria, Australia. From methods, bird data were collected across an covering ~16000km2 = 1,600,000 ha</t>
        </r>
      </text>
    </comment>
    <comment ref="M189" authorId="4">
      <text>
        <r>
          <rPr>
            <b/>
            <sz val="9"/>
            <color indexed="81"/>
            <rFont val="Tahoma"/>
            <family val="2"/>
          </rPr>
          <t>Jason:</t>
        </r>
        <r>
          <rPr>
            <sz val="9"/>
            <color indexed="81"/>
            <rFont val="Tahoma"/>
            <family val="2"/>
          </rPr>
          <t xml:space="preserve">
20 minute spent at teach plot
</t>
        </r>
      </text>
    </comment>
    <comment ref="N189" authorId="4">
      <text>
        <r>
          <rPr>
            <b/>
            <sz val="9"/>
            <color indexed="81"/>
            <rFont val="Tahoma"/>
            <family val="2"/>
          </rPr>
          <t>Jason:</t>
        </r>
        <r>
          <rPr>
            <sz val="9"/>
            <color indexed="81"/>
            <rFont val="Tahoma"/>
            <family val="2"/>
          </rPr>
          <t xml:space="preserve">
8 cycles in a year</t>
        </r>
      </text>
    </comment>
    <comment ref="O189" authorId="4">
      <text>
        <r>
          <rPr>
            <b/>
            <sz val="9"/>
            <color indexed="81"/>
            <rFont val="Tahoma"/>
            <family val="2"/>
          </rPr>
          <t>Jason:</t>
        </r>
        <r>
          <rPr>
            <sz val="9"/>
            <color indexed="81"/>
            <rFont val="Tahoma"/>
            <family val="2"/>
          </rPr>
          <t xml:space="preserve">
20 minutes at each site visited 8 times throughout the year</t>
        </r>
      </text>
    </comment>
    <comment ref="P189" authorId="5">
      <text>
        <r>
          <rPr>
            <b/>
            <sz val="10"/>
            <color indexed="81"/>
            <rFont val="TimesNewRomanPSMT"/>
          </rPr>
          <t>Paul R. Elsen:</t>
        </r>
        <r>
          <rPr>
            <sz val="10"/>
            <color indexed="81"/>
            <rFont val="TimesNewRomanPSMT"/>
          </rPr>
          <t xml:space="preserve">
Given the date ranges of sampling from 1995 - 2002 (see notes field), effective duration is 365 * 8 years = 2920 (changed from 2190); also same for below</t>
        </r>
      </text>
    </comment>
    <comment ref="I190" authorId="4">
      <text>
        <r>
          <rPr>
            <b/>
            <sz val="9"/>
            <color indexed="81"/>
            <rFont val="Tahoma"/>
            <family val="2"/>
          </rPr>
          <t>Jason:</t>
        </r>
        <r>
          <rPr>
            <sz val="9"/>
            <color indexed="81"/>
            <rFont val="Tahoma"/>
            <family val="2"/>
          </rPr>
          <t xml:space="preserve">
from paper "Bird data were collected for 197 two-hectare transects
(each 250 9 80 m) "</t>
        </r>
      </text>
    </comment>
    <comment ref="O190" authorId="4">
      <text>
        <r>
          <rPr>
            <b/>
            <sz val="9"/>
            <color indexed="81"/>
            <rFont val="Tahoma"/>
            <family val="2"/>
          </rPr>
          <t>Jason:</t>
        </r>
        <r>
          <rPr>
            <sz val="9"/>
            <color indexed="81"/>
            <rFont val="Tahoma"/>
            <family val="2"/>
          </rPr>
          <t xml:space="preserve">
20 minutes at each site visited 8 time</t>
        </r>
      </text>
    </comment>
    <comment ref="I191" authorId="4">
      <text>
        <r>
          <rPr>
            <b/>
            <sz val="9"/>
            <color indexed="81"/>
            <rFont val="Tahoma"/>
            <family val="2"/>
          </rPr>
          <t>Jason:</t>
        </r>
        <r>
          <rPr>
            <sz val="9"/>
            <color indexed="81"/>
            <rFont val="Tahoma"/>
            <family val="2"/>
          </rPr>
          <t xml:space="preserve">
from paper "Bird data were collected for 197 two-hectare transects
(each 250 9 80 m) "</t>
        </r>
      </text>
    </comment>
    <comment ref="O191" authorId="4">
      <text>
        <r>
          <rPr>
            <b/>
            <sz val="9"/>
            <color indexed="81"/>
            <rFont val="Tahoma"/>
            <family val="2"/>
          </rPr>
          <t>Jason:</t>
        </r>
        <r>
          <rPr>
            <sz val="9"/>
            <color indexed="81"/>
            <rFont val="Tahoma"/>
            <family val="2"/>
          </rPr>
          <t xml:space="preserve">
20 minutes at each site visited 8 time</t>
        </r>
      </text>
    </comment>
    <comment ref="J192" authorId="7">
      <text>
        <r>
          <rPr>
            <b/>
            <sz val="9"/>
            <color indexed="81"/>
            <rFont val="Arial"/>
          </rPr>
          <t>Paul Elsen:</t>
        </r>
        <r>
          <rPr>
            <sz val="9"/>
            <color indexed="81"/>
            <rFont val="Arial"/>
          </rPr>
          <t xml:space="preserve">
Kopuatai bog = 16 + 4 sites; Chatham Island = (28 + 29 - 27) sites</t>
        </r>
      </text>
    </comment>
    <comment ref="K192" authorId="5">
      <text>
        <r>
          <rPr>
            <b/>
            <sz val="10"/>
            <color indexed="81"/>
            <rFont val="TimesNewRomanPSMT"/>
          </rPr>
          <t>Paul R. Elsen:</t>
        </r>
        <r>
          <rPr>
            <sz val="10"/>
            <color indexed="81"/>
            <rFont val="TimesNewRomanPSMT"/>
          </rPr>
          <t xml:space="preserve">
 5 bogs, one reported at 9000 ha, the other four have locations in previous paper by same author: doi: 10.1080/0028825x.2004.9512905. One bog has ha in paper, the others were taken from GE Pro and estimates of reserve sizes</t>
        </r>
      </text>
    </comment>
    <comment ref="M192" authorId="7">
      <text>
        <r>
          <rPr>
            <b/>
            <sz val="9"/>
            <color indexed="81"/>
            <rFont val="Arial"/>
          </rPr>
          <t>Paul Elsen:</t>
        </r>
        <r>
          <rPr>
            <sz val="9"/>
            <color indexed="81"/>
            <rFont val="Arial"/>
          </rPr>
          <t xml:space="preserve">
all 50 sites were surveyed in November 2002 and February 21 so assume 1 day per site</t>
        </r>
      </text>
    </comment>
    <comment ref="O192" authorId="0">
      <text>
        <r>
          <rPr>
            <b/>
            <sz val="9"/>
            <color indexed="81"/>
            <rFont val="Arial"/>
          </rPr>
          <t>Lyndon Estes:</t>
        </r>
        <r>
          <rPr>
            <sz val="9"/>
            <color indexed="81"/>
            <rFont val="Arial"/>
          </rPr>
          <t xml:space="preserve">
Fixed by LDE</t>
        </r>
      </text>
    </comment>
    <comment ref="P192" authorId="5">
      <text>
        <r>
          <rPr>
            <b/>
            <sz val="10"/>
            <color indexed="81"/>
            <rFont val="TimesNewRomanPSMT"/>
          </rPr>
          <t>Paul R. Elsen:</t>
        </r>
        <r>
          <rPr>
            <sz val="10"/>
            <color indexed="81"/>
            <rFont val="TimesNewRomanPSMT"/>
          </rPr>
          <t xml:space="preserve">
Sampling in Feb 2001 and Nov 2002
</t>
        </r>
        <r>
          <rPr>
            <b/>
            <sz val="10"/>
            <color indexed="81"/>
            <rFont val="TimesNewRomanPSMT"/>
          </rPr>
          <t xml:space="preserve">PE 4/21/17: </t>
        </r>
        <r>
          <rPr>
            <sz val="10"/>
            <color indexed="81"/>
            <rFont val="TimesNewRomanPSMT"/>
          </rPr>
          <t>Updated to act_dur (once-off)</t>
        </r>
      </text>
    </comment>
    <comment ref="I193" authorId="7">
      <text>
        <r>
          <rPr>
            <b/>
            <sz val="9"/>
            <color indexed="81"/>
            <rFont val="Arial"/>
          </rPr>
          <t>Paul Elsen:</t>
        </r>
        <r>
          <rPr>
            <sz val="9"/>
            <color indexed="81"/>
            <rFont val="Arial"/>
          </rPr>
          <t xml:space="preserve">
assume the roots are .5 long by .1 m wide</t>
        </r>
      </text>
    </comment>
    <comment ref="L193" authorId="0">
      <text>
        <r>
          <rPr>
            <b/>
            <sz val="9"/>
            <color indexed="81"/>
            <rFont val="Arial"/>
          </rPr>
          <t>Lyndon Estes:</t>
        </r>
        <r>
          <rPr>
            <sz val="9"/>
            <color indexed="81"/>
            <rFont val="Arial"/>
          </rPr>
          <t xml:space="preserve">
Forgot to divide by 10000</t>
        </r>
      </text>
    </comment>
    <comment ref="M193" authorId="7">
      <text>
        <r>
          <rPr>
            <b/>
            <sz val="9"/>
            <color indexed="81"/>
            <rFont val="Arial"/>
          </rPr>
          <t>Paul Elsen:</t>
        </r>
        <r>
          <rPr>
            <sz val="9"/>
            <color indexed="81"/>
            <rFont val="Arial"/>
          </rPr>
          <t xml:space="preserve">
assume 1 day to sample roots at each plot</t>
        </r>
      </text>
    </comment>
    <comment ref="O193" authorId="7">
      <text>
        <r>
          <rPr>
            <b/>
            <sz val="9"/>
            <color indexed="81"/>
            <rFont val="Arial"/>
          </rPr>
          <t>Paul Elsen:</t>
        </r>
        <r>
          <rPr>
            <sz val="9"/>
            <color indexed="81"/>
            <rFont val="Arial"/>
          </rPr>
          <t xml:space="preserve">
2 root samples at each site
LDE: 24/5/16. Fixed</t>
        </r>
      </text>
    </comment>
    <comment ref="P193" authorId="5">
      <text>
        <r>
          <rPr>
            <b/>
            <sz val="10"/>
            <color indexed="81"/>
            <rFont val="TimesNewRomanPSMT"/>
          </rPr>
          <t>Paul R. Elsen:</t>
        </r>
        <r>
          <rPr>
            <sz val="10"/>
            <color indexed="81"/>
            <rFont val="TimesNewRomanPSMT"/>
          </rPr>
          <t xml:space="preserve">
Sampling in Feb 2001 and Nov 2002
</t>
        </r>
        <r>
          <rPr>
            <b/>
            <sz val="10"/>
            <color indexed="81"/>
            <rFont val="TimesNewRomanPSMT"/>
          </rPr>
          <t xml:space="preserve">PE 4/21/17: </t>
        </r>
        <r>
          <rPr>
            <sz val="10"/>
            <color indexed="81"/>
            <rFont val="TimesNewRomanPSMT"/>
          </rPr>
          <t>Updated to act_dur (once-off)</t>
        </r>
      </text>
    </comment>
    <comment ref="I194" authorId="7">
      <text>
        <r>
          <rPr>
            <b/>
            <sz val="9"/>
            <color indexed="81"/>
            <rFont val="Arial"/>
          </rPr>
          <t>Paul Elsen:</t>
        </r>
        <r>
          <rPr>
            <sz val="9"/>
            <color indexed="81"/>
            <rFont val="Arial"/>
          </rPr>
          <t xml:space="preserve">
average of total area for each of four areas divided by the number of prairie dog colonies (data given in hectares so converting to m2)
LDE: fixed this to use the two exact measures to provide average resolution, thus sampled_area / n_sites * 10000</t>
        </r>
      </text>
    </comment>
    <comment ref="J194" authorId="7">
      <text>
        <r>
          <rPr>
            <b/>
            <sz val="9"/>
            <color indexed="81"/>
            <rFont val="Arial"/>
          </rPr>
          <t>Paul Elsen:</t>
        </r>
        <r>
          <rPr>
            <sz val="9"/>
            <color indexed="81"/>
            <rFont val="Arial"/>
          </rPr>
          <t xml:space="preserve">
treating each prairie dog colony as a site</t>
        </r>
      </text>
    </comment>
    <comment ref="K194" authorId="5">
      <text>
        <r>
          <rPr>
            <b/>
            <sz val="10"/>
            <color indexed="81"/>
            <rFont val="TimesNewRomanPSMT"/>
          </rPr>
          <t>Paul R. Elsen:</t>
        </r>
        <r>
          <rPr>
            <sz val="10"/>
            <color indexed="81"/>
            <rFont val="TimesNewRomanPSMT"/>
          </rPr>
          <t xml:space="preserve">
Three study areas:
1) Carrizo Unit: 40700 ha from doi:10.1007/s10980-007-9175-6 cited in paper
2) Pawnee National Grassland &amp; Central Experiemental Unit: 193060 acres (from FS website) + 31 square mi (estimated from FS map) = 78129 ha + 8029 ha
3) Philips County: 225000 ha (taken from ref in 1 above)
Total = 351858 ha</t>
        </r>
      </text>
    </comment>
    <comment ref="L194" authorId="7">
      <text>
        <r>
          <rPr>
            <b/>
            <sz val="9"/>
            <color indexed="81"/>
            <rFont val="Arial"/>
          </rPr>
          <t>Paul Elsen:</t>
        </r>
        <r>
          <rPr>
            <sz val="9"/>
            <color indexed="81"/>
            <rFont val="Arial"/>
          </rPr>
          <t xml:space="preserve">
total hectares given for each of four study areas</t>
        </r>
      </text>
    </comment>
    <comment ref="M194" authorId="7">
      <text>
        <r>
          <rPr>
            <b/>
            <sz val="9"/>
            <color indexed="81"/>
            <rFont val="Arial"/>
          </rPr>
          <t>Paul Elsen:</t>
        </r>
        <r>
          <rPr>
            <sz val="9"/>
            <color indexed="81"/>
            <rFont val="Arial"/>
          </rPr>
          <t xml:space="preserve">
assume it takes 1 day to sruvey a prairie dog colony</t>
        </r>
      </text>
    </comment>
    <comment ref="N194" authorId="7">
      <text>
        <r>
          <rPr>
            <b/>
            <sz val="9"/>
            <color indexed="81"/>
            <rFont val="Arial"/>
          </rPr>
          <t>Paul Elsen:</t>
        </r>
        <r>
          <rPr>
            <sz val="9"/>
            <color indexed="81"/>
            <rFont val="Arial"/>
          </rPr>
          <t xml:space="preserve">
two sites surveyed 30 days apart, one surveyed 15 days apart, averaged to 25 days between</t>
        </r>
      </text>
    </comment>
    <comment ref="O194" authorId="7">
      <text>
        <r>
          <rPr>
            <b/>
            <sz val="9"/>
            <color indexed="81"/>
            <rFont val="Arial"/>
          </rPr>
          <t>Paul Elsen:</t>
        </r>
        <r>
          <rPr>
            <sz val="9"/>
            <color indexed="81"/>
            <rFont val="Arial"/>
          </rPr>
          <t xml:space="preserve">
assume average of 2.5 repeated samples (sites surveyed &gt;=2 or &gt;=3 times)</t>
        </r>
      </text>
    </comment>
    <comment ref="P194" authorId="7">
      <text>
        <r>
          <rPr>
            <b/>
            <sz val="9"/>
            <color indexed="81"/>
            <rFont val="Arial"/>
          </rPr>
          <t>Paul Elsen:</t>
        </r>
        <r>
          <rPr>
            <sz val="9"/>
            <color indexed="81"/>
            <rFont val="Arial"/>
          </rPr>
          <t xml:space="preserve">
surveyed birds from May 2003 - June 2007</t>
        </r>
      </text>
    </comment>
    <comment ref="I195" authorId="7">
      <text>
        <r>
          <rPr>
            <b/>
            <sz val="9"/>
            <color indexed="81"/>
            <rFont val="Arial"/>
          </rPr>
          <t>Paul Elsen:</t>
        </r>
        <r>
          <rPr>
            <sz val="9"/>
            <color indexed="81"/>
            <rFont val="Arial"/>
          </rPr>
          <t xml:space="preserve">
treating each market as a plot, assuming each market is 10 x 10 m</t>
        </r>
      </text>
    </comment>
    <comment ref="K195" authorId="5">
      <text>
        <r>
          <rPr>
            <b/>
            <sz val="10"/>
            <color indexed="81"/>
            <rFont val="TimesNewRomanPSMT"/>
          </rPr>
          <t xml:space="preserve">Paul R. Elsen:
</t>
        </r>
        <r>
          <rPr>
            <sz val="10"/>
            <color indexed="81"/>
            <rFont val="TimesNewRomanPSMT"/>
          </rPr>
          <t>Study area reported in paper 35,324 km2 = 3532400 ha</t>
        </r>
      </text>
    </comment>
    <comment ref="M195" authorId="7">
      <text>
        <r>
          <rPr>
            <b/>
            <sz val="9"/>
            <color indexed="81"/>
            <rFont val="Arial"/>
          </rPr>
          <t>Paul Elsen:</t>
        </r>
        <r>
          <rPr>
            <sz val="9"/>
            <color indexed="81"/>
            <rFont val="Arial"/>
          </rPr>
          <t xml:space="preserve">
total number of site-days given as 7594 so 7594/89 sites</t>
        </r>
      </text>
    </comment>
    <comment ref="O195" authorId="7">
      <text>
        <r>
          <rPr>
            <b/>
            <sz val="9"/>
            <color indexed="81"/>
            <rFont val="Arial"/>
          </rPr>
          <t>Paul Elsen:</t>
        </r>
        <r>
          <rPr>
            <sz val="9"/>
            <color indexed="81"/>
            <rFont val="Arial"/>
          </rPr>
          <t xml:space="preserve">
&gt; study span because many observers collecting market data simultaneously
LDE: can you double-check this. If multiple observers are operating o different subjects, I would think this wouldn't expand the temporal duration of the study, because these are effectively spatial replicates?
PE: Yes, these are multiple observers so I've updated to sampling duration x number of repeated samples (n=1) = 85.33</t>
        </r>
      </text>
    </comment>
    <comment ref="P195" authorId="7">
      <text>
        <r>
          <rPr>
            <b/>
            <sz val="9"/>
            <color indexed="81"/>
            <rFont val="Arial"/>
          </rPr>
          <t>Paul Elsen:</t>
        </r>
        <r>
          <rPr>
            <sz val="9"/>
            <color indexed="81"/>
            <rFont val="Arial"/>
          </rPr>
          <t xml:space="preserve">
Aug 2002 - Jan 2003
</t>
        </r>
        <r>
          <rPr>
            <b/>
            <sz val="9"/>
            <color indexed="81"/>
            <rFont val="Arial"/>
          </rPr>
          <t xml:space="preserve">
PE 4/21/17:</t>
        </r>
        <r>
          <rPr>
            <sz val="9"/>
            <color indexed="81"/>
            <rFont val="Arial"/>
          </rPr>
          <t xml:space="preserve"> Updated to act_dur (once-off)</t>
        </r>
      </text>
    </comment>
    <comment ref="I196" authorId="7">
      <text>
        <r>
          <rPr>
            <b/>
            <sz val="9"/>
            <color indexed="81"/>
            <rFont val="Arial"/>
          </rPr>
          <t>Paul Elsen:</t>
        </r>
        <r>
          <rPr>
            <sz val="9"/>
            <color indexed="81"/>
            <rFont val="Arial"/>
          </rPr>
          <t xml:space="preserve">
according to the Atlas they wanted &gt;= 25 point counts per 100km2 grid cell, so assumed 25. Although the point counts are unlimited radius, they divide observations between &lt;100 m and &gt;100 m so I took the radius to be 100 m</t>
        </r>
      </text>
    </comment>
    <comment ref="K196" authorId="5">
      <text>
        <r>
          <rPr>
            <b/>
            <sz val="10"/>
            <color indexed="81"/>
            <rFont val="TimesNewRomanPSMT"/>
          </rPr>
          <t>Paul R. Elsen:</t>
        </r>
        <r>
          <rPr>
            <sz val="10"/>
            <color indexed="81"/>
            <rFont val="TimesNewRomanPSMT"/>
          </rPr>
          <t xml:space="preserve">
100 km2 cells, 993 cells in total = 99300 km2 = 9930000 ha
LDE: 1/4/2017: Corrected to match comment and act_ext. Was 9330000, seeming typo. </t>
        </r>
      </text>
    </comment>
    <comment ref="M196" authorId="7">
      <text>
        <r>
          <rPr>
            <b/>
            <sz val="9"/>
            <color indexed="81"/>
            <rFont val="Arial"/>
          </rPr>
          <t>Paul Elsen:</t>
        </r>
        <r>
          <rPr>
            <sz val="9"/>
            <color indexed="81"/>
            <rFont val="Arial"/>
          </rPr>
          <t xml:space="preserve">
5 minute point counts</t>
        </r>
      </text>
    </comment>
    <comment ref="N196" authorId="7">
      <text>
        <r>
          <rPr>
            <b/>
            <sz val="9"/>
            <color indexed="81"/>
            <rFont val="Arial"/>
          </rPr>
          <t>Paul Elsen:</t>
        </r>
        <r>
          <rPr>
            <sz val="9"/>
            <color indexed="81"/>
            <rFont val="Arial"/>
          </rPr>
          <t xml:space="preserve">
assuming 12 minutes between each point count as Atlas says all 25 counts should be completed within 5 hours</t>
        </r>
      </text>
    </comment>
    <comment ref="P196" authorId="7">
      <text>
        <r>
          <rPr>
            <b/>
            <sz val="9"/>
            <color indexed="81"/>
            <rFont val="Arial"/>
          </rPr>
          <t>Paul Elsen:</t>
        </r>
        <r>
          <rPr>
            <sz val="9"/>
            <color indexed="81"/>
            <rFont val="Arial"/>
          </rPr>
          <t xml:space="preserve">
Bird surveys done from 24 May to 10 July 2005</t>
        </r>
      </text>
    </comment>
    <comment ref="I197" authorId="7">
      <text>
        <r>
          <rPr>
            <b/>
            <sz val="9"/>
            <color indexed="81"/>
            <rFont val="Arial"/>
          </rPr>
          <t>Paul Elsen:</t>
        </r>
        <r>
          <rPr>
            <sz val="9"/>
            <color indexed="81"/>
            <rFont val="Arial"/>
          </rPr>
          <t xml:space="preserve">
Landsat TM = 30 x 30 m</t>
        </r>
      </text>
    </comment>
    <comment ref="J197" authorId="7">
      <text>
        <r>
          <rPr>
            <b/>
            <sz val="9"/>
            <color indexed="81"/>
            <rFont val="Arial"/>
          </rPr>
          <t>Paul Elsen:</t>
        </r>
        <r>
          <rPr>
            <sz val="9"/>
            <color indexed="81"/>
            <rFont val="Arial"/>
          </rPr>
          <t xml:space="preserve">
covered 993 10 x 10 km2 grid cells with Landsat Data</t>
        </r>
      </text>
    </comment>
    <comment ref="K197" authorId="5">
      <text>
        <r>
          <rPr>
            <b/>
            <sz val="10"/>
            <color indexed="81"/>
            <rFont val="TimesNewRomanPSMT"/>
          </rPr>
          <t>Paul R. Elsen:</t>
        </r>
        <r>
          <rPr>
            <sz val="10"/>
            <color indexed="81"/>
            <rFont val="TimesNewRomanPSMT"/>
          </rPr>
          <t xml:space="preserve">
100 km2 cells, 993 cells in total = 99300 km2 = 9930000 ha
LDE: 1/4/2017: Corrected to match comment and act_ext. Was 9330000, seeming typo. </t>
        </r>
      </text>
    </comment>
    <comment ref="M197" authorId="7">
      <text>
        <r>
          <rPr>
            <b/>
            <sz val="9"/>
            <color indexed="81"/>
            <rFont val="Arial"/>
          </rPr>
          <t>Paul Elsen:</t>
        </r>
        <r>
          <rPr>
            <sz val="9"/>
            <color indexed="81"/>
            <rFont val="Arial"/>
          </rPr>
          <t xml:space="preserve">
assuming instantaneous (1 second) sampling</t>
        </r>
      </text>
    </comment>
    <comment ref="N197" authorId="7">
      <text>
        <r>
          <rPr>
            <b/>
            <sz val="9"/>
            <color indexed="81"/>
            <rFont val="Arial"/>
          </rPr>
          <t>Paul Elsen:</t>
        </r>
        <r>
          <rPr>
            <sz val="9"/>
            <color indexed="81"/>
            <rFont val="Arial"/>
          </rPr>
          <t xml:space="preserve">
assume they took the Landsat data on same date each year</t>
        </r>
      </text>
    </comment>
    <comment ref="O197" authorId="7">
      <text>
        <r>
          <rPr>
            <b/>
            <sz val="9"/>
            <color indexed="81"/>
            <rFont val="Arial"/>
          </rPr>
          <t>Paul Elsen:</t>
        </r>
        <r>
          <rPr>
            <sz val="9"/>
            <color indexed="81"/>
            <rFont val="Arial"/>
          </rPr>
          <t xml:space="preserve">
assume token 1 day</t>
        </r>
      </text>
    </comment>
    <comment ref="P197" authorId="7">
      <text>
        <r>
          <rPr>
            <b/>
            <sz val="9"/>
            <color indexed="81"/>
            <rFont val="Arial"/>
          </rPr>
          <t>Paul Elsen:</t>
        </r>
        <r>
          <rPr>
            <sz val="9"/>
            <color indexed="81"/>
            <rFont val="Arial"/>
          </rPr>
          <t xml:space="preserve">
Landsat TM data from 1999-2003</t>
        </r>
      </text>
    </comment>
    <comment ref="J198" authorId="7">
      <text>
        <r>
          <rPr>
            <b/>
            <sz val="9"/>
            <color indexed="81"/>
            <rFont val="Arial"/>
          </rPr>
          <t>Paul Elsen:</t>
        </r>
        <r>
          <rPr>
            <sz val="9"/>
            <color indexed="81"/>
            <rFont val="Arial"/>
          </rPr>
          <t xml:space="preserve">
covered 993 10 x 10 km2 grid cells with Landsat Data</t>
        </r>
      </text>
    </comment>
    <comment ref="K198" authorId="5">
      <text>
        <r>
          <rPr>
            <b/>
            <sz val="10"/>
            <color indexed="81"/>
            <rFont val="TimesNewRomanPSMT"/>
          </rPr>
          <t>Paul R. Elsen:</t>
        </r>
        <r>
          <rPr>
            <sz val="10"/>
            <color indexed="81"/>
            <rFont val="TimesNewRomanPSMT"/>
          </rPr>
          <t xml:space="preserve">
100 km2 cells, 993 cells in total = 99300 km2 = 9930000 ha
LDE: 1/4/2017: Corrected to match comment and act_ext. Was 9330000, seeming typo. </t>
        </r>
      </text>
    </comment>
    <comment ref="M198" authorId="7">
      <text>
        <r>
          <rPr>
            <b/>
            <sz val="9"/>
            <color indexed="81"/>
            <rFont val="Arial"/>
          </rPr>
          <t>Paul Elsen:</t>
        </r>
        <r>
          <rPr>
            <sz val="9"/>
            <color indexed="81"/>
            <rFont val="Arial"/>
          </rPr>
          <t xml:space="preserve">
assuming instantaneous (1 second) sampling</t>
        </r>
      </text>
    </comment>
    <comment ref="O198" authorId="7">
      <text>
        <r>
          <rPr>
            <b/>
            <sz val="9"/>
            <color indexed="81"/>
            <rFont val="Arial"/>
          </rPr>
          <t>Paul Elsen:</t>
        </r>
        <r>
          <rPr>
            <sz val="9"/>
            <color indexed="81"/>
            <rFont val="Arial"/>
          </rPr>
          <t xml:space="preserve">
assume token 1 day
LDE: changed to samp_duration</t>
        </r>
      </text>
    </comment>
    <comment ref="P198" authorId="7">
      <text>
        <r>
          <rPr>
            <b/>
            <sz val="9"/>
            <color indexed="81"/>
            <rFont val="Arial"/>
          </rPr>
          <t>Paul Elsen:</t>
        </r>
        <r>
          <rPr>
            <sz val="9"/>
            <color indexed="81"/>
            <rFont val="Arial"/>
          </rPr>
          <t xml:space="preserve">
changed from token 1 day to act_dur</t>
        </r>
      </text>
    </comment>
    <comment ref="I199" authorId="7">
      <text>
        <r>
          <rPr>
            <b/>
            <sz val="9"/>
            <color indexed="81"/>
            <rFont val="Arial"/>
          </rPr>
          <t>Paul Elsen:</t>
        </r>
        <r>
          <rPr>
            <sz val="9"/>
            <color indexed="81"/>
            <rFont val="Arial"/>
          </rPr>
          <t xml:space="preserve">
Landsat TM = 30 x 30 m</t>
        </r>
      </text>
    </comment>
    <comment ref="J199" authorId="7">
      <text>
        <r>
          <rPr>
            <b/>
            <sz val="9"/>
            <color indexed="81"/>
            <rFont val="Arial"/>
          </rPr>
          <t>Paul Elsen:</t>
        </r>
        <r>
          <rPr>
            <sz val="9"/>
            <color indexed="81"/>
            <rFont val="Arial"/>
          </rPr>
          <t xml:space="preserve">
covered 993 10 x 10 km2 grid cells with Landsat Data</t>
        </r>
      </text>
    </comment>
    <comment ref="K199" authorId="5">
      <text>
        <r>
          <rPr>
            <b/>
            <sz val="10"/>
            <color indexed="81"/>
            <rFont val="TimesNewRomanPSMT"/>
          </rPr>
          <t>Paul R. Elsen:</t>
        </r>
        <r>
          <rPr>
            <sz val="10"/>
            <color indexed="81"/>
            <rFont val="TimesNewRomanPSMT"/>
          </rPr>
          <t xml:space="preserve">
100 km2 cells, 993 cells in total = 99300 km2 = 9930000 ha
LDE: 1/4/2017: Corrected to match comment and act_ext. Was 9330000, seeming typo. </t>
        </r>
      </text>
    </comment>
    <comment ref="M199" authorId="7">
      <text>
        <r>
          <rPr>
            <b/>
            <sz val="9"/>
            <color indexed="81"/>
            <rFont val="Arial"/>
          </rPr>
          <t>Paul Elsen:</t>
        </r>
        <r>
          <rPr>
            <sz val="9"/>
            <color indexed="81"/>
            <rFont val="Arial"/>
          </rPr>
          <t xml:space="preserve">
assuming instantaneous (1 second) sampling</t>
        </r>
      </text>
    </comment>
    <comment ref="O199" authorId="7">
      <text>
        <r>
          <rPr>
            <b/>
            <sz val="9"/>
            <color indexed="81"/>
            <rFont val="Arial"/>
          </rPr>
          <t>Paul Elsen:</t>
        </r>
        <r>
          <rPr>
            <sz val="9"/>
            <color indexed="81"/>
            <rFont val="Arial"/>
          </rPr>
          <t xml:space="preserve">
assume token 1 day
LDE: changed to samp_duration</t>
        </r>
      </text>
    </comment>
    <comment ref="P199" authorId="7">
      <text>
        <r>
          <rPr>
            <b/>
            <sz val="9"/>
            <color indexed="81"/>
            <rFont val="Arial"/>
          </rPr>
          <t>Paul Elsen:</t>
        </r>
        <r>
          <rPr>
            <sz val="9"/>
            <color indexed="81"/>
            <rFont val="Arial"/>
          </rPr>
          <t xml:space="preserve">
changed from token 1 day to act_dur</t>
        </r>
      </text>
    </comment>
    <comment ref="I200" authorId="7">
      <text>
        <r>
          <rPr>
            <b/>
            <sz val="9"/>
            <color indexed="81"/>
            <rFont val="Arial"/>
          </rPr>
          <t>Paul Elsen:</t>
        </r>
        <r>
          <rPr>
            <sz val="9"/>
            <color indexed="81"/>
            <rFont val="Arial"/>
          </rPr>
          <t xml:space="preserve">
at least 8 (assumed exactly 8) samples in 2 km x 2 km quadrats</t>
        </r>
      </text>
    </comment>
    <comment ref="K200" authorId="5">
      <text>
        <r>
          <rPr>
            <b/>
            <sz val="10"/>
            <color indexed="81"/>
            <rFont val="TimesNewRomanPSMT"/>
          </rPr>
          <t>Paul R. Elsen:</t>
        </r>
        <r>
          <rPr>
            <sz val="10"/>
            <color indexed="81"/>
            <rFont val="TimesNewRomanPSMT"/>
          </rPr>
          <t xml:space="preserve">
Study area is Britain and Ireland: Google gives area of Britain = 94058 mi2 and Ireland 32595 mi2 = 126653 mi2 = 32802976.4 ha</t>
        </r>
      </text>
    </comment>
    <comment ref="M200" authorId="7">
      <text>
        <r>
          <rPr>
            <b/>
            <sz val="9"/>
            <color indexed="81"/>
            <rFont val="Arial"/>
          </rPr>
          <t>Paul Elsen:</t>
        </r>
        <r>
          <rPr>
            <sz val="9"/>
            <color indexed="81"/>
            <rFont val="Arial"/>
          </rPr>
          <t xml:space="preserve">
2 hours of surveying per site</t>
        </r>
      </text>
    </comment>
    <comment ref="N200" authorId="7">
      <text>
        <r>
          <rPr>
            <b/>
            <sz val="9"/>
            <color indexed="81"/>
            <rFont val="Arial"/>
          </rPr>
          <t>Paul Elsen:</t>
        </r>
        <r>
          <rPr>
            <sz val="9"/>
            <color indexed="81"/>
            <rFont val="Arial"/>
          </rPr>
          <t xml:space="preserve">
bird surveys spaced out at least 4 weeks, so assume 28 days</t>
        </r>
      </text>
    </comment>
    <comment ref="O200" authorId="7">
      <text>
        <r>
          <rPr>
            <b/>
            <sz val="9"/>
            <color indexed="81"/>
            <rFont val="Arial"/>
          </rPr>
          <t>Paul Elsen:</t>
        </r>
        <r>
          <rPr>
            <sz val="9"/>
            <color indexed="81"/>
            <rFont val="Arial"/>
          </rPr>
          <t xml:space="preserve">
2 hour duration to at least 8 point count stations</t>
        </r>
      </text>
    </comment>
    <comment ref="P200" authorId="7">
      <text>
        <r>
          <rPr>
            <b/>
            <sz val="9"/>
            <color indexed="81"/>
            <rFont val="Arial"/>
          </rPr>
          <t>Paul Elsen:</t>
        </r>
        <r>
          <rPr>
            <sz val="9"/>
            <color indexed="81"/>
            <rFont val="Arial"/>
          </rPr>
          <t xml:space="preserve">
Bird surveys during April - July 1988-91</t>
        </r>
      </text>
    </comment>
    <comment ref="I201" authorId="7">
      <text>
        <r>
          <rPr>
            <b/>
            <sz val="9"/>
            <color indexed="81"/>
            <rFont val="Arial"/>
          </rPr>
          <t>Paul Elsen:</t>
        </r>
        <r>
          <rPr>
            <sz val="9"/>
            <color indexed="81"/>
            <rFont val="Arial"/>
          </rPr>
          <t xml:space="preserve">
38254 UK enumeration districts in 1991. Total land area of UK is 94058 square miles
LDE: apparently it was about 130000 districts</t>
        </r>
      </text>
    </comment>
    <comment ref="M201" authorId="7">
      <text>
        <r>
          <rPr>
            <b/>
            <sz val="9"/>
            <color indexed="81"/>
            <rFont val="Arial"/>
          </rPr>
          <t>Paul Elsen:</t>
        </r>
        <r>
          <rPr>
            <sz val="9"/>
            <color indexed="81"/>
            <rFont val="Arial"/>
          </rPr>
          <t xml:space="preserve">
assume census took place on one day
LDE: apparently 8 days to distribute forms and then about another 7 to collect them</t>
        </r>
      </text>
    </comment>
    <comment ref="P201" authorId="7">
      <text>
        <r>
          <rPr>
            <b/>
            <sz val="9"/>
            <color indexed="81"/>
            <rFont val="Arial"/>
          </rPr>
          <t>Paul Elsen:</t>
        </r>
        <r>
          <rPr>
            <sz val="9"/>
            <color indexed="81"/>
            <rFont val="Arial"/>
          </rPr>
          <t xml:space="preserve">
assume token 1 day
</t>
        </r>
        <r>
          <rPr>
            <b/>
            <sz val="9"/>
            <color indexed="81"/>
            <rFont val="Arial"/>
          </rPr>
          <t xml:space="preserve">
PE 4/21/17:</t>
        </r>
        <r>
          <rPr>
            <sz val="9"/>
            <color indexed="81"/>
            <rFont val="Arial"/>
          </rPr>
          <t xml:space="preserve"> Updated to act_dur (once-off)</t>
        </r>
      </text>
    </comment>
    <comment ref="I202" authorId="7">
      <text>
        <r>
          <rPr>
            <b/>
            <sz val="9"/>
            <color indexed="81"/>
            <rFont val="Arial"/>
          </rPr>
          <t>Paul Elsen:</t>
        </r>
        <r>
          <rPr>
            <sz val="9"/>
            <color indexed="81"/>
            <rFont val="Arial"/>
          </rPr>
          <t xml:space="preserve">
assume weather station is .5 m radius instrument</t>
        </r>
      </text>
    </comment>
    <comment ref="J202" authorId="7">
      <text>
        <r>
          <rPr>
            <b/>
            <sz val="9"/>
            <color indexed="81"/>
            <rFont val="Arial"/>
          </rPr>
          <t>Paul Elsen:</t>
        </r>
        <r>
          <rPr>
            <sz val="9"/>
            <color indexed="81"/>
            <rFont val="Arial"/>
          </rPr>
          <t xml:space="preserve">
270 weather stations distributed across the UK</t>
        </r>
      </text>
    </comment>
    <comment ref="M202" authorId="7">
      <text>
        <r>
          <rPr>
            <b/>
            <sz val="9"/>
            <color indexed="81"/>
            <rFont val="Arial"/>
          </rPr>
          <t>Paul Elsen:</t>
        </r>
        <r>
          <rPr>
            <sz val="9"/>
            <color indexed="81"/>
            <rFont val="Arial"/>
          </rPr>
          <t xml:space="preserve">
assuming instantaneous (1 second) sampling</t>
        </r>
      </text>
    </comment>
    <comment ref="O202" authorId="7">
      <text>
        <r>
          <rPr>
            <b/>
            <sz val="9"/>
            <color indexed="81"/>
            <rFont val="Arial"/>
          </rPr>
          <t>Paul Elsen:</t>
        </r>
        <r>
          <rPr>
            <sz val="9"/>
            <color indexed="81"/>
            <rFont val="Arial"/>
          </rPr>
          <t xml:space="preserve">
mean monthly temperature for May, June, and July from 1961-1990</t>
        </r>
      </text>
    </comment>
    <comment ref="P202" authorId="7">
      <text>
        <r>
          <rPr>
            <b/>
            <sz val="9"/>
            <color indexed="81"/>
            <rFont val="Arial"/>
          </rPr>
          <t>Paul Elsen:</t>
        </r>
        <r>
          <rPr>
            <sz val="9"/>
            <color indexed="81"/>
            <rFont val="Arial"/>
          </rPr>
          <t xml:space="preserve">
temperature data collected from 1961-90</t>
        </r>
      </text>
    </comment>
    <comment ref="I203" authorId="7">
      <text>
        <r>
          <rPr>
            <b/>
            <sz val="9"/>
            <color indexed="81"/>
            <rFont val="Arial"/>
          </rPr>
          <t>Paul Elsen:</t>
        </r>
        <r>
          <rPr>
            <sz val="9"/>
            <color indexed="81"/>
            <rFont val="Arial"/>
          </rPr>
          <t xml:space="preserve">
196 plots were 1 x 2 m, then at another site there are two large censuses of 273 m2 and 45 m2, so took the average of all</t>
        </r>
      </text>
    </comment>
    <comment ref="K203" authorId="5">
      <text>
        <r>
          <rPr>
            <b/>
            <sz val="10"/>
            <color indexed="81"/>
            <rFont val="TimesNewRomanPSMT"/>
          </rPr>
          <t>Paul R. Elsen:</t>
        </r>
        <r>
          <rPr>
            <sz val="10"/>
            <color indexed="81"/>
            <rFont val="TimesNewRomanPSMT"/>
          </rPr>
          <t xml:space="preserve">
Paper gives N and W sampling bounds for two study locations representing the ends of a species range; effective extent assumed to be the entire area of a box from the coordinates given. Calculation of area in GE Pro = 48747 ha.</t>
        </r>
      </text>
    </comment>
    <comment ref="O203" authorId="0">
      <text>
        <r>
          <rPr>
            <b/>
            <sz val="9"/>
            <color indexed="81"/>
            <rFont val="Arial"/>
          </rPr>
          <t>Lyndon Estes:</t>
        </r>
        <r>
          <rPr>
            <sz val="9"/>
            <color indexed="81"/>
            <rFont val="Arial"/>
          </rPr>
          <t xml:space="preserve">
What is the 196 multiplier? N_sites?
PE: Yes, don't know how I missed correcting this. N repeated samples = 1 so there shouldn’t be a multiplier. Note that n_sites was incorrectly entered as 198, which has been changed to 196 for these measurements
LDE: actually seems they repeated each year. Took average of start year across plots to figure out total years of survey across plots</t>
        </r>
      </text>
    </comment>
    <comment ref="P203" authorId="7">
      <text>
        <r>
          <rPr>
            <b/>
            <sz val="9"/>
            <color indexed="81"/>
            <rFont val="Arial"/>
          </rPr>
          <t>Paul Elsen:</t>
        </r>
        <r>
          <rPr>
            <sz val="9"/>
            <color indexed="81"/>
            <rFont val="Arial"/>
          </rPr>
          <t xml:space="preserve">
study from Feb 1997 to Feb 2006</t>
        </r>
      </text>
    </comment>
    <comment ref="I204" authorId="7">
      <text>
        <r>
          <rPr>
            <b/>
            <sz val="9"/>
            <color indexed="81"/>
            <rFont val="Arial"/>
          </rPr>
          <t>Paul Elsen:</t>
        </r>
        <r>
          <rPr>
            <sz val="9"/>
            <color indexed="81"/>
            <rFont val="Arial"/>
          </rPr>
          <t xml:space="preserve">
196 plots were 1 x 2 m, then at another site there are two large censuses of 273 m2 and 45 m2, so took the average of all</t>
        </r>
      </text>
    </comment>
    <comment ref="P204" authorId="7">
      <text>
        <r>
          <rPr>
            <b/>
            <sz val="9"/>
            <color indexed="81"/>
            <rFont val="Arial"/>
          </rPr>
          <t>Paul Elsen:</t>
        </r>
        <r>
          <rPr>
            <sz val="9"/>
            <color indexed="81"/>
            <rFont val="Arial"/>
          </rPr>
          <t xml:space="preserve">
study from Aug 1997 to Aug 2006</t>
        </r>
      </text>
    </comment>
    <comment ref="I205" authorId="7">
      <text>
        <r>
          <rPr>
            <b/>
            <sz val="9"/>
            <color indexed="81"/>
            <rFont val="Arial"/>
          </rPr>
          <t>Paul Elsen:</t>
        </r>
        <r>
          <rPr>
            <sz val="9"/>
            <color indexed="81"/>
            <rFont val="Arial"/>
          </rPr>
          <t xml:space="preserve">
196 plots were 1 x 2 m, then at another site there are two large censuses of 273 m2 and 45 m2, so took the average of all</t>
        </r>
      </text>
    </comment>
    <comment ref="J205" authorId="5">
      <text>
        <r>
          <rPr>
            <b/>
            <sz val="10"/>
            <color indexed="81"/>
            <rFont val="TimesNewRomanPSMT"/>
          </rPr>
          <t>Paul R. Elsen:</t>
        </r>
        <r>
          <rPr>
            <sz val="10"/>
            <color indexed="81"/>
            <rFont val="TimesNewRomanPSMT"/>
          </rPr>
          <t xml:space="preserve">
Note that these were updated because there are 196 sites, not 198</t>
        </r>
      </text>
    </comment>
    <comment ref="P205" authorId="7">
      <text>
        <r>
          <rPr>
            <b/>
            <sz val="9"/>
            <color indexed="81"/>
            <rFont val="Arial"/>
          </rPr>
          <t>Paul Elsen:</t>
        </r>
        <r>
          <rPr>
            <sz val="9"/>
            <color indexed="81"/>
            <rFont val="Arial"/>
          </rPr>
          <t xml:space="preserve">
study from 1994-2000</t>
        </r>
      </text>
    </comment>
    <comment ref="I206" authorId="7">
      <text>
        <r>
          <rPr>
            <b/>
            <sz val="9"/>
            <color indexed="81"/>
            <rFont val="Arial"/>
          </rPr>
          <t>Paul Elsen:</t>
        </r>
        <r>
          <rPr>
            <sz val="9"/>
            <color indexed="81"/>
            <rFont val="Arial"/>
          </rPr>
          <t xml:space="preserve">
here the plot size is the plant, authors state &lt;50 cm tall so assumed 40 cm tall x 5 cm wide</t>
        </r>
      </text>
    </comment>
    <comment ref="P206" authorId="7">
      <text>
        <r>
          <rPr>
            <b/>
            <sz val="9"/>
            <color indexed="81"/>
            <rFont val="Arial"/>
          </rPr>
          <t>Paul Elsen:</t>
        </r>
        <r>
          <rPr>
            <sz val="9"/>
            <color indexed="81"/>
            <rFont val="Arial"/>
          </rPr>
          <t xml:space="preserve">
study from 1995-1998</t>
        </r>
      </text>
    </comment>
    <comment ref="I207" authorId="7">
      <text>
        <r>
          <rPr>
            <b/>
            <sz val="9"/>
            <color indexed="81"/>
            <rFont val="Arial"/>
          </rPr>
          <t>Paul Elsen:</t>
        </r>
        <r>
          <rPr>
            <sz val="9"/>
            <color indexed="81"/>
            <rFont val="Arial"/>
          </rPr>
          <t xml:space="preserve">
plot size is variable and is the cushion, with females averaging 1219.7 cm2 and hermaphrodites averaging 877 cm2</t>
        </r>
      </text>
    </comment>
    <comment ref="K207" authorId="5">
      <text>
        <r>
          <rPr>
            <b/>
            <sz val="10"/>
            <color indexed="81"/>
            <rFont val="TimesNewRomanPSMT"/>
          </rPr>
          <t>Paul R. Elsen:</t>
        </r>
        <r>
          <rPr>
            <sz val="10"/>
            <color indexed="81"/>
            <rFont val="TimesNewRomanPSMT"/>
          </rPr>
          <t xml:space="preserve">
Study region is Swiftcurrent Mountain at two locations 2317 m and 2560 m. Effective extent estimated from polygon encompassing these elevations in Google Earth Pro at 50 ha</t>
        </r>
      </text>
    </comment>
    <comment ref="M207" authorId="7">
      <text>
        <r>
          <rPr>
            <b/>
            <sz val="9"/>
            <color indexed="81"/>
            <rFont val="Arial"/>
          </rPr>
          <t>Paul Elsen:</t>
        </r>
        <r>
          <rPr>
            <sz val="9"/>
            <color indexed="81"/>
            <rFont val="Arial"/>
          </rPr>
          <t xml:space="preserve">
60 days of study, 160 plots</t>
        </r>
      </text>
    </comment>
    <comment ref="P207" authorId="5">
      <text>
        <r>
          <rPr>
            <b/>
            <sz val="10"/>
            <color indexed="81"/>
            <rFont val="TimesNewRomanPSMT"/>
          </rPr>
          <t>Paul R. Elsen:</t>
        </r>
        <r>
          <rPr>
            <sz val="10"/>
            <color indexed="81"/>
            <rFont val="TimesNewRomanPSMT"/>
          </rPr>
          <t xml:space="preserve">
Samples taken July and August 2010 = 62 days (changed from 60)
</t>
        </r>
        <r>
          <rPr>
            <b/>
            <sz val="10"/>
            <color indexed="81"/>
            <rFont val="TimesNewRomanPSMT"/>
          </rPr>
          <t>PE 4/21/17:</t>
        </r>
        <r>
          <rPr>
            <sz val="10"/>
            <color indexed="81"/>
            <rFont val="TimesNewRomanPSMT"/>
          </rPr>
          <t xml:space="preserve"> Updated to act_dur (once-off)</t>
        </r>
      </text>
    </comment>
    <comment ref="I208" authorId="7">
      <text>
        <r>
          <rPr>
            <b/>
            <sz val="9"/>
            <color indexed="81"/>
            <rFont val="Arial"/>
          </rPr>
          <t>Paul Elsen:</t>
        </r>
        <r>
          <rPr>
            <sz val="9"/>
            <color indexed="81"/>
            <rFont val="Arial"/>
          </rPr>
          <t xml:space="preserve">
plot size is variable and is the cushion, with females averaging 1219.7 cm2 and hermaphrodites averaging 877 cm2; here there are also 80 control plots, so assuming they have the average plot size</t>
        </r>
      </text>
    </comment>
    <comment ref="J208" authorId="7">
      <text>
        <r>
          <rPr>
            <b/>
            <sz val="9"/>
            <color indexed="81"/>
            <rFont val="Arial"/>
          </rPr>
          <t>Paul Elsen:</t>
        </r>
        <r>
          <rPr>
            <sz val="9"/>
            <color indexed="81"/>
            <rFont val="Arial"/>
          </rPr>
          <t xml:space="preserve">
includes 80 additional control plots</t>
        </r>
      </text>
    </comment>
    <comment ref="P208" authorId="5">
      <text>
        <r>
          <rPr>
            <b/>
            <sz val="10"/>
            <color indexed="81"/>
            <rFont val="TimesNewRomanPSMT"/>
          </rPr>
          <t>Paul R. Elsen:</t>
        </r>
        <r>
          <rPr>
            <sz val="10"/>
            <color indexed="81"/>
            <rFont val="TimesNewRomanPSMT"/>
          </rPr>
          <t xml:space="preserve">
Samples taken July and August 2010 = 62 days (changed from 60)
</t>
        </r>
        <r>
          <rPr>
            <b/>
            <sz val="10"/>
            <color indexed="81"/>
            <rFont val="TimesNewRomanPSMT"/>
          </rPr>
          <t>PE 4/21/17</t>
        </r>
        <r>
          <rPr>
            <sz val="10"/>
            <color indexed="81"/>
            <rFont val="TimesNewRomanPSMT"/>
          </rPr>
          <t>: Updated to act_dur (once-off)</t>
        </r>
      </text>
    </comment>
    <comment ref="I209" authorId="7">
      <text>
        <r>
          <rPr>
            <b/>
            <sz val="9"/>
            <color indexed="81"/>
            <rFont val="Arial"/>
          </rPr>
          <t>Paul Elsen:</t>
        </r>
        <r>
          <rPr>
            <sz val="9"/>
            <color indexed="81"/>
            <rFont val="Arial"/>
          </rPr>
          <t xml:space="preserve">
plot size is variable and is the cushion, with females averaging 1219.7 cm2 and hermaphrodites averaging 877 cm2</t>
        </r>
      </text>
    </comment>
    <comment ref="J209" authorId="7">
      <text>
        <r>
          <rPr>
            <b/>
            <sz val="9"/>
            <color indexed="81"/>
            <rFont val="Arial"/>
          </rPr>
          <t>Paul Elsen:</t>
        </r>
        <r>
          <rPr>
            <sz val="9"/>
            <color indexed="81"/>
            <rFont val="Arial"/>
          </rPr>
          <t xml:space="preserve">
16 females and 16 hermaphrodites at two locations</t>
        </r>
      </text>
    </comment>
    <comment ref="M209" authorId="7">
      <text>
        <r>
          <rPr>
            <b/>
            <sz val="9"/>
            <color indexed="81"/>
            <rFont val="Arial"/>
          </rPr>
          <t>Paul Elsen:</t>
        </r>
        <r>
          <rPr>
            <sz val="9"/>
            <color indexed="81"/>
            <rFont val="Arial"/>
          </rPr>
          <t xml:space="preserve">
all samples taken on Aug 10 2010</t>
        </r>
      </text>
    </comment>
    <comment ref="O209" authorId="0">
      <text>
        <r>
          <rPr>
            <b/>
            <sz val="9"/>
            <color indexed="81"/>
            <rFont val="Arial"/>
          </rPr>
          <t>Lyndon Estes:</t>
        </r>
        <r>
          <rPr>
            <sz val="9"/>
            <color indexed="81"/>
            <rFont val="Arial"/>
          </rPr>
          <t xml:space="preserve">
edited to match samp_duration</t>
        </r>
      </text>
    </comment>
    <comment ref="P209" authorId="5">
      <text>
        <r>
          <rPr>
            <b/>
            <sz val="10"/>
            <color indexed="81"/>
            <rFont val="TimesNewRomanPSMT"/>
          </rPr>
          <t xml:space="preserve">Paul R. Elsen:
</t>
        </r>
        <r>
          <rPr>
            <sz val="10"/>
            <color indexed="81"/>
            <rFont val="TimesNewRomanPSMT"/>
          </rPr>
          <t xml:space="preserve">Cushions were measured on 16 Aug 2010 = 1 day
</t>
        </r>
        <r>
          <rPr>
            <b/>
            <sz val="10"/>
            <color indexed="81"/>
            <rFont val="TimesNewRomanPSMT"/>
          </rPr>
          <t>PE 4/21/17:</t>
        </r>
        <r>
          <rPr>
            <sz val="10"/>
            <color indexed="81"/>
            <rFont val="TimesNewRomanPSMT"/>
          </rPr>
          <t xml:space="preserve"> Updated to act_dur (once-off)</t>
        </r>
      </text>
    </comment>
    <comment ref="I210" authorId="7">
      <text>
        <r>
          <rPr>
            <b/>
            <sz val="9"/>
            <color indexed="81"/>
            <rFont val="Arial"/>
          </rPr>
          <t>Paul Elsen:</t>
        </r>
        <r>
          <rPr>
            <sz val="9"/>
            <color indexed="81"/>
            <rFont val="Arial"/>
          </rPr>
          <t xml:space="preserve">
assume leaf is 1 cm x .5 cm; 20 leaves</t>
        </r>
      </text>
    </comment>
    <comment ref="M210" authorId="7">
      <text>
        <r>
          <rPr>
            <b/>
            <sz val="9"/>
            <color indexed="81"/>
            <rFont val="Arial"/>
          </rPr>
          <t>Paul Elsen:</t>
        </r>
        <r>
          <rPr>
            <sz val="9"/>
            <color indexed="81"/>
            <rFont val="Arial"/>
          </rPr>
          <t xml:space="preserve">
all samples taken on Aug 10 2010</t>
        </r>
      </text>
    </comment>
    <comment ref="O210" authorId="0">
      <text>
        <r>
          <rPr>
            <b/>
            <sz val="9"/>
            <color indexed="81"/>
            <rFont val="Arial"/>
          </rPr>
          <t>Lyndon Estes:</t>
        </r>
        <r>
          <rPr>
            <sz val="9"/>
            <color indexed="81"/>
            <rFont val="Arial"/>
          </rPr>
          <t xml:space="preserve">
edited to match samp_duration</t>
        </r>
      </text>
    </comment>
    <comment ref="P210" authorId="5">
      <text>
        <r>
          <rPr>
            <b/>
            <sz val="10"/>
            <color indexed="81"/>
            <rFont val="TimesNewRomanPSMT"/>
          </rPr>
          <t xml:space="preserve">Paul R. Elsen:
</t>
        </r>
        <r>
          <rPr>
            <sz val="10"/>
            <color indexed="81"/>
            <rFont val="TimesNewRomanPSMT"/>
          </rPr>
          <t xml:space="preserve">Cushions were measured on 16 Aug 2010 = 1 day
</t>
        </r>
        <r>
          <rPr>
            <b/>
            <sz val="10"/>
            <color indexed="81"/>
            <rFont val="TimesNewRomanPSMT"/>
          </rPr>
          <t>PE 4/21/17:</t>
        </r>
        <r>
          <rPr>
            <sz val="10"/>
            <color indexed="81"/>
            <rFont val="TimesNewRomanPSMT"/>
          </rPr>
          <t xml:space="preserve"> Updated to act_dur (once-off)</t>
        </r>
      </text>
    </comment>
    <comment ref="I211" authorId="7">
      <text>
        <r>
          <rPr>
            <b/>
            <sz val="9"/>
            <color indexed="81"/>
            <rFont val="Arial"/>
          </rPr>
          <t>Paul Elsen:</t>
        </r>
        <r>
          <rPr>
            <sz val="9"/>
            <color indexed="81"/>
            <rFont val="Arial"/>
          </rPr>
          <t xml:space="preserve">
assume fruit size is 2 cm x 2 cm; 3 fruits per cushion</t>
        </r>
      </text>
    </comment>
    <comment ref="M211" authorId="7">
      <text>
        <r>
          <rPr>
            <b/>
            <sz val="9"/>
            <color indexed="81"/>
            <rFont val="Arial"/>
          </rPr>
          <t>Paul Elsen:</t>
        </r>
        <r>
          <rPr>
            <sz val="9"/>
            <color indexed="81"/>
            <rFont val="Arial"/>
          </rPr>
          <t xml:space="preserve">
all samples taken on Aug 10 2010</t>
        </r>
      </text>
    </comment>
    <comment ref="O211" authorId="0">
      <text>
        <r>
          <rPr>
            <b/>
            <sz val="9"/>
            <color indexed="81"/>
            <rFont val="Arial"/>
          </rPr>
          <t>Lyndon Estes:</t>
        </r>
        <r>
          <rPr>
            <sz val="9"/>
            <color indexed="81"/>
            <rFont val="Arial"/>
          </rPr>
          <t xml:space="preserve">
edited to match samp_duration</t>
        </r>
      </text>
    </comment>
    <comment ref="P211" authorId="5">
      <text>
        <r>
          <rPr>
            <b/>
            <sz val="10"/>
            <color indexed="81"/>
            <rFont val="TimesNewRomanPSMT"/>
          </rPr>
          <t xml:space="preserve">Paul R. Elsen:
</t>
        </r>
        <r>
          <rPr>
            <sz val="10"/>
            <color indexed="81"/>
            <rFont val="TimesNewRomanPSMT"/>
          </rPr>
          <t xml:space="preserve">Cushions were measured on 16 Aug 2010 = 1 day
</t>
        </r>
        <r>
          <rPr>
            <b/>
            <sz val="10"/>
            <color indexed="81"/>
            <rFont val="TimesNewRomanPSMT"/>
          </rPr>
          <t>PE 4/21/17:</t>
        </r>
        <r>
          <rPr>
            <sz val="10"/>
            <color indexed="81"/>
            <rFont val="TimesNewRomanPSMT"/>
          </rPr>
          <t xml:space="preserve"> Updated to act_dur (once-off)</t>
        </r>
      </text>
    </comment>
    <comment ref="I212" authorId="7">
      <text>
        <r>
          <rPr>
            <b/>
            <sz val="9"/>
            <color indexed="81"/>
            <rFont val="Arial"/>
          </rPr>
          <t>Paul Elsen:</t>
        </r>
        <r>
          <rPr>
            <sz val="9"/>
            <color indexed="81"/>
            <rFont val="Arial"/>
          </rPr>
          <t xml:space="preserve">
ibuttons are 16 mm diameter</t>
        </r>
      </text>
    </comment>
    <comment ref="M212" authorId="7">
      <text>
        <r>
          <rPr>
            <b/>
            <sz val="9"/>
            <color indexed="81"/>
            <rFont val="Arial"/>
          </rPr>
          <t>Paul Elsen:</t>
        </r>
        <r>
          <rPr>
            <sz val="9"/>
            <color indexed="81"/>
            <rFont val="Arial"/>
          </rPr>
          <t xml:space="preserve">
assuming instantaneous (1 second) sampling</t>
        </r>
      </text>
    </comment>
    <comment ref="N212" authorId="7">
      <text>
        <r>
          <rPr>
            <b/>
            <sz val="9"/>
            <color indexed="81"/>
            <rFont val="Arial"/>
          </rPr>
          <t>Paul Elsen:</t>
        </r>
        <r>
          <rPr>
            <sz val="9"/>
            <color indexed="81"/>
            <rFont val="Arial"/>
          </rPr>
          <t xml:space="preserve">
assume 5 minute automated recording interval</t>
        </r>
      </text>
    </comment>
    <comment ref="O212" authorId="7">
      <text>
        <r>
          <rPr>
            <b/>
            <sz val="9"/>
            <color indexed="81"/>
            <rFont val="Arial"/>
          </rPr>
          <t>Paul Elsen:</t>
        </r>
        <r>
          <rPr>
            <sz val="9"/>
            <color indexed="81"/>
            <rFont val="Arial"/>
          </rPr>
          <t xml:space="preserve">
12 recordings an hour for 24 hours for 60 days</t>
        </r>
      </text>
    </comment>
    <comment ref="P212" authorId="5">
      <text>
        <r>
          <rPr>
            <b/>
            <sz val="10"/>
            <color indexed="81"/>
            <rFont val="TimesNewRomanPSMT"/>
          </rPr>
          <t>Paul R. Elsen:</t>
        </r>
        <r>
          <rPr>
            <sz val="10"/>
            <color indexed="81"/>
            <rFont val="TimesNewRomanPSMT"/>
          </rPr>
          <t xml:space="preserve">
Samples taken July and August 2010 = 62 days (changed from 60)</t>
        </r>
      </text>
    </comment>
    <comment ref="I213" authorId="7">
      <text>
        <r>
          <rPr>
            <b/>
            <sz val="9"/>
            <color indexed="81"/>
            <rFont val="Arial"/>
          </rPr>
          <t>Paul Elsen:</t>
        </r>
        <r>
          <rPr>
            <sz val="9"/>
            <color indexed="81"/>
            <rFont val="Arial"/>
          </rPr>
          <t xml:space="preserve">
Niskin sampler sensor has 48.3 mm diameter</t>
        </r>
      </text>
    </comment>
    <comment ref="K213" authorId="5">
      <text>
        <r>
          <rPr>
            <b/>
            <sz val="10"/>
            <color indexed="81"/>
            <rFont val="TimesNewRomanPSMT"/>
          </rPr>
          <t>Paul R. Elsen:</t>
        </r>
        <r>
          <rPr>
            <sz val="10"/>
            <color indexed="81"/>
            <rFont val="TimesNewRomanPSMT"/>
          </rPr>
          <t xml:space="preserve">
Paper reports study area as Bermuda coral reef (~1000 km2) = 100000 ha</t>
        </r>
      </text>
    </comment>
    <comment ref="M213" authorId="7">
      <text>
        <r>
          <rPr>
            <b/>
            <sz val="9"/>
            <color indexed="81"/>
            <rFont val="Arial"/>
          </rPr>
          <t>Paul Elsen:</t>
        </r>
        <r>
          <rPr>
            <sz val="9"/>
            <color indexed="81"/>
            <rFont val="Arial"/>
          </rPr>
          <t xml:space="preserve">
assuming instantaneous (1 second) sampling</t>
        </r>
      </text>
    </comment>
    <comment ref="N213" authorId="7">
      <text>
        <r>
          <rPr>
            <b/>
            <sz val="9"/>
            <color indexed="81"/>
            <rFont val="Arial"/>
          </rPr>
          <t>Paul Elsen:</t>
        </r>
        <r>
          <rPr>
            <sz val="9"/>
            <color indexed="81"/>
            <rFont val="Arial"/>
          </rPr>
          <t xml:space="preserve">
no info given, but there are 14 recordings shown in a plot over 450 days so 450/14 ~ 32</t>
        </r>
      </text>
    </comment>
    <comment ref="P213" authorId="7">
      <text>
        <r>
          <rPr>
            <b/>
            <sz val="9"/>
            <color indexed="81"/>
            <rFont val="Arial"/>
          </rPr>
          <t>Paul Elsen:</t>
        </r>
        <r>
          <rPr>
            <sz val="9"/>
            <color indexed="81"/>
            <rFont val="Arial"/>
          </rPr>
          <t xml:space="preserve">
assume two year study; paper states "collected during 2002 and 2003"</t>
        </r>
      </text>
    </comment>
    <comment ref="I214" authorId="7">
      <text>
        <r>
          <rPr>
            <b/>
            <sz val="9"/>
            <color indexed="81"/>
            <rFont val="Arial"/>
          </rPr>
          <t>Paul Elsen:</t>
        </r>
        <r>
          <rPr>
            <sz val="9"/>
            <color indexed="81"/>
            <rFont val="Arial"/>
          </rPr>
          <t xml:space="preserve">
SeaBird SBE-9 sensor is 33 cm diameter</t>
        </r>
      </text>
    </comment>
    <comment ref="M214" authorId="7">
      <text>
        <r>
          <rPr>
            <b/>
            <sz val="9"/>
            <color indexed="81"/>
            <rFont val="Arial"/>
          </rPr>
          <t>Paul Elsen:</t>
        </r>
        <r>
          <rPr>
            <sz val="9"/>
            <color indexed="81"/>
            <rFont val="Arial"/>
          </rPr>
          <t xml:space="preserve">
assuming instantaneous (1 second) sampling</t>
        </r>
      </text>
    </comment>
    <comment ref="N214" authorId="7">
      <text>
        <r>
          <rPr>
            <b/>
            <sz val="9"/>
            <color indexed="81"/>
            <rFont val="Arial"/>
          </rPr>
          <t>Paul Elsen:</t>
        </r>
        <r>
          <rPr>
            <sz val="9"/>
            <color indexed="81"/>
            <rFont val="Arial"/>
          </rPr>
          <t xml:space="preserve">
no info given, but there are 14 recordings shown in a plot over 450 days so 450/14 ~ 32</t>
        </r>
      </text>
    </comment>
    <comment ref="P214" authorId="7">
      <text>
        <r>
          <rPr>
            <b/>
            <sz val="9"/>
            <color indexed="81"/>
            <rFont val="Arial"/>
          </rPr>
          <t>Paul Elsen:</t>
        </r>
        <r>
          <rPr>
            <sz val="9"/>
            <color indexed="81"/>
            <rFont val="Arial"/>
          </rPr>
          <t xml:space="preserve">
assume two year study; paper states "collected during 2002 and 2003"</t>
        </r>
      </text>
    </comment>
    <comment ref="I215" authorId="7">
      <text>
        <r>
          <rPr>
            <b/>
            <sz val="9"/>
            <color indexed="81"/>
            <rFont val="Arial"/>
          </rPr>
          <t>Paul Elsen:</t>
        </r>
        <r>
          <rPr>
            <sz val="9"/>
            <color indexed="81"/>
            <rFont val="Arial"/>
          </rPr>
          <t xml:space="preserve">
CARIOCA buoy sensor is 0.2 m diameter</t>
        </r>
      </text>
    </comment>
    <comment ref="M215" authorId="7">
      <text>
        <r>
          <rPr>
            <b/>
            <sz val="9"/>
            <color indexed="81"/>
            <rFont val="Arial"/>
          </rPr>
          <t>Paul Elsen:</t>
        </r>
        <r>
          <rPr>
            <sz val="9"/>
            <color indexed="81"/>
            <rFont val="Arial"/>
          </rPr>
          <t xml:space="preserve">
assuming instantaneous (1 second) sampling</t>
        </r>
      </text>
    </comment>
    <comment ref="N215" authorId="7">
      <text>
        <r>
          <rPr>
            <b/>
            <sz val="9"/>
            <color indexed="81"/>
            <rFont val="Arial"/>
          </rPr>
          <t>Paul Elsen:</t>
        </r>
        <r>
          <rPr>
            <sz val="9"/>
            <color indexed="81"/>
            <rFont val="Arial"/>
          </rPr>
          <t xml:space="preserve">
hourly samples</t>
        </r>
      </text>
    </comment>
    <comment ref="P215" authorId="7">
      <text>
        <r>
          <rPr>
            <b/>
            <sz val="9"/>
            <color indexed="81"/>
            <rFont val="Arial"/>
          </rPr>
          <t>Paul Elsen:</t>
        </r>
        <r>
          <rPr>
            <sz val="9"/>
            <color indexed="81"/>
            <rFont val="Arial"/>
          </rPr>
          <t xml:space="preserve">
recording from 16 Oct 2002 to 28 Aug 2003, with gap from 20 Jan 2003 to 26 Apr 2003</t>
        </r>
      </text>
    </comment>
    <comment ref="I216" authorId="7">
      <text>
        <r>
          <rPr>
            <b/>
            <sz val="9"/>
            <color indexed="81"/>
            <rFont val="Arial"/>
          </rPr>
          <t>Paul Elsen:</t>
        </r>
        <r>
          <rPr>
            <sz val="9"/>
            <color indexed="81"/>
            <rFont val="Arial"/>
          </rPr>
          <t xml:space="preserve">
assumed 0.5 m radius of instrument sensor</t>
        </r>
      </text>
    </comment>
    <comment ref="M216" authorId="7">
      <text>
        <r>
          <rPr>
            <b/>
            <sz val="9"/>
            <color indexed="81"/>
            <rFont val="Arial"/>
          </rPr>
          <t>Paul Elsen:</t>
        </r>
        <r>
          <rPr>
            <sz val="9"/>
            <color indexed="81"/>
            <rFont val="Arial"/>
          </rPr>
          <t xml:space="preserve">
assuming instantaneous (1 second) sampling</t>
        </r>
      </text>
    </comment>
    <comment ref="N216" authorId="7">
      <text>
        <r>
          <rPr>
            <b/>
            <sz val="9"/>
            <color indexed="81"/>
            <rFont val="Arial"/>
          </rPr>
          <t>Paul Elsen:</t>
        </r>
        <r>
          <rPr>
            <sz val="9"/>
            <color indexed="81"/>
            <rFont val="Arial"/>
          </rPr>
          <t xml:space="preserve">
hourly samples</t>
        </r>
      </text>
    </comment>
    <comment ref="P216" authorId="7">
      <text>
        <r>
          <rPr>
            <b/>
            <sz val="9"/>
            <color indexed="81"/>
            <rFont val="Arial"/>
          </rPr>
          <t>Paul Elsen:</t>
        </r>
        <r>
          <rPr>
            <sz val="9"/>
            <color indexed="81"/>
            <rFont val="Arial"/>
          </rPr>
          <t xml:space="preserve">
assumed the data collected here matched time period for the overall study, though not explicitly stated</t>
        </r>
      </text>
    </comment>
    <comment ref="I217" authorId="7">
      <text>
        <r>
          <rPr>
            <b/>
            <sz val="9"/>
            <color indexed="81"/>
            <rFont val="Arial"/>
          </rPr>
          <t>Paul Elsen:</t>
        </r>
        <r>
          <rPr>
            <sz val="9"/>
            <color indexed="81"/>
            <rFont val="Arial"/>
          </rPr>
          <t xml:space="preserve">
D. labyrinthiformis colonies average 1-2 m diameters; 8 colonies per site</t>
        </r>
      </text>
    </comment>
    <comment ref="M217" authorId="7">
      <text>
        <r>
          <rPr>
            <b/>
            <sz val="9"/>
            <color indexed="81"/>
            <rFont val="Arial"/>
          </rPr>
          <t>Paul Elsen:</t>
        </r>
        <r>
          <rPr>
            <sz val="9"/>
            <color indexed="81"/>
            <rFont val="Arial"/>
          </rPr>
          <t xml:space="preserve">
assume it took one day to take all colonies within a site to the lab and weigh</t>
        </r>
      </text>
    </comment>
    <comment ref="N217" authorId="7">
      <text>
        <r>
          <rPr>
            <b/>
            <sz val="9"/>
            <color indexed="81"/>
            <rFont val="Arial"/>
          </rPr>
          <t>Paul Elsen:</t>
        </r>
        <r>
          <rPr>
            <sz val="9"/>
            <color indexed="81"/>
            <rFont val="Arial"/>
          </rPr>
          <t xml:space="preserve">
weighed every 3 months on average</t>
        </r>
      </text>
    </comment>
    <comment ref="P217" authorId="7">
      <text>
        <r>
          <rPr>
            <b/>
            <sz val="9"/>
            <color indexed="81"/>
            <rFont val="Arial"/>
          </rPr>
          <t>Paul Elsen:</t>
        </r>
        <r>
          <rPr>
            <sz val="9"/>
            <color indexed="81"/>
            <rFont val="Arial"/>
          </rPr>
          <t xml:space="preserve">
assumed the data collected here matched time period for the overall study, though not explicitly stated</t>
        </r>
      </text>
    </comment>
    <comment ref="I218" authorId="7">
      <text>
        <r>
          <rPr>
            <b/>
            <sz val="9"/>
            <color indexed="81"/>
            <rFont val="Arial"/>
          </rPr>
          <t>Paul Elsen:</t>
        </r>
        <r>
          <rPr>
            <sz val="9"/>
            <color indexed="81"/>
            <rFont val="Arial"/>
          </rPr>
          <t xml:space="preserve">
multiple corer has 6 cm diameter</t>
        </r>
      </text>
    </comment>
    <comment ref="K218" authorId="5">
      <text>
        <r>
          <rPr>
            <b/>
            <sz val="10"/>
            <color indexed="81"/>
            <rFont val="TimesNewRomanPSMT"/>
          </rPr>
          <t>Paul R. Elsen:</t>
        </r>
        <r>
          <rPr>
            <sz val="10"/>
            <color indexed="81"/>
            <rFont val="TimesNewRomanPSMT"/>
          </rPr>
          <t xml:space="preserve">
Study site of Murray Ridge, Arabian Sea depicted in Fig. 1. Effect extent estimated as minimum convex polygon surrounding stations in figure, validated using GE Pro and rounded to 600,000 ha.</t>
        </r>
      </text>
    </comment>
    <comment ref="M218" authorId="7">
      <text>
        <r>
          <rPr>
            <b/>
            <sz val="9"/>
            <color indexed="81"/>
            <rFont val="Arial"/>
          </rPr>
          <t>Paul Elsen:</t>
        </r>
        <r>
          <rPr>
            <sz val="9"/>
            <color indexed="81"/>
            <rFont val="Arial"/>
          </rPr>
          <t xml:space="preserve">
assume 1 minute to take a core sample</t>
        </r>
      </text>
    </comment>
    <comment ref="P218" authorId="7">
      <text>
        <r>
          <rPr>
            <b/>
            <sz val="9"/>
            <color indexed="81"/>
            <rFont val="Arial"/>
          </rPr>
          <t>Paul Elsen:</t>
        </r>
        <r>
          <rPr>
            <sz val="9"/>
            <color indexed="81"/>
            <rFont val="Arial"/>
          </rPr>
          <t xml:space="preserve">
January 2009
</t>
        </r>
        <r>
          <rPr>
            <b/>
            <sz val="9"/>
            <color indexed="81"/>
            <rFont val="Arial"/>
          </rPr>
          <t xml:space="preserve">
PE 4/21/17:</t>
        </r>
        <r>
          <rPr>
            <sz val="9"/>
            <color indexed="81"/>
            <rFont val="Arial"/>
          </rPr>
          <t xml:space="preserve"> Updated to act_dur (once-off)</t>
        </r>
      </text>
    </comment>
    <comment ref="I219" authorId="7">
      <text>
        <r>
          <rPr>
            <b/>
            <sz val="9"/>
            <color indexed="81"/>
            <rFont val="Arial"/>
          </rPr>
          <t>Paul Elsen:</t>
        </r>
        <r>
          <rPr>
            <sz val="9"/>
            <color indexed="81"/>
            <rFont val="Arial"/>
          </rPr>
          <t xml:space="preserve">
SeaBird SBE-43 sensor has 13 mm diameter</t>
        </r>
      </text>
    </comment>
    <comment ref="M219" authorId="7">
      <text>
        <r>
          <rPr>
            <b/>
            <sz val="9"/>
            <color indexed="81"/>
            <rFont val="Arial"/>
          </rPr>
          <t>Paul Elsen:</t>
        </r>
        <r>
          <rPr>
            <sz val="9"/>
            <color indexed="81"/>
            <rFont val="Arial"/>
          </rPr>
          <t xml:space="preserve">
assuming instantaneous (1 second) sampling</t>
        </r>
      </text>
    </comment>
    <comment ref="P219" authorId="7">
      <text>
        <r>
          <rPr>
            <b/>
            <sz val="9"/>
            <color indexed="81"/>
            <rFont val="Arial"/>
          </rPr>
          <t>Paul Elsen:</t>
        </r>
        <r>
          <rPr>
            <sz val="9"/>
            <color indexed="81"/>
            <rFont val="Arial"/>
          </rPr>
          <t xml:space="preserve">
January 2009
</t>
        </r>
        <r>
          <rPr>
            <b/>
            <sz val="9"/>
            <color indexed="81"/>
            <rFont val="Arial"/>
          </rPr>
          <t xml:space="preserve">
PE 4/21/17:</t>
        </r>
        <r>
          <rPr>
            <sz val="9"/>
            <color indexed="81"/>
            <rFont val="Arial"/>
          </rPr>
          <t xml:space="preserve"> Updated to act_dur (once-off)</t>
        </r>
      </text>
    </comment>
    <comment ref="I220" authorId="7">
      <text>
        <r>
          <rPr>
            <b/>
            <sz val="9"/>
            <color indexed="81"/>
            <rFont val="Arial"/>
          </rPr>
          <t>Paul Elsen:</t>
        </r>
        <r>
          <rPr>
            <sz val="9"/>
            <color indexed="81"/>
            <rFont val="Arial"/>
          </rPr>
          <t xml:space="preserve">
assume camera sensor is 2 cm diameter</t>
        </r>
      </text>
    </comment>
    <comment ref="J220" authorId="7">
      <text>
        <r>
          <rPr>
            <b/>
            <sz val="9"/>
            <color indexed="81"/>
            <rFont val="Arial"/>
          </rPr>
          <t>Paul Elsen:</t>
        </r>
        <r>
          <rPr>
            <sz val="9"/>
            <color indexed="81"/>
            <rFont val="Arial"/>
          </rPr>
          <t xml:space="preserve">
1495 sites collected but only 1141 used for analysis after removing dark/grainy photos</t>
        </r>
      </text>
    </comment>
    <comment ref="K220" authorId="5">
      <text>
        <r>
          <rPr>
            <b/>
            <sz val="10"/>
            <color indexed="81"/>
            <rFont val="TimesNewRomanPSMT"/>
          </rPr>
          <t>Paul R. Elsen:</t>
        </r>
        <r>
          <rPr>
            <sz val="10"/>
            <color indexed="81"/>
            <rFont val="TimesNewRomanPSMT"/>
          </rPr>
          <t xml:space="preserve">
Survey region is all of US and some survey locations in Canada. Used google to get area of US = 3.797 million mi2. Then estimated polygon around Canada survey locations in GE Pro, rounded to 500 m pixel size = 81516000 ha for total of 1064934485.5 ha.</t>
        </r>
      </text>
    </comment>
    <comment ref="L220" authorId="7">
      <text>
        <r>
          <rPr>
            <b/>
            <sz val="9"/>
            <color indexed="81"/>
            <rFont val="Arial"/>
          </rPr>
          <t>Paul Elsen:</t>
        </r>
        <r>
          <rPr>
            <sz val="9"/>
            <color indexed="81"/>
            <rFont val="Arial"/>
          </rPr>
          <t xml:space="preserve">
each plot sampled twice daily for 1 week
LDE: removed the temporal component from this calculation (scalar of 14, which was 2X day for one week)</t>
        </r>
      </text>
    </comment>
    <comment ref="M220" authorId="7">
      <text>
        <r>
          <rPr>
            <b/>
            <sz val="9"/>
            <color indexed="81"/>
            <rFont val="Arial"/>
          </rPr>
          <t>Paul Elsen:</t>
        </r>
        <r>
          <rPr>
            <sz val="9"/>
            <color indexed="81"/>
            <rFont val="Arial"/>
          </rPr>
          <t xml:space="preserve">
assuming instantaneous (1 second) sampling</t>
        </r>
      </text>
    </comment>
    <comment ref="P220" authorId="5">
      <text>
        <r>
          <rPr>
            <b/>
            <sz val="10"/>
            <color indexed="81"/>
            <rFont val="TimesNewRomanPSMT"/>
          </rPr>
          <t>Paul R. Elsen:</t>
        </r>
        <r>
          <rPr>
            <sz val="10"/>
            <color indexed="81"/>
            <rFont val="TimesNewRomanPSMT"/>
          </rPr>
          <t xml:space="preserve">
Camera traps put out for 1 week starting Feb 1 2008</t>
        </r>
      </text>
    </comment>
    <comment ref="I221" authorId="7">
      <text>
        <r>
          <rPr>
            <b/>
            <sz val="9"/>
            <color indexed="81"/>
            <rFont val="Arial"/>
          </rPr>
          <t>Paul Elsen:</t>
        </r>
        <r>
          <rPr>
            <sz val="9"/>
            <color indexed="81"/>
            <rFont val="Arial"/>
          </rPr>
          <t xml:space="preserve">
500 m resolution pixel</t>
        </r>
      </text>
    </comment>
    <comment ref="J221" authorId="7">
      <text>
        <r>
          <rPr>
            <b/>
            <sz val="9"/>
            <color indexed="81"/>
            <rFont val="Arial"/>
          </rPr>
          <t>Paul Elsen:</t>
        </r>
        <r>
          <rPr>
            <sz val="9"/>
            <color indexed="81"/>
            <rFont val="Arial"/>
          </rPr>
          <t xml:space="preserve">
subset of 30 training sites</t>
        </r>
      </text>
    </comment>
    <comment ref="L221" authorId="0">
      <text>
        <r>
          <rPr>
            <b/>
            <sz val="9"/>
            <color indexed="81"/>
            <rFont val="Arial"/>
          </rPr>
          <t>Lyndon Estes:</t>
        </r>
        <r>
          <rPr>
            <sz val="9"/>
            <color indexed="81"/>
            <rFont val="Arial"/>
          </rPr>
          <t xml:space="preserve">
LDE: removed the temporal component from this calculation (scalar of 14, which was 2X day for one week)</t>
        </r>
      </text>
    </comment>
    <comment ref="M221" authorId="7">
      <text>
        <r>
          <rPr>
            <b/>
            <sz val="9"/>
            <color indexed="81"/>
            <rFont val="Arial"/>
          </rPr>
          <t>Paul Elsen:</t>
        </r>
        <r>
          <rPr>
            <sz val="9"/>
            <color indexed="81"/>
            <rFont val="Arial"/>
          </rPr>
          <t xml:space="preserve">
assuming instantaneous (1 second) sampling</t>
        </r>
      </text>
    </comment>
    <comment ref="N221" authorId="7">
      <text>
        <r>
          <rPr>
            <b/>
            <sz val="9"/>
            <color indexed="81"/>
            <rFont val="Arial"/>
          </rPr>
          <t>Paul Elsen:</t>
        </r>
        <r>
          <rPr>
            <sz val="9"/>
            <color indexed="81"/>
            <rFont val="Arial"/>
          </rPr>
          <t xml:space="preserve">
daily satellite imagery</t>
        </r>
      </text>
    </comment>
    <comment ref="P221" authorId="7">
      <text>
        <r>
          <rPr>
            <b/>
            <sz val="9"/>
            <color indexed="81"/>
            <rFont val="Arial"/>
          </rPr>
          <t>Paul Elsen:</t>
        </r>
        <r>
          <rPr>
            <sz val="9"/>
            <color indexed="81"/>
            <rFont val="Arial"/>
          </rPr>
          <t xml:space="preserve">
jan 1 - dec 31 2008</t>
        </r>
      </text>
    </comment>
    <comment ref="F222" authorId="0">
      <text>
        <r>
          <rPr>
            <b/>
            <sz val="9"/>
            <color indexed="81"/>
            <rFont val="Calibri"/>
            <family val="2"/>
          </rPr>
          <t>Lyndon Estes:</t>
        </r>
        <r>
          <rPr>
            <sz val="9"/>
            <color indexed="81"/>
            <rFont val="Calibri"/>
            <family val="2"/>
          </rPr>
          <t xml:space="preserve">
26/4/2017: Corrected to remote sensing from automated, per notes</t>
        </r>
      </text>
    </comment>
    <comment ref="I222" authorId="7">
      <text>
        <r>
          <rPr>
            <b/>
            <sz val="9"/>
            <color indexed="81"/>
            <rFont val="Arial"/>
          </rPr>
          <t>Paul Elsen:</t>
        </r>
        <r>
          <rPr>
            <sz val="9"/>
            <color indexed="81"/>
            <rFont val="Arial"/>
          </rPr>
          <t xml:space="preserve">
500 m resolution pixel</t>
        </r>
      </text>
    </comment>
    <comment ref="J222" authorId="7">
      <text>
        <r>
          <rPr>
            <b/>
            <sz val="9"/>
            <color indexed="81"/>
            <rFont val="Arial"/>
          </rPr>
          <t>Paul Elsen:</t>
        </r>
        <r>
          <rPr>
            <sz val="9"/>
            <color indexed="81"/>
            <rFont val="Arial"/>
          </rPr>
          <t xml:space="preserve">
subset of 30 training sites</t>
        </r>
      </text>
    </comment>
    <comment ref="L222" authorId="0">
      <text>
        <r>
          <rPr>
            <b/>
            <sz val="9"/>
            <color indexed="81"/>
            <rFont val="Arial"/>
          </rPr>
          <t>Lyndon Estes:</t>
        </r>
        <r>
          <rPr>
            <sz val="9"/>
            <color indexed="81"/>
            <rFont val="Arial"/>
          </rPr>
          <t xml:space="preserve">
LDE: removed the temporal component from this calculation (scalar of 14, which was 2X day for one week)</t>
        </r>
      </text>
    </comment>
    <comment ref="M222" authorId="7">
      <text>
        <r>
          <rPr>
            <b/>
            <sz val="9"/>
            <color indexed="81"/>
            <rFont val="Arial"/>
          </rPr>
          <t>Paul Elsen:</t>
        </r>
        <r>
          <rPr>
            <sz val="9"/>
            <color indexed="81"/>
            <rFont val="Arial"/>
          </rPr>
          <t xml:space="preserve">
assuming instantaneous (1 second) sampling
LDE: 27/4/2017. Multipled by 4 because 4 8 composites (assume single best value from 8 days) goes into 32 average used in collection 5 of MODIS landcover (see supplemental doc)</t>
        </r>
      </text>
    </comment>
    <comment ref="N222" authorId="0">
      <text>
        <r>
          <rPr>
            <b/>
            <sz val="9"/>
            <color indexed="81"/>
            <rFont val="Calibri"/>
            <family val="2"/>
          </rPr>
          <t>Lyndon Estes:</t>
        </r>
        <r>
          <rPr>
            <sz val="9"/>
            <color indexed="81"/>
            <rFont val="Calibri"/>
            <family val="2"/>
          </rPr>
          <t xml:space="preserve">
LDE: 27/4/2017. Changed from 0 because MODIS landcover uses 12 32 averages to make landcover for single year</t>
        </r>
      </text>
    </comment>
    <comment ref="O222" authorId="5">
      <text>
        <r>
          <rPr>
            <b/>
            <sz val="10"/>
            <color indexed="81"/>
            <rFont val="TimesNewRomanPSMT"/>
          </rPr>
          <t>Paul R. Elsen:</t>
        </r>
        <r>
          <rPr>
            <sz val="10"/>
            <color indexed="81"/>
            <rFont val="TimesNewRomanPSMT"/>
          </rPr>
          <t xml:space="preserve">
Updated this to 365*samp_dur because looking at daily images
LDE: 27/4/2017 Edited to 12 X samp_dur, because 12 32 averages go into MODIS LC</t>
        </r>
      </text>
    </comment>
    <comment ref="P222" authorId="5">
      <text>
        <r>
          <rPr>
            <b/>
            <sz val="10"/>
            <color indexed="81"/>
            <rFont val="TimesNewRomanPSMT"/>
          </rPr>
          <t>Paul R. Elsen:</t>
        </r>
        <r>
          <rPr>
            <sz val="10"/>
            <color indexed="81"/>
            <rFont val="TimesNewRomanPSMT"/>
          </rPr>
          <t xml:space="preserve">
Daily modis images obtained for Jan 1 - Dec 31 2008; changed from act_dur because looking at annual land cover
</t>
        </r>
        <r>
          <rPr>
            <b/>
            <sz val="10"/>
            <color indexed="81"/>
            <rFont val="TimesNewRomanPSMT"/>
          </rPr>
          <t xml:space="preserve">
PE 4/21/17:</t>
        </r>
        <r>
          <rPr>
            <sz val="10"/>
            <color indexed="81"/>
            <rFont val="TimesNewRomanPSMT"/>
          </rPr>
          <t xml:space="preserve"> Daily images obtained but used to match spatially with camera trap data, not looking at temporal trends. Updated to act_dur (once-off)
LDE 27/4/2017: MODIS LC represents annual landcover given that it uses information from the whole year. Changed from act_dur</t>
        </r>
      </text>
    </comment>
    <comment ref="I223" authorId="7">
      <text>
        <r>
          <rPr>
            <b/>
            <sz val="9"/>
            <color indexed="81"/>
            <rFont val="Arial"/>
          </rPr>
          <t>Paul Elsen:</t>
        </r>
        <r>
          <rPr>
            <sz val="9"/>
            <color indexed="81"/>
            <rFont val="Arial"/>
          </rPr>
          <t xml:space="preserve">
assume 3 m tall mist net, authors state total covered area was 2-4 km so assume 1.8 km long nets spaced out every 200 m = 10 nets @ 1800 m long x 3 m tall = 5400 m2</t>
        </r>
      </text>
    </comment>
    <comment ref="K223" authorId="5">
      <text>
        <r>
          <rPr>
            <b/>
            <sz val="10"/>
            <color indexed="81"/>
            <rFont val="TimesNewRomanPSMT"/>
          </rPr>
          <t xml:space="preserve">Paul R. Elsen:
</t>
        </r>
        <r>
          <rPr>
            <sz val="10"/>
            <color indexed="81"/>
            <rFont val="TimesNewRomanPSMT"/>
          </rPr>
          <t>Seven sites:
Sandy Creek Conservation Park (CP): 1.4 km2
Scott Creek CP: 7.1 km2
Scott CP: 2 km2
Newland Head CP: 10.4 km2
Pelican Lagoon CP: 4.3 km2
Parndana CP: 3.1 km2
Flinders Chase CP: 300 km2
Total = 328.3 km2 = 32830 hectares</t>
        </r>
      </text>
    </comment>
    <comment ref="M223" authorId="7">
      <text>
        <r>
          <rPr>
            <b/>
            <sz val="9"/>
            <color indexed="81"/>
            <rFont val="Arial"/>
          </rPr>
          <t>Paul Elsen:</t>
        </r>
        <r>
          <rPr>
            <sz val="9"/>
            <color indexed="81"/>
            <rFont val="Arial"/>
          </rPr>
          <t xml:space="preserve">
no information given in text or references, guessing mist nets were up for 5 hours in the morning</t>
        </r>
      </text>
    </comment>
    <comment ref="N223" authorId="7">
      <text>
        <r>
          <rPr>
            <b/>
            <sz val="9"/>
            <color indexed="81"/>
            <rFont val="Arial"/>
          </rPr>
          <t>Paul Elsen:</t>
        </r>
        <r>
          <rPr>
            <sz val="9"/>
            <color indexed="81"/>
            <rFont val="Arial"/>
          </rPr>
          <t xml:space="preserve">
no info given, assuming mist nets were up every day</t>
        </r>
      </text>
    </comment>
    <comment ref="O223" authorId="0">
      <text>
        <r>
          <rPr>
            <b/>
            <sz val="9"/>
            <color indexed="81"/>
            <rFont val="Arial"/>
          </rPr>
          <t>Lyndon Estes:</t>
        </r>
        <r>
          <rPr>
            <sz val="9"/>
            <color indexed="81"/>
            <rFont val="Arial"/>
          </rPr>
          <t xml:space="preserve">
Are you counting by total number of birds?  
PE: This was treating each mist-net day as a repeated sample, 2190 mist net days x .208 days for each mist net sampling. </t>
        </r>
      </text>
    </comment>
    <comment ref="P223" authorId="7">
      <text>
        <r>
          <rPr>
            <b/>
            <sz val="9"/>
            <color indexed="81"/>
            <rFont val="Arial"/>
          </rPr>
          <t>Paul Elsen:</t>
        </r>
        <r>
          <rPr>
            <sz val="9"/>
            <color indexed="81"/>
            <rFont val="Arial"/>
          </rPr>
          <t xml:space="preserve">
date range given 2003-2008 so assume daily recording</t>
        </r>
      </text>
    </comment>
    <comment ref="I224" authorId="7">
      <text>
        <r>
          <rPr>
            <b/>
            <sz val="9"/>
            <color indexed="81"/>
            <rFont val="Arial"/>
          </rPr>
          <t>Paul Elsen:</t>
        </r>
        <r>
          <rPr>
            <sz val="9"/>
            <color indexed="81"/>
            <rFont val="Arial"/>
          </rPr>
          <t xml:space="preserve">
assume 5 mm diameter needle for extracting blood</t>
        </r>
      </text>
    </comment>
    <comment ref="M224" authorId="7">
      <text>
        <r>
          <rPr>
            <b/>
            <sz val="9"/>
            <color indexed="81"/>
            <rFont val="Arial"/>
          </rPr>
          <t>Paul Elsen:</t>
        </r>
        <r>
          <rPr>
            <sz val="9"/>
            <color indexed="81"/>
            <rFont val="Arial"/>
          </rPr>
          <t xml:space="preserve">
assume 30 seconds to extract a sample</t>
        </r>
      </text>
    </comment>
    <comment ref="P224" authorId="7">
      <text>
        <r>
          <rPr>
            <b/>
            <sz val="9"/>
            <color indexed="81"/>
            <rFont val="Arial"/>
          </rPr>
          <t>Paul Elsen:</t>
        </r>
        <r>
          <rPr>
            <sz val="9"/>
            <color indexed="81"/>
            <rFont val="Arial"/>
          </rPr>
          <t xml:space="preserve">
date range given 2003-2008 so assume daily recording
PE 4/21/17: Assume only took blood samples from birds on first capture = no temporal replicates. Updated to act_dur (once-off)</t>
        </r>
      </text>
    </comment>
    <comment ref="I225" authorId="7">
      <text>
        <r>
          <rPr>
            <b/>
            <sz val="9"/>
            <color indexed="81"/>
            <rFont val="Arial"/>
          </rPr>
          <t>Paul Elsen:</t>
        </r>
        <r>
          <rPr>
            <sz val="9"/>
            <color indexed="81"/>
            <rFont val="Arial"/>
          </rPr>
          <t xml:space="preserve">
superb fairy wren is 14 cm long and assuming 5 cm wide</t>
        </r>
      </text>
    </comment>
    <comment ref="K225" authorId="5">
      <text>
        <r>
          <rPr>
            <b/>
            <sz val="10"/>
            <color indexed="81"/>
            <rFont val="TimesNewRomanPSMT"/>
          </rPr>
          <t>Paul R. Elsen:</t>
        </r>
        <r>
          <rPr>
            <sz val="10"/>
            <color indexed="81"/>
            <rFont val="TimesNewRomanPSMT"/>
          </rPr>
          <t xml:space="preserve">
Morphological measurements taken of all species at all sites, so treaing effective extent as the same as for bird captures</t>
        </r>
      </text>
    </comment>
    <comment ref="M225" authorId="7">
      <text>
        <r>
          <rPr>
            <b/>
            <sz val="9"/>
            <color indexed="81"/>
            <rFont val="Arial"/>
          </rPr>
          <t>Paul Elsen:</t>
        </r>
        <r>
          <rPr>
            <sz val="9"/>
            <color indexed="81"/>
            <rFont val="Arial"/>
          </rPr>
          <t xml:space="preserve">
assume it takes 10 minutes to record all morphometrics</t>
        </r>
      </text>
    </comment>
    <comment ref="P225" authorId="7">
      <text>
        <r>
          <rPr>
            <b/>
            <sz val="9"/>
            <color indexed="81"/>
            <rFont val="Arial"/>
          </rPr>
          <t>Paul Elsen:</t>
        </r>
        <r>
          <rPr>
            <sz val="9"/>
            <color indexed="81"/>
            <rFont val="Arial"/>
          </rPr>
          <t xml:space="preserve">
date range given 2003-2008 so assume daily recording
PE 4/21/17: Assume only took morphometrics of first capture = no temporal replicates. Updated to act_dur (once-off)</t>
        </r>
      </text>
    </comment>
    <comment ref="I226" authorId="7">
      <text>
        <r>
          <rPr>
            <b/>
            <sz val="9"/>
            <color indexed="81"/>
            <rFont val="Arial"/>
          </rPr>
          <t>Paul Elsen:</t>
        </r>
        <r>
          <rPr>
            <sz val="9"/>
            <color indexed="81"/>
            <rFont val="Arial"/>
          </rPr>
          <t xml:space="preserve">
length of G. insensibilis is 1.75 (average male/female); assuming head is 1/8 body length; assuming width is 0.0005 m</t>
        </r>
      </text>
    </comment>
    <comment ref="J226" authorId="7">
      <text>
        <r>
          <rPr>
            <b/>
            <sz val="9"/>
            <color indexed="81"/>
            <rFont val="Arial"/>
          </rPr>
          <t>Paul Elsen:</t>
        </r>
        <r>
          <rPr>
            <sz val="9"/>
            <color indexed="81"/>
            <rFont val="Arial"/>
          </rPr>
          <t xml:space="preserve">
35 heads of G. insensibilis (x 2 categories); 20 head G. pulex (x 2 categories)</t>
        </r>
      </text>
    </comment>
    <comment ref="K226" authorId="5">
      <text>
        <r>
          <rPr>
            <b/>
            <sz val="10"/>
            <color indexed="81"/>
            <rFont val="TimesNewRomanPSMT"/>
          </rPr>
          <t>Paul R. Elsen:</t>
        </r>
        <r>
          <rPr>
            <sz val="10"/>
            <color indexed="81"/>
            <rFont val="TimesNewRomanPSMT"/>
          </rPr>
          <t xml:space="preserve">
Protein extractions from two sites:
1. Brackish lagoon, southern France (coordiantes given, MCP drawn in GEP) = 6503.8 ha
2. La Beze river, eastern France (coordinates given, MCP drawn in GEP) = 7.59 ha
Total = 6511.39 ha</t>
        </r>
      </text>
    </comment>
    <comment ref="M226" authorId="7">
      <text>
        <r>
          <rPr>
            <b/>
            <sz val="9"/>
            <color indexed="81"/>
            <rFont val="Arial"/>
          </rPr>
          <t>Paul Elsen:</t>
        </r>
        <r>
          <rPr>
            <sz val="9"/>
            <color indexed="81"/>
            <rFont val="Arial"/>
          </rPr>
          <t xml:space="preserve">
assume 30 seconds to extract a sample</t>
        </r>
      </text>
    </comment>
    <comment ref="P226" authorId="7">
      <text>
        <r>
          <rPr>
            <b/>
            <sz val="9"/>
            <color indexed="81"/>
            <rFont val="Arial"/>
          </rPr>
          <t>Paul Elsen:</t>
        </r>
        <r>
          <rPr>
            <sz val="9"/>
            <color indexed="81"/>
            <rFont val="Arial"/>
          </rPr>
          <t xml:space="preserve">
July 2004
</t>
        </r>
        <r>
          <rPr>
            <b/>
            <sz val="9"/>
            <color indexed="81"/>
            <rFont val="Arial"/>
          </rPr>
          <t>PE 4/21/17:</t>
        </r>
        <r>
          <rPr>
            <sz val="9"/>
            <color indexed="81"/>
            <rFont val="Arial"/>
          </rPr>
          <t xml:space="preserve"> Updated to act_dur (once-off)</t>
        </r>
      </text>
    </comment>
    <comment ref="I227" authorId="7">
      <text>
        <r>
          <rPr>
            <b/>
            <sz val="9"/>
            <color indexed="81"/>
            <rFont val="Arial"/>
          </rPr>
          <t>Paul Elsen:</t>
        </r>
        <r>
          <rPr>
            <sz val="9"/>
            <color indexed="81"/>
            <rFont val="Arial"/>
          </rPr>
          <t xml:space="preserve">
average tree dbh is 1.3 meters</t>
        </r>
      </text>
    </comment>
    <comment ref="K227" authorId="5">
      <text>
        <r>
          <rPr>
            <b/>
            <sz val="10"/>
            <color indexed="81"/>
            <rFont val="TimesNewRomanPSMT"/>
          </rPr>
          <t>Paul R. Elsen:</t>
        </r>
        <r>
          <rPr>
            <sz val="10"/>
            <color indexed="81"/>
            <rFont val="TimesNewRomanPSMT"/>
          </rPr>
          <t xml:space="preserve">
Project Barito Ulu research area covers 430 ha</t>
        </r>
      </text>
    </comment>
    <comment ref="M227" authorId="7">
      <text>
        <r>
          <rPr>
            <b/>
            <sz val="9"/>
            <color indexed="81"/>
            <rFont val="Arial"/>
          </rPr>
          <t>Paul Elsen:</t>
        </r>
        <r>
          <rPr>
            <sz val="9"/>
            <color indexed="81"/>
            <rFont val="Arial"/>
          </rPr>
          <t xml:space="preserve">
assume it took 12 hours to survey all 171 sites (all sampling took place on first day of the month)</t>
        </r>
      </text>
    </comment>
    <comment ref="P227" authorId="7">
      <text>
        <r>
          <rPr>
            <b/>
            <sz val="9"/>
            <color indexed="81"/>
            <rFont val="Arial"/>
          </rPr>
          <t>Paul Elsen:</t>
        </r>
        <r>
          <rPr>
            <sz val="9"/>
            <color indexed="81"/>
            <rFont val="Arial"/>
          </rPr>
          <t xml:space="preserve">
started 1 March 1990 to 1 June 2000</t>
        </r>
      </text>
    </comment>
    <comment ref="I228" authorId="7">
      <text>
        <r>
          <rPr>
            <b/>
            <sz val="9"/>
            <color indexed="81"/>
            <rFont val="Arial"/>
          </rPr>
          <t>Paul Elsen:</t>
        </r>
        <r>
          <rPr>
            <sz val="9"/>
            <color indexed="81"/>
            <rFont val="Arial"/>
          </rPr>
          <t xml:space="preserve">
assume 8" diameter rain gauge</t>
        </r>
      </text>
    </comment>
    <comment ref="P228" authorId="7">
      <text>
        <r>
          <rPr>
            <b/>
            <sz val="9"/>
            <color indexed="81"/>
            <rFont val="Arial"/>
          </rPr>
          <t>Paul Elsen:</t>
        </r>
        <r>
          <rPr>
            <sz val="9"/>
            <color indexed="81"/>
            <rFont val="Arial"/>
          </rPr>
          <t xml:space="preserve">
started 1 March 1990 to 1 June 2000</t>
        </r>
      </text>
    </comment>
    <comment ref="I229" authorId="7">
      <text>
        <r>
          <rPr>
            <b/>
            <sz val="9"/>
            <color indexed="81"/>
            <rFont val="Arial"/>
          </rPr>
          <t>Paul Elsen:</t>
        </r>
        <r>
          <rPr>
            <sz val="9"/>
            <color indexed="81"/>
            <rFont val="Arial"/>
          </rPr>
          <t xml:space="preserve">
assume diameter of thermometer is 8 mm</t>
        </r>
      </text>
    </comment>
    <comment ref="M229" authorId="7">
      <text>
        <r>
          <rPr>
            <b/>
            <sz val="9"/>
            <color indexed="81"/>
            <rFont val="Arial"/>
          </rPr>
          <t>Paul Elsen:</t>
        </r>
        <r>
          <rPr>
            <sz val="9"/>
            <color indexed="81"/>
            <rFont val="Arial"/>
          </rPr>
          <t xml:space="preserve">
calculating min and max temp so sampling must have occurred all day</t>
        </r>
      </text>
    </comment>
    <comment ref="P229" authorId="7">
      <text>
        <r>
          <rPr>
            <b/>
            <sz val="9"/>
            <color indexed="81"/>
            <rFont val="Arial"/>
          </rPr>
          <t>Paul Elsen:</t>
        </r>
        <r>
          <rPr>
            <sz val="9"/>
            <color indexed="81"/>
            <rFont val="Arial"/>
          </rPr>
          <t xml:space="preserve">
didn't start recording temperature until Oct 1 1993</t>
        </r>
      </text>
    </comment>
    <comment ref="I230" authorId="7">
      <text>
        <r>
          <rPr>
            <b/>
            <sz val="9"/>
            <color indexed="81"/>
            <rFont val="Arial"/>
          </rPr>
          <t>Paul Elsen:</t>
        </r>
        <r>
          <rPr>
            <sz val="9"/>
            <color indexed="81"/>
            <rFont val="Arial"/>
          </rPr>
          <t xml:space="preserve">
assume temp/humidity/irrandiance sensor has 6" diameter</t>
        </r>
      </text>
    </comment>
    <comment ref="K230" authorId="5">
      <text>
        <r>
          <rPr>
            <b/>
            <sz val="10"/>
            <color indexed="81"/>
            <rFont val="TimesNewRomanPSMT"/>
          </rPr>
          <t>Paul R. Elsen:</t>
        </r>
        <r>
          <rPr>
            <sz val="10"/>
            <color indexed="81"/>
            <rFont val="TimesNewRomanPSMT"/>
          </rPr>
          <t xml:space="preserve">
Study lists survey area as Cascade Watershed of Black Rock Forest, NY. Google result from the Black Rock Forest Consortium lists Cascade Brook watershed area of 135 ha</t>
        </r>
      </text>
    </comment>
    <comment ref="M230" authorId="7">
      <text>
        <r>
          <rPr>
            <b/>
            <sz val="9"/>
            <color indexed="81"/>
            <rFont val="Arial"/>
          </rPr>
          <t>Paul Elsen:</t>
        </r>
        <r>
          <rPr>
            <sz val="9"/>
            <color indexed="81"/>
            <rFont val="Arial"/>
          </rPr>
          <t xml:space="preserve">
assuming instantaneous (1 second) sampling</t>
        </r>
      </text>
    </comment>
    <comment ref="N230" authorId="7">
      <text>
        <r>
          <rPr>
            <b/>
            <sz val="9"/>
            <color indexed="81"/>
            <rFont val="Arial"/>
          </rPr>
          <t>Paul Elsen:</t>
        </r>
        <r>
          <rPr>
            <sz val="9"/>
            <color indexed="81"/>
            <rFont val="Arial"/>
          </rPr>
          <t xml:space="preserve">
all measurements recorded every 5 seconds</t>
        </r>
      </text>
    </comment>
    <comment ref="P230" authorId="7">
      <text>
        <r>
          <rPr>
            <b/>
            <sz val="9"/>
            <color indexed="81"/>
            <rFont val="Arial"/>
          </rPr>
          <t>Paul Elsen:</t>
        </r>
        <r>
          <rPr>
            <sz val="9"/>
            <color indexed="81"/>
            <rFont val="Arial"/>
          </rPr>
          <t xml:space="preserve">
started late June 2000 ended early July 2001, with one day of sampling in 2000 and 10 days of smapling in 2001</t>
        </r>
      </text>
    </comment>
    <comment ref="I231" authorId="7">
      <text>
        <r>
          <rPr>
            <b/>
            <sz val="9"/>
            <color indexed="81"/>
            <rFont val="Arial"/>
          </rPr>
          <t>Paul Elsen:</t>
        </r>
        <r>
          <rPr>
            <sz val="9"/>
            <color indexed="81"/>
            <rFont val="Arial"/>
          </rPr>
          <t xml:space="preserve">
sampled 600 mm2 of every leaf, 3 separate measurements</t>
        </r>
      </text>
    </comment>
    <comment ref="M231" authorId="7">
      <text>
        <r>
          <rPr>
            <b/>
            <sz val="9"/>
            <color indexed="81"/>
            <rFont val="Arial"/>
          </rPr>
          <t>Paul Elsen:</t>
        </r>
        <r>
          <rPr>
            <sz val="9"/>
            <color indexed="81"/>
            <rFont val="Arial"/>
          </rPr>
          <t xml:space="preserve">
took 2 minutes to take all three samples per leaf</t>
        </r>
      </text>
    </comment>
    <comment ref="N231" authorId="7">
      <text>
        <r>
          <rPr>
            <b/>
            <sz val="9"/>
            <color indexed="81"/>
            <rFont val="Arial"/>
          </rPr>
          <t>Paul Elsen:</t>
        </r>
        <r>
          <rPr>
            <sz val="9"/>
            <color indexed="81"/>
            <rFont val="Arial"/>
          </rPr>
          <t xml:space="preserve">
photosynthesis measured at hourly intervals; 36 h continuous in 2000, then 72 hours continuous in 2001; wait 5 days, 36 hours continuous = average interval of 2.2 hours</t>
        </r>
      </text>
    </comment>
    <comment ref="O231" authorId="7">
      <text>
        <r>
          <rPr>
            <b/>
            <sz val="9"/>
            <color indexed="81"/>
            <rFont val="Arial"/>
          </rPr>
          <t>Paul Elsen:</t>
        </r>
        <r>
          <rPr>
            <sz val="9"/>
            <color indexed="81"/>
            <rFont val="Arial"/>
          </rPr>
          <t xml:space="preserve">
assume 12 hours of daylight</t>
        </r>
      </text>
    </comment>
    <comment ref="P231" authorId="7">
      <text>
        <r>
          <rPr>
            <b/>
            <sz val="9"/>
            <color indexed="81"/>
            <rFont val="Arial"/>
          </rPr>
          <t>Paul Elsen:</t>
        </r>
        <r>
          <rPr>
            <sz val="9"/>
            <color indexed="81"/>
            <rFont val="Arial"/>
          </rPr>
          <t xml:space="preserve">
started late June 2000 ended early July 2001, with one day of sampling in 2000 and 10 days of smapling in 2001</t>
        </r>
      </text>
    </comment>
    <comment ref="I232" authorId="7">
      <text>
        <r>
          <rPr>
            <b/>
            <sz val="9"/>
            <color indexed="81"/>
            <rFont val="Arial"/>
          </rPr>
          <t>Paul Elsen:</t>
        </r>
        <r>
          <rPr>
            <sz val="9"/>
            <color indexed="81"/>
            <rFont val="Arial"/>
          </rPr>
          <t xml:space="preserve">
sampled 600 mm2 of every leaf, 6 separate measurements</t>
        </r>
      </text>
    </comment>
    <comment ref="M232" authorId="7">
      <text>
        <r>
          <rPr>
            <b/>
            <sz val="9"/>
            <color indexed="81"/>
            <rFont val="Arial"/>
          </rPr>
          <t>Paul Elsen:</t>
        </r>
        <r>
          <rPr>
            <sz val="9"/>
            <color indexed="81"/>
            <rFont val="Arial"/>
          </rPr>
          <t xml:space="preserve">
took 5 minutes to take all six samples per leaf</t>
        </r>
      </text>
    </comment>
    <comment ref="N232" authorId="7">
      <text>
        <r>
          <rPr>
            <b/>
            <sz val="9"/>
            <color indexed="81"/>
            <rFont val="Arial"/>
          </rPr>
          <t>Paul Elsen:</t>
        </r>
        <r>
          <rPr>
            <sz val="9"/>
            <color indexed="81"/>
            <rFont val="Arial"/>
          </rPr>
          <t xml:space="preserve">
respiration measured at 2 hour intervals; 36 h continuous in 2000, then 72 hours continuous in 2001; wait 5 days, 36 hours continuous = average interval of 4.4 hours</t>
        </r>
      </text>
    </comment>
    <comment ref="O232" authorId="7">
      <text>
        <r>
          <rPr>
            <b/>
            <sz val="9"/>
            <color indexed="81"/>
            <rFont val="Arial"/>
          </rPr>
          <t>Paul Elsen:</t>
        </r>
        <r>
          <rPr>
            <sz val="9"/>
            <color indexed="81"/>
            <rFont val="Arial"/>
          </rPr>
          <t xml:space="preserve">
assume 12 hours of night-time</t>
        </r>
      </text>
    </comment>
    <comment ref="P232" authorId="7">
      <text>
        <r>
          <rPr>
            <b/>
            <sz val="9"/>
            <color indexed="81"/>
            <rFont val="Arial"/>
          </rPr>
          <t>Paul Elsen:</t>
        </r>
        <r>
          <rPr>
            <sz val="9"/>
            <color indexed="81"/>
            <rFont val="Arial"/>
          </rPr>
          <t xml:space="preserve">
started late June 2000 ended early July 2001, with one day of sampling in 2000 and 10 days of smapling in 2001</t>
        </r>
      </text>
    </comment>
    <comment ref="W232" authorId="7">
      <text>
        <r>
          <rPr>
            <b/>
            <sz val="9"/>
            <color indexed="81"/>
            <rFont val="Arial"/>
          </rPr>
          <t>Paul Elsen:</t>
        </r>
        <r>
          <rPr>
            <sz val="9"/>
            <color indexed="81"/>
            <rFont val="Arial"/>
          </rPr>
          <t xml:space="preserve">
note that additional measurements were taken under experimental conditions, which are exluded here</t>
        </r>
      </text>
    </comment>
    <comment ref="I233" authorId="7">
      <text>
        <r>
          <rPr>
            <b/>
            <sz val="9"/>
            <color indexed="81"/>
            <rFont val="Arial"/>
          </rPr>
          <t>Paul Elsen:</t>
        </r>
        <r>
          <rPr>
            <sz val="9"/>
            <color indexed="81"/>
            <rFont val="Arial"/>
          </rPr>
          <t xml:space="preserve">
assume 10 cm pitfall trap diameter</t>
        </r>
      </text>
    </comment>
    <comment ref="K233" authorId="5">
      <text>
        <r>
          <rPr>
            <b/>
            <sz val="10"/>
            <color indexed="81"/>
            <rFont val="TimesNewRomanPSMT"/>
          </rPr>
          <t>Paul R. Elsen:</t>
        </r>
        <r>
          <rPr>
            <sz val="10"/>
            <color indexed="81"/>
            <rFont val="TimesNewRomanPSMT"/>
          </rPr>
          <t xml:space="preserve">
Poorly described, though study gives bounding boxes of two study regions:
1. Dongbeiwang: 40d28'-41d05'N, 115d25'-117d30'E (calculated in GE Pro 1,210,764 hectares)
2. Quzhou: 36d36'-36d58'N, 114d50'-115d13'E (calculated in GE Pro 138,804 ha)
Total = 1,349,568 ha</t>
        </r>
      </text>
    </comment>
    <comment ref="P233" authorId="7">
      <text>
        <r>
          <rPr>
            <b/>
            <sz val="9"/>
            <color indexed="81"/>
            <rFont val="Arial"/>
          </rPr>
          <t>Paul Elsen:</t>
        </r>
        <r>
          <rPr>
            <sz val="9"/>
            <color indexed="81"/>
            <rFont val="Arial"/>
          </rPr>
          <t xml:space="preserve">
May-October 1996</t>
        </r>
      </text>
    </comment>
    <comment ref="I234" authorId="7">
      <text>
        <r>
          <rPr>
            <b/>
            <sz val="9"/>
            <color indexed="81"/>
            <rFont val="Arial"/>
          </rPr>
          <t>Paul Elsen:</t>
        </r>
        <r>
          <rPr>
            <sz val="9"/>
            <color indexed="81"/>
            <rFont val="Arial"/>
          </rPr>
          <t xml:space="preserve">
assume 10 cm pitfall trap diameter</t>
        </r>
      </text>
    </comment>
    <comment ref="P234" authorId="7">
      <text>
        <r>
          <rPr>
            <b/>
            <sz val="9"/>
            <color indexed="81"/>
            <rFont val="Arial"/>
          </rPr>
          <t>Paul Elsen:</t>
        </r>
        <r>
          <rPr>
            <sz val="9"/>
            <color indexed="81"/>
            <rFont val="Arial"/>
          </rPr>
          <t xml:space="preserve">
May-October 1997</t>
        </r>
      </text>
    </comment>
    <comment ref="I235" authorId="7">
      <text>
        <r>
          <rPr>
            <b/>
            <sz val="9"/>
            <color indexed="81"/>
            <rFont val="Arial"/>
          </rPr>
          <t>Paul Elsen:</t>
        </r>
        <r>
          <rPr>
            <sz val="9"/>
            <color indexed="81"/>
            <rFont val="Arial"/>
          </rPr>
          <t xml:space="preserve">
assume 10 cm pitfall trap diameter</t>
        </r>
      </text>
    </comment>
    <comment ref="M235" authorId="7">
      <text>
        <r>
          <rPr>
            <b/>
            <sz val="9"/>
            <color indexed="81"/>
            <rFont val="Arial"/>
          </rPr>
          <t>Paul Elsen:</t>
        </r>
        <r>
          <rPr>
            <sz val="9"/>
            <color indexed="81"/>
            <rFont val="Arial"/>
          </rPr>
          <t xml:space="preserve">
not stated, assuming 5 days as in 1997</t>
        </r>
      </text>
    </comment>
    <comment ref="P235" authorId="7">
      <text>
        <r>
          <rPr>
            <b/>
            <sz val="9"/>
            <color indexed="81"/>
            <rFont val="Arial"/>
          </rPr>
          <t>Paul Elsen:</t>
        </r>
        <r>
          <rPr>
            <sz val="9"/>
            <color indexed="81"/>
            <rFont val="Arial"/>
          </rPr>
          <t xml:space="preserve">
May-October 2000</t>
        </r>
      </text>
    </comment>
    <comment ref="I236" authorId="7">
      <text>
        <r>
          <rPr>
            <b/>
            <sz val="9"/>
            <color indexed="81"/>
            <rFont val="Arial"/>
          </rPr>
          <t>Paul Elsen:</t>
        </r>
        <r>
          <rPr>
            <sz val="9"/>
            <color indexed="81"/>
            <rFont val="Arial"/>
          </rPr>
          <t xml:space="preserve">
no information on what constitutes a "plot"; assuming a 5m x 5m plot since they mention that traps at field margins were placed within 5 meters of the margin</t>
        </r>
      </text>
    </comment>
    <comment ref="J236" authorId="7">
      <text>
        <r>
          <rPr>
            <b/>
            <sz val="9"/>
            <color indexed="81"/>
            <rFont val="Arial"/>
          </rPr>
          <t>Paul Elsen:</t>
        </r>
        <r>
          <rPr>
            <sz val="9"/>
            <color indexed="81"/>
            <rFont val="Arial"/>
          </rPr>
          <t xml:space="preserve">
10 different sites</t>
        </r>
      </text>
    </comment>
    <comment ref="M236" authorId="7">
      <text>
        <r>
          <rPr>
            <b/>
            <sz val="9"/>
            <color indexed="81"/>
            <rFont val="Arial"/>
          </rPr>
          <t>Paul Elsen:</t>
        </r>
        <r>
          <rPr>
            <sz val="9"/>
            <color indexed="81"/>
            <rFont val="Arial"/>
          </rPr>
          <t xml:space="preserve">
all samples were recorded during Sep 1997, so assuming it took 3 days to record each of 10 sites</t>
        </r>
      </text>
    </comment>
    <comment ref="P236" authorId="7">
      <text>
        <r>
          <rPr>
            <b/>
            <sz val="9"/>
            <color indexed="81"/>
            <rFont val="Arial"/>
          </rPr>
          <t>Paul Elsen:</t>
        </r>
        <r>
          <rPr>
            <sz val="9"/>
            <color indexed="81"/>
            <rFont val="Arial"/>
          </rPr>
          <t xml:space="preserve">
all collected during Sep 1997
</t>
        </r>
        <r>
          <rPr>
            <b/>
            <sz val="9"/>
            <color indexed="81"/>
            <rFont val="Arial"/>
          </rPr>
          <t>PE 4/21/17:</t>
        </r>
        <r>
          <rPr>
            <sz val="9"/>
            <color indexed="81"/>
            <rFont val="Arial"/>
          </rPr>
          <t xml:space="preserve"> Updated to act_dur (once-off)</t>
        </r>
      </text>
    </comment>
    <comment ref="I237" authorId="7">
      <text>
        <r>
          <rPr>
            <b/>
            <sz val="9"/>
            <color indexed="81"/>
            <rFont val="Arial"/>
          </rPr>
          <t>Paul Elsen:</t>
        </r>
        <r>
          <rPr>
            <sz val="9"/>
            <color indexed="81"/>
            <rFont val="Arial"/>
          </rPr>
          <t xml:space="preserve">
average length of fish is approximately 70 mm, assume width is 1/3 length</t>
        </r>
      </text>
    </comment>
    <comment ref="J237" authorId="7">
      <text>
        <r>
          <rPr>
            <b/>
            <sz val="9"/>
            <color indexed="81"/>
            <rFont val="Arial"/>
          </rPr>
          <t>Paul Elsen:</t>
        </r>
        <r>
          <rPr>
            <sz val="9"/>
            <color indexed="81"/>
            <rFont val="Arial"/>
          </rPr>
          <t xml:space="preserve">
799 fish surveyed in 16 sites</t>
        </r>
      </text>
    </comment>
    <comment ref="K237" authorId="5">
      <text>
        <r>
          <rPr>
            <b/>
            <sz val="10"/>
            <color indexed="81"/>
            <rFont val="TimesNewRomanPSMT"/>
          </rPr>
          <t>Paul R. Elsen:</t>
        </r>
        <r>
          <rPr>
            <sz val="10"/>
            <color indexed="81"/>
            <rFont val="TimesNewRomanPSMT"/>
          </rPr>
          <t xml:space="preserve">
Mobile river basin area given as 113,000 km2, but samples taken from 8 pairs of locations with surface area given in Table 1 (in ha). Summed surface area for all locations = 46,431 ha</t>
        </r>
      </text>
    </comment>
    <comment ref="M237" authorId="7">
      <text>
        <r>
          <rPr>
            <b/>
            <sz val="9"/>
            <color indexed="81"/>
            <rFont val="Arial"/>
          </rPr>
          <t>Paul Elsen:</t>
        </r>
        <r>
          <rPr>
            <sz val="9"/>
            <color indexed="81"/>
            <rFont val="Arial"/>
          </rPr>
          <t xml:space="preserve">
assuming 5 minutes to take photograph of sample and run through statistical software to compute morphometric analyses</t>
        </r>
      </text>
    </comment>
    <comment ref="O237" authorId="0">
      <text>
        <r>
          <rPr>
            <b/>
            <sz val="9"/>
            <color indexed="81"/>
            <rFont val="Arial"/>
          </rPr>
          <t>Lyndon Estes:4/4/2016: Fixed n_sites error</t>
        </r>
      </text>
    </comment>
    <comment ref="P237" authorId="7">
      <text>
        <r>
          <rPr>
            <b/>
            <sz val="9"/>
            <color indexed="81"/>
            <rFont val="Arial"/>
          </rPr>
          <t>Paul Elsen:</t>
        </r>
        <r>
          <rPr>
            <sz val="9"/>
            <color indexed="81"/>
            <rFont val="Arial"/>
          </rPr>
          <t xml:space="preserve">
no info given so assume the study spanned the time it took to record all photos. 
LDE: 4/4/2016: Fixed by retaining original value here
</t>
        </r>
        <r>
          <rPr>
            <b/>
            <sz val="9"/>
            <color indexed="81"/>
            <rFont val="Arial"/>
          </rPr>
          <t>PE 4/21/17</t>
        </r>
        <r>
          <rPr>
            <sz val="9"/>
            <color indexed="81"/>
            <rFont val="Arial"/>
          </rPr>
          <t>: Updated to act_dur (once-off)</t>
        </r>
      </text>
    </comment>
    <comment ref="I238" authorId="7">
      <text>
        <r>
          <rPr>
            <b/>
            <sz val="9"/>
            <color indexed="81"/>
            <rFont val="Arial"/>
          </rPr>
          <t>Paul Elsen:</t>
        </r>
        <r>
          <rPr>
            <sz val="9"/>
            <color indexed="81"/>
            <rFont val="Arial"/>
          </rPr>
          <t xml:space="preserve">
40 cm diameter swept 180 degrees = 40 cm radius, 10 sweep samples per site</t>
        </r>
      </text>
    </comment>
    <comment ref="J238" authorId="7">
      <text>
        <r>
          <rPr>
            <b/>
            <sz val="9"/>
            <color indexed="81"/>
            <rFont val="Arial"/>
          </rPr>
          <t>Paul Elsen:</t>
        </r>
        <r>
          <rPr>
            <sz val="9"/>
            <color indexed="81"/>
            <rFont val="Arial"/>
          </rPr>
          <t xml:space="preserve">
6 hedgerows, 6 control sites</t>
        </r>
      </text>
    </comment>
    <comment ref="K238" authorId="5">
      <text>
        <r>
          <rPr>
            <b/>
            <sz val="10"/>
            <color indexed="81"/>
            <rFont val="TimesNewRomanPSMT"/>
          </rPr>
          <t>Paul R. Elsen:</t>
        </r>
        <r>
          <rPr>
            <sz val="10"/>
            <color indexed="81"/>
            <rFont val="TimesNewRomanPSMT"/>
          </rPr>
          <t xml:space="preserve">
Very little info given, simply Yolo County, California. Google result = 1024 mi2 = 265,214.78 ha</t>
        </r>
      </text>
    </comment>
    <comment ref="M238" authorId="7">
      <text>
        <r>
          <rPr>
            <b/>
            <sz val="9"/>
            <color indexed="81"/>
            <rFont val="Arial"/>
          </rPr>
          <t>Paul Elsen:</t>
        </r>
        <r>
          <rPr>
            <sz val="9"/>
            <color indexed="81"/>
            <rFont val="Arial"/>
          </rPr>
          <t xml:space="preserve">
assume 1 day to sample a site</t>
        </r>
      </text>
    </comment>
    <comment ref="N238" authorId="7">
      <text>
        <r>
          <rPr>
            <b/>
            <sz val="9"/>
            <color indexed="81"/>
            <rFont val="Arial"/>
          </rPr>
          <t>Paul Elsen:</t>
        </r>
        <r>
          <rPr>
            <sz val="9"/>
            <color indexed="81"/>
            <rFont val="Arial"/>
          </rPr>
          <t xml:space="preserve">
samples spaced out 30 days for four months, taken over two years</t>
        </r>
      </text>
    </comment>
    <comment ref="P238" authorId="5">
      <text>
        <r>
          <rPr>
            <b/>
            <sz val="10"/>
            <color indexed="81"/>
            <rFont val="TimesNewRomanPSMT"/>
          </rPr>
          <t>Paul R. Elsen:</t>
        </r>
        <r>
          <rPr>
            <sz val="10"/>
            <color indexed="81"/>
            <rFont val="TimesNewRomanPSMT"/>
          </rPr>
          <t xml:space="preserve">
Sampling in the 2009 and 2010 growing seasons, so assumed one full year plus 4 months = 365 + 120 = 485</t>
        </r>
      </text>
    </comment>
    <comment ref="I239" authorId="7">
      <text>
        <r>
          <rPr>
            <b/>
            <sz val="9"/>
            <color indexed="81"/>
            <rFont val="Arial"/>
          </rPr>
          <t>Paul Elsen:</t>
        </r>
        <r>
          <rPr>
            <sz val="9"/>
            <color indexed="81"/>
            <rFont val="Arial"/>
          </rPr>
          <t xml:space="preserve">
sticky note 7.6 cm x 12.7 cm, 12 notes per site</t>
        </r>
      </text>
    </comment>
    <comment ref="N239" authorId="7">
      <text>
        <r>
          <rPr>
            <b/>
            <sz val="9"/>
            <color indexed="81"/>
            <rFont val="Arial"/>
          </rPr>
          <t>Paul Elsen:</t>
        </r>
        <r>
          <rPr>
            <sz val="9"/>
            <color indexed="81"/>
            <rFont val="Arial"/>
          </rPr>
          <t xml:space="preserve">
samples spaced out 30 days for four months, taken over two years</t>
        </r>
      </text>
    </comment>
    <comment ref="P239" authorId="5">
      <text>
        <r>
          <rPr>
            <b/>
            <sz val="10"/>
            <color indexed="81"/>
            <rFont val="TimesNewRomanPSMT"/>
          </rPr>
          <t>Paul R. Elsen:</t>
        </r>
        <r>
          <rPr>
            <sz val="10"/>
            <color indexed="81"/>
            <rFont val="TimesNewRomanPSMT"/>
          </rPr>
          <t xml:space="preserve">
Sampling in the 2009 and 2010 growing seasons, so assumed one full year plus 4 months = 365 + 120 = 485</t>
        </r>
      </text>
    </comment>
    <comment ref="I240" authorId="7">
      <text>
        <r>
          <rPr>
            <b/>
            <sz val="9"/>
            <color indexed="81"/>
            <rFont val="Arial"/>
          </rPr>
          <t>Paul Elsen:</t>
        </r>
        <r>
          <rPr>
            <sz val="9"/>
            <color indexed="81"/>
            <rFont val="Arial"/>
          </rPr>
          <t xml:space="preserve">
assume a tomato leaf is 4 cm x 1 cm, 30 leaves sampled, 3 assessments per site</t>
        </r>
      </text>
    </comment>
    <comment ref="M240" authorId="7">
      <text>
        <r>
          <rPr>
            <b/>
            <sz val="9"/>
            <color indexed="81"/>
            <rFont val="Arial"/>
          </rPr>
          <t>Paul Elsen:</t>
        </r>
        <r>
          <rPr>
            <sz val="9"/>
            <color indexed="81"/>
            <rFont val="Arial"/>
          </rPr>
          <t xml:space="preserve">
assume 1 day to assess each site. 
LDE: strikes me that's a long time per for the plot resolution. Where sample is the leaf. Say a few minutes</t>
        </r>
      </text>
    </comment>
    <comment ref="N240" authorId="0">
      <text>
        <r>
          <rPr>
            <b/>
            <sz val="9"/>
            <color indexed="81"/>
            <rFont val="Calibri"/>
            <family val="2"/>
          </rPr>
          <t>Lyndon Estes:</t>
        </r>
        <r>
          <rPr>
            <sz val="9"/>
            <color indexed="81"/>
            <rFont val="Calibri"/>
            <family val="2"/>
          </rPr>
          <t xml:space="preserve">
2010-2011 growing seasons, but real intervals was three times during each season, so assume 4 month growing season and equal intervals in that</t>
        </r>
      </text>
    </comment>
    <comment ref="O240" authorId="0">
      <text>
        <r>
          <rPr>
            <b/>
            <sz val="9"/>
            <color indexed="81"/>
            <rFont val="Calibri"/>
            <family val="2"/>
          </rPr>
          <t>Lyndon Estes:</t>
        </r>
        <r>
          <rPr>
            <sz val="9"/>
            <color indexed="81"/>
            <rFont val="Calibri"/>
            <family val="2"/>
          </rPr>
          <t xml:space="preserve">
2010-2011 growing seasons, 3 repeats in each season</t>
        </r>
      </text>
    </comment>
    <comment ref="P240" authorId="5">
      <text>
        <r>
          <rPr>
            <b/>
            <sz val="10"/>
            <color indexed="81"/>
            <rFont val="TimesNewRomanPSMT"/>
          </rPr>
          <t>Paul R. Elsen:</t>
        </r>
        <r>
          <rPr>
            <sz val="10"/>
            <color indexed="81"/>
            <rFont val="TimesNewRomanPSMT"/>
          </rPr>
          <t xml:space="preserve">
Sampling in the 2009 and 2010 growing seasons, so assumed one full year plus 4 months = 365 + 120 = 485</t>
        </r>
      </text>
    </comment>
    <comment ref="I241" authorId="7">
      <text>
        <r>
          <rPr>
            <b/>
            <sz val="9"/>
            <color indexed="81"/>
            <rFont val="Arial"/>
          </rPr>
          <t>Paul Elsen:</t>
        </r>
        <r>
          <rPr>
            <sz val="9"/>
            <color indexed="81"/>
            <rFont val="Arial"/>
          </rPr>
          <t xml:space="preserve">
assume a tomato is 8 cm x 4 cm, 2 assessments per site</t>
        </r>
      </text>
    </comment>
    <comment ref="M241" authorId="7">
      <text>
        <r>
          <rPr>
            <b/>
            <sz val="9"/>
            <color indexed="81"/>
            <rFont val="Arial"/>
          </rPr>
          <t>Paul Elsen:</t>
        </r>
        <r>
          <rPr>
            <sz val="9"/>
            <color indexed="81"/>
            <rFont val="Arial"/>
          </rPr>
          <t xml:space="preserve">
assume 1 day to assess each site. 
LDE: strikes me that's a long time per for the plot resolution. Where sample is the leaf. Say a few minutes</t>
        </r>
      </text>
    </comment>
    <comment ref="N241" authorId="0">
      <text>
        <r>
          <rPr>
            <b/>
            <sz val="9"/>
            <color indexed="81"/>
            <rFont val="Calibri"/>
            <family val="2"/>
          </rPr>
          <t>Lyndon Estes:</t>
        </r>
        <r>
          <rPr>
            <sz val="9"/>
            <color indexed="81"/>
            <rFont val="Calibri"/>
            <family val="2"/>
          </rPr>
          <t xml:space="preserve">
2010-2011 growing seasons, but real intervals was three times during each season, so assume 4 month growing season and equal intervals in that. Here, there were only two repeats made per season, but still 40 days apart</t>
        </r>
      </text>
    </comment>
    <comment ref="O241" authorId="0">
      <text>
        <r>
          <rPr>
            <b/>
            <sz val="9"/>
            <color indexed="81"/>
            <rFont val="Calibri"/>
            <family val="2"/>
          </rPr>
          <t>Lyndon Estes:</t>
        </r>
        <r>
          <rPr>
            <sz val="9"/>
            <color indexed="81"/>
            <rFont val="Calibri"/>
            <family val="2"/>
          </rPr>
          <t xml:space="preserve">
Fruit assessment only done twice in each season</t>
        </r>
      </text>
    </comment>
    <comment ref="P241" authorId="5">
      <text>
        <r>
          <rPr>
            <b/>
            <sz val="10"/>
            <color indexed="81"/>
            <rFont val="TimesNewRomanPSMT"/>
          </rPr>
          <t>Paul R. Elsen:</t>
        </r>
        <r>
          <rPr>
            <sz val="10"/>
            <color indexed="81"/>
            <rFont val="TimesNewRomanPSMT"/>
          </rPr>
          <t xml:space="preserve">
Sampling in the 2009 and 2010 growing seasons, so assumed one full year plus 4 months = 365 + 120 = 485</t>
        </r>
      </text>
    </comment>
    <comment ref="J242" authorId="7">
      <text>
        <r>
          <rPr>
            <b/>
            <sz val="9"/>
            <color indexed="81"/>
            <rFont val="Arial"/>
          </rPr>
          <t>Paul Elsen:</t>
        </r>
        <r>
          <rPr>
            <sz val="9"/>
            <color indexed="81"/>
            <rFont val="Arial"/>
          </rPr>
          <t xml:space="preserve">
enough 1 x 1 m squares to cover a 1.5 km radius at 12 sites, rounded up</t>
        </r>
      </text>
    </comment>
    <comment ref="M242" authorId="7">
      <text>
        <r>
          <rPr>
            <b/>
            <sz val="9"/>
            <color indexed="81"/>
            <rFont val="Arial"/>
          </rPr>
          <t>Paul Elsen:</t>
        </r>
        <r>
          <rPr>
            <sz val="9"/>
            <color indexed="81"/>
            <rFont val="Arial"/>
          </rPr>
          <t xml:space="preserve">
assuming instantaneous (1 second) sampling</t>
        </r>
      </text>
    </comment>
    <comment ref="O242" authorId="7">
      <text>
        <r>
          <rPr>
            <b/>
            <sz val="9"/>
            <color indexed="81"/>
            <rFont val="Arial"/>
          </rPr>
          <t>Paul Elsen:</t>
        </r>
        <r>
          <rPr>
            <sz val="9"/>
            <color indexed="81"/>
            <rFont val="Arial"/>
          </rPr>
          <t xml:space="preserve">
assuming instantaneous (1 second) sampling</t>
        </r>
      </text>
    </comment>
    <comment ref="P242" authorId="7">
      <text>
        <r>
          <rPr>
            <b/>
            <sz val="9"/>
            <color indexed="81"/>
            <rFont val="Arial"/>
          </rPr>
          <t>Paul Elsen:</t>
        </r>
        <r>
          <rPr>
            <sz val="9"/>
            <color indexed="81"/>
            <rFont val="Arial"/>
          </rPr>
          <t xml:space="preserve">
assume analysis done on 1 day
</t>
        </r>
        <r>
          <rPr>
            <b/>
            <sz val="9"/>
            <color indexed="81"/>
            <rFont val="Arial"/>
          </rPr>
          <t xml:space="preserve">Update 4/19/17: </t>
        </r>
        <r>
          <rPr>
            <sz val="9"/>
            <color indexed="81"/>
            <rFont val="Arial"/>
          </rPr>
          <t>not stated but assume only images from one time frame collected, so eff_dur = act_dur, changed from token 1 day</t>
        </r>
      </text>
    </comment>
    <comment ref="K243" authorId="5">
      <text>
        <r>
          <rPr>
            <b/>
            <sz val="10"/>
            <color indexed="81"/>
            <rFont val="TimesNewRomanPSMT"/>
          </rPr>
          <t>Paul R. Elsen:</t>
        </r>
        <r>
          <rPr>
            <sz val="10"/>
            <color indexed="81"/>
            <rFont val="TimesNewRomanPSMT"/>
          </rPr>
          <t xml:space="preserve">
Practically no information given: "Near the town of Bjerringbro in the central part of Jutland, Denmark…on nine and five fields".
Found patchwork of fields west of town with 11 fields (text indicates that up to 5 fields were repeated across seasons); calculated extent using GE Pro at 57.63 ha.</t>
        </r>
      </text>
    </comment>
    <comment ref="M243" authorId="7">
      <text>
        <r>
          <rPr>
            <b/>
            <sz val="9"/>
            <color indexed="81"/>
            <rFont val="Arial"/>
          </rPr>
          <t>Paul Elsen:</t>
        </r>
        <r>
          <rPr>
            <sz val="9"/>
            <color indexed="81"/>
            <rFont val="Arial"/>
          </rPr>
          <t xml:space="preserve">
no information; assume 1 token day to sample each site</t>
        </r>
      </text>
    </comment>
    <comment ref="N243" authorId="7">
      <text>
        <r>
          <rPr>
            <b/>
            <sz val="9"/>
            <color indexed="81"/>
            <rFont val="Arial"/>
          </rPr>
          <t>Paul Elsen:</t>
        </r>
        <r>
          <rPr>
            <sz val="9"/>
            <color indexed="81"/>
            <rFont val="Arial"/>
          </rPr>
          <t xml:space="preserve">
samples taken every 2 weeks</t>
        </r>
      </text>
    </comment>
    <comment ref="O243" authorId="7">
      <text>
        <r>
          <rPr>
            <b/>
            <sz val="9"/>
            <color indexed="81"/>
            <rFont val="Arial"/>
          </rPr>
          <t>Paul Elsen:</t>
        </r>
        <r>
          <rPr>
            <sz val="9"/>
            <color indexed="81"/>
            <rFont val="Arial"/>
          </rPr>
          <t xml:space="preserve">
1 day sampling over 12 days over 2 years</t>
        </r>
      </text>
    </comment>
    <comment ref="P243" authorId="7">
      <text>
        <r>
          <rPr>
            <b/>
            <sz val="9"/>
            <color indexed="81"/>
            <rFont val="Arial"/>
          </rPr>
          <t>Paul Elsen:</t>
        </r>
        <r>
          <rPr>
            <sz val="9"/>
            <color indexed="81"/>
            <rFont val="Arial"/>
          </rPr>
          <t xml:space="preserve">
surveyed over both spring and winter growing seasons during 2001 and 2002, so assume 2 years</t>
        </r>
      </text>
    </comment>
    <comment ref="I244" authorId="7">
      <text>
        <r>
          <rPr>
            <b/>
            <sz val="9"/>
            <color indexed="81"/>
            <rFont val="Arial"/>
          </rPr>
          <t>Paul Elsen:</t>
        </r>
        <r>
          <rPr>
            <sz val="9"/>
            <color indexed="81"/>
            <rFont val="Arial"/>
          </rPr>
          <t xml:space="preserve">
one plot with total area 0.8 ha</t>
        </r>
      </text>
    </comment>
    <comment ref="K244" authorId="5">
      <text>
        <r>
          <rPr>
            <b/>
            <sz val="10"/>
            <color indexed="81"/>
            <rFont val="TimesNewRomanPSMT"/>
          </rPr>
          <t>Paul R. Elsen:</t>
        </r>
        <r>
          <rPr>
            <sz val="10"/>
            <color indexed="81"/>
            <rFont val="TimesNewRomanPSMT"/>
          </rPr>
          <t xml:space="preserve">
Text lists study in habitat patch C (in figure 1) and gives extent at 0.8 ha</t>
        </r>
      </text>
    </comment>
    <comment ref="M244" authorId="7">
      <text>
        <r>
          <rPr>
            <b/>
            <sz val="9"/>
            <color indexed="81"/>
            <rFont val="Arial"/>
          </rPr>
          <t>Paul Elsen:</t>
        </r>
        <r>
          <rPr>
            <sz val="9"/>
            <color indexed="81"/>
            <rFont val="Arial"/>
          </rPr>
          <t xml:space="preserve">
9:30 am - 5:30 pm</t>
        </r>
      </text>
    </comment>
    <comment ref="N244" authorId="7">
      <text>
        <r>
          <rPr>
            <b/>
            <sz val="9"/>
            <color indexed="81"/>
            <rFont val="Arial"/>
          </rPr>
          <t>Paul Elsen:</t>
        </r>
        <r>
          <rPr>
            <sz val="9"/>
            <color indexed="81"/>
            <rFont val="Arial"/>
          </rPr>
          <t xml:space="preserve">
plot resurveyed every 3-5 days, assuming average 4</t>
        </r>
      </text>
    </comment>
    <comment ref="O244" authorId="7">
      <text>
        <r>
          <rPr>
            <b/>
            <sz val="9"/>
            <color indexed="81"/>
            <rFont val="Arial"/>
          </rPr>
          <t>Paul Elsen:</t>
        </r>
        <r>
          <rPr>
            <sz val="9"/>
            <color indexed="81"/>
            <rFont val="Arial"/>
          </rPr>
          <t xml:space="preserve">
8 repeated samples</t>
        </r>
      </text>
    </comment>
    <comment ref="P244" authorId="7">
      <text>
        <r>
          <rPr>
            <b/>
            <sz val="9"/>
            <color indexed="81"/>
            <rFont val="Arial"/>
          </rPr>
          <t>Paul Elsen:</t>
        </r>
        <r>
          <rPr>
            <sz val="9"/>
            <color indexed="81"/>
            <rFont val="Arial"/>
          </rPr>
          <t xml:space="preserve">
July 20 1999 to Aug 17 1999</t>
        </r>
      </text>
    </comment>
    <comment ref="I245" authorId="7">
      <text>
        <r>
          <rPr>
            <b/>
            <sz val="9"/>
            <color indexed="81"/>
            <rFont val="Arial"/>
          </rPr>
          <t>Paul Elsen:</t>
        </r>
        <r>
          <rPr>
            <sz val="9"/>
            <color indexed="81"/>
            <rFont val="Arial"/>
          </rPr>
          <t xml:space="preserve">
assume diameter of thermometer is 8 mm</t>
        </r>
      </text>
    </comment>
    <comment ref="M245" authorId="7">
      <text>
        <r>
          <rPr>
            <b/>
            <sz val="9"/>
            <color indexed="81"/>
            <rFont val="Arial"/>
          </rPr>
          <t>Paul Elsen:</t>
        </r>
        <r>
          <rPr>
            <sz val="9"/>
            <color indexed="81"/>
            <rFont val="Arial"/>
          </rPr>
          <t xml:space="preserve">
assuming instantaneous (1 second) sampling</t>
        </r>
      </text>
    </comment>
    <comment ref="N245" authorId="7">
      <text>
        <r>
          <rPr>
            <b/>
            <sz val="9"/>
            <color indexed="81"/>
            <rFont val="Arial"/>
          </rPr>
          <t>Paul Elsen:</t>
        </r>
        <r>
          <rPr>
            <sz val="9"/>
            <color indexed="81"/>
            <rFont val="Arial"/>
          </rPr>
          <t xml:space="preserve">
26 sampling periods over 28 days</t>
        </r>
      </text>
    </comment>
    <comment ref="P245" authorId="7">
      <text>
        <r>
          <rPr>
            <b/>
            <sz val="9"/>
            <color indexed="81"/>
            <rFont val="Arial"/>
          </rPr>
          <t>Paul Elsen:</t>
        </r>
        <r>
          <rPr>
            <sz val="9"/>
            <color indexed="81"/>
            <rFont val="Arial"/>
          </rPr>
          <t xml:space="preserve">
July 20 1999 to Aug 17 1999</t>
        </r>
      </text>
    </comment>
    <comment ref="K246" authorId="6">
      <text>
        <r>
          <rPr>
            <sz val="12"/>
            <color rgb="FF000000"/>
            <rFont val="Calibri"/>
          </rPr>
          <t>Corrected estimate to a 20m x 30m grid based on a conservative estimate of spatial arrangement signified by 'minimum 5m apart clusters of 4 plants each'.
	-Tim Treuer</t>
        </r>
      </text>
    </comment>
    <comment ref="M246" authorId="6">
      <text>
        <r>
          <rPr>
            <sz val="12"/>
            <color rgb="FF000000"/>
            <rFont val="Calibri"/>
          </rPr>
          <t>24 hour exposure for pollination. Rest of study was manipulative experiment.
	-Tim Treuer</t>
        </r>
      </text>
    </comment>
    <comment ref="P247" authorId="6">
      <text>
        <r>
          <rPr>
            <sz val="12"/>
            <color rgb="FF000000"/>
            <rFont val="Calibri"/>
          </rPr>
          <t>assume 24 hours to process each soil monolith.
	-Tim Treuer</t>
        </r>
      </text>
    </comment>
    <comment ref="M251" authorId="6">
      <text>
        <r>
          <rPr>
            <sz val="12"/>
            <color rgb="FF000000"/>
            <rFont val="Calibri"/>
          </rPr>
          <t>Lyndon Estes:
Changed to 1 second for MODIS X 2 because Terra + Aqua</t>
        </r>
      </text>
    </comment>
    <comment ref="N251" authorId="6">
      <text>
        <r>
          <rPr>
            <sz val="12"/>
            <color rgb="FF000000"/>
            <rFont val="Calibri"/>
          </rPr>
          <t>Lyndon Estes:
Changed to 1 day return interval, since grouping Terra and Aqua into single measure</t>
        </r>
      </text>
    </comment>
    <comment ref="O251" authorId="6">
      <text>
        <r>
          <rPr>
            <sz val="12"/>
            <color rgb="FF000000"/>
            <rFont val="Calibri"/>
          </rPr>
          <t>Lyndon Estes:
Changed because grouped Terra and Aqua into single duration estimate</t>
        </r>
      </text>
    </comment>
    <comment ref="F252" authorId="6">
      <text>
        <r>
          <rPr>
            <sz val="12"/>
            <color rgb="FF000000"/>
            <rFont val="Calibri"/>
          </rPr>
          <t>Lyndon Estes:
changed M3 to remote sensing type, even though it is a hybrid product</t>
        </r>
      </text>
    </comment>
    <comment ref="I252" authorId="6">
      <text>
        <r>
          <rPr>
            <sz val="12"/>
            <color rgb="FF000000"/>
            <rFont val="Calibri"/>
          </rPr>
          <t>Lyndon Estes:
M3 is ~9X9 km</t>
        </r>
      </text>
    </comment>
    <comment ref="M252" authorId="6">
      <text>
        <r>
          <rPr>
            <sz val="12"/>
            <color rgb="FF000000"/>
            <rFont val="Calibri"/>
          </rPr>
          <t>Lyndon Estes:
Changed this because the M3 product is based on two landcover datasets, MODIS and SPOT, which I assume integrated daily values to make the landcover classes that formed the basis of this. Not trying to estimate resolution of ag census data disaggregated onto this</t>
        </r>
      </text>
    </comment>
    <comment ref="P257" authorId="6">
      <text>
        <r>
          <rPr>
            <sz val="12"/>
            <color rgb="FF000000"/>
            <rFont val="Calibri"/>
          </rPr>
          <t>Sites were not resurveyed. eff_dur = act_dur
	-Tim Treuer</t>
        </r>
      </text>
    </comment>
    <comment ref="K258" authorId="6">
      <text>
        <r>
          <rPr>
            <sz val="12"/>
            <color rgb="FF000000"/>
            <rFont val="Calibri"/>
          </rPr>
          <t>See notes about estimate: could be more like 100 ha or less is more appropriate
	-Tim Treuer</t>
        </r>
      </text>
    </comment>
    <comment ref="P260" authorId="6">
      <text>
        <r>
          <rPr>
            <sz val="12"/>
            <color rgb="FF000000"/>
            <rFont val="Calibri"/>
          </rPr>
          <t>Unreplicated point counts.
	-Tim Treuer</t>
        </r>
      </text>
    </comment>
    <comment ref="K261" authorId="6">
      <text>
        <r>
          <rPr>
            <sz val="12"/>
            <color rgb="FF000000"/>
            <rFont val="Calibri"/>
          </rPr>
          <t>Very poor description of sampling locations provided. Extent given is area of 'Central Bohemia'.
	-Tim Treuer</t>
        </r>
      </text>
    </comment>
    <comment ref="P261" authorId="6">
      <text>
        <r>
          <rPr>
            <sz val="12"/>
            <color rgb="FF000000"/>
            <rFont val="Calibri"/>
          </rPr>
          <t>For this and three below, unrepeated samples.
	-Tim Treuer</t>
        </r>
      </text>
    </comment>
    <comment ref="P266" authorId="6">
      <text>
        <r>
          <rPr>
            <sz val="12"/>
            <color rgb="FF000000"/>
            <rFont val="Calibri"/>
          </rPr>
          <t>Unreplicated: eff_dur = act_dur
	-Tim Treuer</t>
        </r>
      </text>
    </comment>
    <comment ref="P267" authorId="6">
      <text>
        <r>
          <rPr>
            <sz val="12"/>
            <color rgb="FF000000"/>
            <rFont val="Calibri"/>
          </rPr>
          <t>Unreplicated: eff_dur = act_dur
	-Tim Treuer</t>
        </r>
      </text>
    </comment>
    <comment ref="P268" authorId="6">
      <text>
        <r>
          <rPr>
            <sz val="12"/>
            <color rgb="FF000000"/>
            <rFont val="Calibri"/>
          </rPr>
          <t>Unreplicated: eff_dur = act_dur
	-Tim Treuer</t>
        </r>
      </text>
    </comment>
    <comment ref="M273" authorId="6">
      <text>
        <r>
          <rPr>
            <sz val="12"/>
            <color rgb="FF000000"/>
            <rFont val="Calibri"/>
          </rPr>
          <t>Lyndon Estes:
Assume instantaneous measurement each of every 14 days</t>
        </r>
      </text>
    </comment>
    <comment ref="O273" authorId="6">
      <text>
        <r>
          <rPr>
            <sz val="12"/>
            <color rgb="FF000000"/>
            <rFont val="Calibri"/>
          </rPr>
          <t>Lyndon Estes:
Integrated instantaneous observations</t>
        </r>
      </text>
    </comment>
    <comment ref="P274" authorId="6">
      <text>
        <r>
          <rPr>
            <sz val="12"/>
            <color rgb="FF000000"/>
            <rFont val="Calibri"/>
          </rPr>
          <t>Unreplicated: eff_dur = act_dur
	-Tim Treuer</t>
        </r>
      </text>
    </comment>
    <comment ref="K275" authorId="6">
      <text>
        <r>
          <rPr>
            <sz val="12"/>
            <color rgb="FF000000"/>
            <rFont val="Calibri"/>
          </rPr>
          <t>Modified because forgot to multiply by two for the second plot.
	-Tim Treuer</t>
        </r>
      </text>
    </comment>
    <comment ref="P277" authorId="6">
      <text>
        <r>
          <rPr>
            <sz val="12"/>
            <color rgb="FF000000"/>
            <rFont val="Calibri"/>
          </rPr>
          <t>Unreplicated: eff_dur = act_dur
	-Tim Treuer</t>
        </r>
      </text>
    </comment>
    <comment ref="M279" authorId="6">
      <text>
        <r>
          <rPr>
            <sz val="12"/>
            <color rgb="FF000000"/>
            <rFont val="Calibri"/>
          </rPr>
          <t>Lyndon Estes:
Flux measures at 1 minute intervals (instantaneous, I assume?) averaged over 30 minutes and then to weekly measures. This was for met data. Assume same for flux data</t>
        </r>
      </text>
    </comment>
    <comment ref="N279" authorId="6">
      <text>
        <r>
          <rPr>
            <sz val="12"/>
            <color rgb="FF000000"/>
            <rFont val="Calibri"/>
          </rPr>
          <t>Lyndon Estes:
Intervals is weekly because they were averaging over weekly time steps</t>
        </r>
      </text>
    </comment>
    <comment ref="O279" authorId="6">
      <text>
        <r>
          <rPr>
            <sz val="12"/>
            <color rgb="FF000000"/>
            <rFont val="Calibri"/>
          </rPr>
          <t>Lyndon Estes:
They were interested in July to December. Multipled numnber of weeks in that period by samp_duration</t>
        </r>
      </text>
    </comment>
    <comment ref="P279" authorId="6">
      <text>
        <r>
          <rPr>
            <sz val="12"/>
            <color rgb="FF000000"/>
            <rFont val="Calibri"/>
          </rPr>
          <t>July-December, not whole year
	-Tim Treuer</t>
        </r>
      </text>
    </comment>
    <comment ref="P280" authorId="6">
      <text>
        <r>
          <rPr>
            <sz val="12"/>
            <color rgb="FF000000"/>
            <rFont val="Calibri"/>
          </rPr>
          <t>Unreplicated: eff_dur = act_dur
	-Tim Treuer</t>
        </r>
      </text>
    </comment>
    <comment ref="M281" authorId="6">
      <text>
        <r>
          <rPr>
            <sz val="12"/>
            <color rgb="FF000000"/>
            <rFont val="Calibri"/>
          </rPr>
          <t>Lyndon Estes:
Seems the SWC measure is constaint, but here they averaged to 7 days</t>
        </r>
      </text>
    </comment>
    <comment ref="O281" authorId="6">
      <text>
        <r>
          <rPr>
            <sz val="12"/>
            <color rgb="FF000000"/>
            <rFont val="Calibri"/>
          </rPr>
          <t>Lyndon Estes:
They were interested in July to December. Multipled number of weeks in that period by samp_duration. Subtracted 13 days which they said were missing</t>
        </r>
      </text>
    </comment>
    <comment ref="P281" authorId="6">
      <text>
        <r>
          <rPr>
            <sz val="12"/>
            <color rgb="FF000000"/>
            <rFont val="Calibri"/>
          </rPr>
          <t>July-December, not whole year
	-Tim Treuer</t>
        </r>
      </text>
    </comment>
    <comment ref="P283" authorId="6">
      <text>
        <r>
          <rPr>
            <sz val="12"/>
            <color rgb="FF000000"/>
            <rFont val="Calibri"/>
          </rPr>
          <t>Unreplicated: eff_dur = act_dur
	-Tim Treuer</t>
        </r>
      </text>
    </comment>
    <comment ref="P284" authorId="6">
      <text>
        <r>
          <rPr>
            <sz val="12"/>
            <color rgb="FF000000"/>
            <rFont val="Calibri"/>
          </rPr>
          <t>Unreplicated: eff_dur = act_dur
	-Tim Treuer</t>
        </r>
      </text>
    </comment>
    <comment ref="P285" authorId="6">
      <text>
        <r>
          <rPr>
            <sz val="12"/>
            <color rgb="FF000000"/>
            <rFont val="Calibri"/>
          </rPr>
          <t>Unreplicated: eff_dur = act_dur
	-Tim Treuer</t>
        </r>
      </text>
    </comment>
    <comment ref="I288" authorId="6">
      <text>
        <r>
          <rPr>
            <sz val="12"/>
            <color rgb="FF000000"/>
            <rFont val="Calibri"/>
          </rPr>
          <t>Jonathan:
Soil datalogger - we'll say 10cm by 10cm</t>
        </r>
      </text>
    </comment>
    <comment ref="J288" authorId="6">
      <text>
        <r>
          <rPr>
            <sz val="12"/>
            <color rgb="FF000000"/>
            <rFont val="Calibri"/>
          </rPr>
          <t>Jonathan:
5 dataloggers, 2 sites</t>
        </r>
      </text>
    </comment>
    <comment ref="M288" authorId="6">
      <text>
        <r>
          <rPr>
            <sz val="12"/>
            <color rgb="FF000000"/>
            <rFont val="Calibri"/>
          </rPr>
          <t>Jonathan:
Assume 1 second to take the sample</t>
        </r>
      </text>
    </comment>
    <comment ref="N288" authorId="6">
      <text>
        <r>
          <rPr>
            <sz val="12"/>
            <color rgb="FF000000"/>
            <rFont val="Calibri"/>
          </rPr>
          <t>Jonathan:
every 4 hours</t>
        </r>
      </text>
    </comment>
    <comment ref="O288" authorId="6">
      <text>
        <r>
          <rPr>
            <sz val="12"/>
            <color rgb="FF000000"/>
            <rFont val="Calibri"/>
          </rPr>
          <t>Jonathan:
1 second per obs, 6 obs per day (every 4 hrs), 30 days of data per month, 2 months per year, 6 years</t>
        </r>
      </text>
    </comment>
    <comment ref="P288" authorId="6">
      <text>
        <r>
          <rPr>
            <sz val="12"/>
            <color rgb="FF000000"/>
            <rFont val="Calibri"/>
          </rPr>
          <t>Jonathan:
assume 15 october 2005 to 15 april 2010, because they said they sampled in october and april between 2005 and 2010</t>
        </r>
      </text>
    </comment>
    <comment ref="I289" authorId="6">
      <text>
        <r>
          <rPr>
            <sz val="12"/>
            <color rgb="FF000000"/>
            <rFont val="Calibri"/>
          </rPr>
          <t xml:space="preserve">Jonathan:
Photography from a 10m tower
LDE: Assume camera is 2 cm pixel
</t>
        </r>
      </text>
    </comment>
    <comment ref="J289" authorId="6">
      <text>
        <r>
          <rPr>
            <sz val="12"/>
            <color rgb="FF000000"/>
            <rFont val="Calibri"/>
          </rPr>
          <t>Lyndon Estes:
Retained 500X500 estimate of area (X2), backed out n pixels</t>
        </r>
      </text>
    </comment>
    <comment ref="M289" authorId="6">
      <text>
        <r>
          <rPr>
            <sz val="12"/>
            <color rgb="FF000000"/>
            <rFont val="Calibri"/>
          </rPr>
          <t>Jonathan:
Continue to assume 1 second</t>
        </r>
      </text>
    </comment>
    <comment ref="N289" authorId="6">
      <text>
        <r>
          <rPr>
            <sz val="12"/>
            <color rgb="FF000000"/>
            <rFont val="Calibri"/>
          </rPr>
          <t xml:space="preserve">Jonathan:
Study says the photos were taken daily at solar noon
</t>
        </r>
      </text>
    </comment>
    <comment ref="O289" authorId="6">
      <text>
        <r>
          <rPr>
            <sz val="12"/>
            <color rgb="FF000000"/>
            <rFont val="Calibri"/>
          </rPr>
          <t xml:space="preserve">Jonathan:
1 second per sample, 1 sample per day, 365.25 days per year, 3 years
</t>
        </r>
      </text>
    </comment>
    <comment ref="P289" authorId="6">
      <text>
        <r>
          <rPr>
            <sz val="12"/>
            <color rgb="FF000000"/>
            <rFont val="Calibri"/>
          </rPr>
          <t xml:space="preserve">Jonathan:
Only says that it was from spring to fall from 2007 to 2010. I don't know exactly how to interpret that, so I went with 365*3
</t>
        </r>
      </text>
    </comment>
    <comment ref="I290" authorId="6">
      <text>
        <r>
          <rPr>
            <sz val="12"/>
            <color rgb="FF000000"/>
            <rFont val="Calibri"/>
          </rPr>
          <t xml:space="preserve">Jonathan:
Animal surveys - they don't say how many traps were deployed. We'll say it's a 8cm by 8 cm opening with 10 traps per site
</t>
        </r>
      </text>
    </comment>
    <comment ref="M290" authorId="6">
      <text>
        <r>
          <rPr>
            <sz val="12"/>
            <color rgb="FF000000"/>
            <rFont val="Calibri"/>
          </rPr>
          <t xml:space="preserve">Jonathan:
Assume letting traps stay for 9 hours
</t>
        </r>
      </text>
    </comment>
    <comment ref="N290" authorId="6">
      <text>
        <r>
          <rPr>
            <sz val="12"/>
            <color rgb="FF000000"/>
            <rFont val="Calibri"/>
          </rPr>
          <t xml:space="preserve">Jonathan:
Every 9 months averaging 6 and 12
</t>
        </r>
      </text>
    </comment>
    <comment ref="O290" authorId="6">
      <text>
        <r>
          <rPr>
            <sz val="12"/>
            <color rgb="FF000000"/>
            <rFont val="Calibri"/>
          </rPr>
          <t xml:space="preserve">Jonathan:
Early morning to mid afternoon, so we'll assume 6am to 3pm, and this is every 6-12 months (average to 9)  from 1997 to 2010. </t>
        </r>
      </text>
    </comment>
    <comment ref="P290" authorId="6">
      <text>
        <r>
          <rPr>
            <sz val="12"/>
            <color rgb="FF000000"/>
            <rFont val="Calibri"/>
          </rPr>
          <t>Jonathan:
Went from 1997 to 2010.</t>
        </r>
      </text>
    </comment>
    <comment ref="R290" authorId="6">
      <text>
        <r>
          <rPr>
            <sz val="12"/>
            <color rgb="FF000000"/>
            <rFont val="Calibri"/>
          </rPr>
          <t>Jonathan:
flag - they measure multiple measures of the squirrels</t>
        </r>
      </text>
    </comment>
    <comment ref="I291" authorId="6">
      <text>
        <r>
          <rPr>
            <sz val="12"/>
            <color rgb="FF000000"/>
            <rFont val="Calibri"/>
          </rPr>
          <t xml:space="preserve">Jonathan:
Unit of measure is the individual squirrel, which we'll say is 15 cm by 5 cm
</t>
        </r>
      </text>
    </comment>
    <comment ref="J291" authorId="6">
      <text>
        <r>
          <rPr>
            <sz val="12"/>
            <color rgb="FF000000"/>
            <rFont val="Calibri"/>
          </rPr>
          <t xml:space="preserve">Jonathan:
204 loggers installed
</t>
        </r>
      </text>
    </comment>
    <comment ref="M291" authorId="6">
      <text>
        <r>
          <rPr>
            <sz val="12"/>
            <color rgb="FF000000"/>
            <rFont val="Calibri"/>
          </rPr>
          <t>Jonathan:
20 minutes per sample
LDE: assume temp recorded in few seconds, say 10, interval between as 20 minutes</t>
        </r>
      </text>
    </comment>
    <comment ref="N291" authorId="6">
      <text>
        <r>
          <rPr>
            <sz val="12"/>
            <color rgb="FF000000"/>
            <rFont val="Calibri"/>
          </rPr>
          <t>Lyndon Estes:
20 minute interval</t>
        </r>
      </text>
    </comment>
    <comment ref="O291" authorId="6">
      <text>
        <r>
          <rPr>
            <sz val="12"/>
            <color rgb="FF000000"/>
            <rFont val="Calibri"/>
          </rPr>
          <t>Jonathan:
They said that these were run for up to 18 months, but they seemed to be taking them out earlier if recpatured (6-12 months). Reassign to 12 month average
LDE: I assume that the average animal lived 4 years, and they did not remove loggers and replant for each of the 13 years of study in the same animals. So, 1 second obs over 20 minutes for 4 years</t>
        </r>
      </text>
    </comment>
    <comment ref="P291" authorId="6">
      <text>
        <r>
          <rPr>
            <sz val="12"/>
            <color rgb="FF000000"/>
            <rFont val="Calibri"/>
          </rPr>
          <t xml:space="preserve">Jonathan:
Began in Fall 1997, ended in Spring 2010. Calculate as being 1 October 1994 to 1 April 2010.
TT: Changed to 4 years reflecting LDE interpretation of act_dur
</t>
        </r>
      </text>
    </comment>
    <comment ref="I292" authorId="6">
      <text>
        <r>
          <rPr>
            <sz val="12"/>
            <color rgb="FF000000"/>
            <rFont val="Calibri"/>
          </rPr>
          <t xml:space="preserve">Jonathan:
Tree Core, assume 1cm diameter </t>
        </r>
      </text>
    </comment>
    <comment ref="J292" authorId="6">
      <text>
        <r>
          <rPr>
            <sz val="12"/>
            <color rgb="FF000000"/>
            <rFont val="Calibri"/>
          </rPr>
          <t>Jonathan:
100 points at 2 locations</t>
        </r>
      </text>
    </comment>
    <comment ref="M292" authorId="6">
      <text>
        <r>
          <rPr>
            <sz val="12"/>
            <color rgb="FF000000"/>
            <rFont val="Calibri"/>
          </rPr>
          <t xml:space="preserve">Jonathan:
we’ll say it took 10 minutes
</t>
        </r>
      </text>
    </comment>
    <comment ref="N292" authorId="6">
      <text>
        <r>
          <rPr>
            <sz val="12"/>
            <color rgb="FF000000"/>
            <rFont val="Calibri"/>
          </rPr>
          <t xml:space="preserve">Jonathan:
This is hard - they sampled 100 in February and 100 in August in two very different locations. The time between samples was probably less than a day in February and August, but it changes when you try to include everything. I'm going to say it's 181 days, same as study span./
</t>
        </r>
      </text>
    </comment>
    <comment ref="O292" authorId="6">
      <text>
        <r>
          <rPr>
            <sz val="12"/>
            <color rgb="FF000000"/>
            <rFont val="Calibri"/>
          </rPr>
          <t>Jonathan:
multiple samp duration by number of sites
LDE: should cores represent the whole period, because tree growth will keep accumulating?</t>
        </r>
      </text>
    </comment>
    <comment ref="P292" authorId="6">
      <text>
        <r>
          <rPr>
            <sz val="12"/>
            <color rgb="FF000000"/>
            <rFont val="Calibri"/>
          </rPr>
          <t xml:space="preserve">Jonathan:
Number of days between 15 feb and 15 aug
</t>
        </r>
      </text>
    </comment>
    <comment ref="I293" authorId="6">
      <text>
        <r>
          <rPr>
            <sz val="12"/>
            <color rgb="FF000000"/>
            <rFont val="Calibri"/>
          </rPr>
          <t xml:space="preserve">Jonathan:
GPS Point for elevation, we'll say it was a 1m^2 area measurement. </t>
        </r>
      </text>
    </comment>
    <comment ref="M293" authorId="6">
      <text>
        <r>
          <rPr>
            <sz val="12"/>
            <color rgb="FF000000"/>
            <rFont val="Calibri"/>
          </rPr>
          <t>Jonathan:
We'll say half a minute because they averaged multiple measurements</t>
        </r>
      </text>
    </comment>
    <comment ref="I294" authorId="6">
      <text>
        <r>
          <rPr>
            <sz val="12"/>
            <color rgb="FF000000"/>
            <rFont val="Calibri"/>
          </rPr>
          <t>Jonathan:
Hemispherical Photography, we'll say the hemisphere goes to 50m</t>
        </r>
      </text>
    </comment>
    <comment ref="M294" authorId="6">
      <text>
        <r>
          <rPr>
            <sz val="12"/>
            <color rgb="FF000000"/>
            <rFont val="Calibri"/>
          </rPr>
          <t xml:space="preserve">Jonathan:
One second to press the button
</t>
        </r>
      </text>
    </comment>
    <comment ref="I295" authorId="6">
      <text>
        <r>
          <rPr>
            <sz val="12"/>
            <color rgb="FF000000"/>
            <rFont val="Calibri"/>
          </rPr>
          <t>Jonathan:
DBH, calling the average tree DBH at 0.2m</t>
        </r>
      </text>
    </comment>
    <comment ref="M295" authorId="6">
      <text>
        <r>
          <rPr>
            <sz val="12"/>
            <color rgb="FF000000"/>
            <rFont val="Calibri"/>
          </rPr>
          <t>Jonathan:
DBH and DCH are going to take half a minute if moving at a clip</t>
        </r>
      </text>
    </comment>
    <comment ref="I296" authorId="6">
      <text>
        <r>
          <rPr>
            <sz val="12"/>
            <color rgb="FF000000"/>
            <rFont val="Calibri"/>
          </rPr>
          <t xml:space="preserve">Jonathan:
"DCH" - diameter at core height. This was taken at 0.2m from the ground, so it's a bit bigger. Assume 0.5 dbh
</t>
        </r>
      </text>
    </comment>
    <comment ref="I297" authorId="6">
      <text>
        <r>
          <rPr>
            <sz val="12"/>
            <color rgb="FF000000"/>
            <rFont val="Calibri"/>
          </rPr>
          <t xml:space="preserve">Jonathan:
leaf level LiCOR stuff -assume leaf is 10cm x 12
</t>
        </r>
      </text>
    </comment>
    <comment ref="J297" authorId="6">
      <text>
        <r>
          <rPr>
            <sz val="12"/>
            <color rgb="FF000000"/>
            <rFont val="Calibri"/>
          </rPr>
          <t>Jonathan:
30 occasions, 3 trees per occasion</t>
        </r>
      </text>
    </comment>
    <comment ref="K297" authorId="6">
      <text>
        <r>
          <rPr>
            <sz val="12"/>
            <color rgb="FF000000"/>
            <rFont val="Calibri"/>
          </rPr>
          <t>leaves from 90 trees sampled, found citation for number of adult trees per hectare in this type of forest being ~40
	-Tim Treuer
Also, the previous comment was made in an earlier round of revisions, but I lost track of what color that was supposed to be, so we went with the current one.</t>
        </r>
      </text>
    </comment>
    <comment ref="M297" authorId="6">
      <text>
        <r>
          <rPr>
            <sz val="12"/>
            <color rgb="FF000000"/>
            <rFont val="Calibri"/>
          </rPr>
          <t xml:space="preserve">Jonathan:
We'll say a licor measurement takes 20 minutes per leaf, 1 hour per tree
</t>
        </r>
      </text>
    </comment>
    <comment ref="N297" authorId="6">
      <text>
        <r>
          <rPr>
            <sz val="12"/>
            <color rgb="FF000000"/>
            <rFont val="Calibri"/>
          </rPr>
          <t>Jonathan:
Says every second week, which I interpret as every other week.</t>
        </r>
      </text>
    </comment>
    <comment ref="O297" authorId="6">
      <text>
        <r>
          <rPr>
            <sz val="12"/>
            <color rgb="FF000000"/>
            <rFont val="Calibri"/>
          </rPr>
          <t xml:space="preserve">JonChoi:
took every 2 weeks between May and December - estimate to around 17 times
</t>
        </r>
      </text>
    </comment>
    <comment ref="P297" authorId="6">
      <text>
        <r>
          <rPr>
            <sz val="12"/>
            <color rgb="FF000000"/>
            <rFont val="Calibri"/>
          </rPr>
          <t xml:space="preserve">Jonathan:
Calculate as between May 15 2005 and Oct 15 2006
TT: calculated based on number of temporal samples -1 multiplied by the length of time between samples.
</t>
        </r>
      </text>
    </comment>
    <comment ref="I298" authorId="6">
      <text>
        <r>
          <rPr>
            <sz val="12"/>
            <color rgb="FF000000"/>
            <rFont val="Calibri"/>
          </rPr>
          <t xml:space="preserve">Jonathan:
leaf level LiCOR stuff -assume leaf is 10cm x 12. This was a second group of trees
</t>
        </r>
      </text>
    </comment>
    <comment ref="J298" authorId="6">
      <text>
        <r>
          <rPr>
            <sz val="12"/>
            <color rgb="FF000000"/>
            <rFont val="Calibri"/>
          </rPr>
          <t>Jonathan:
30 occasions, 3 trees per occasion</t>
        </r>
      </text>
    </comment>
    <comment ref="M298" authorId="6">
      <text>
        <r>
          <rPr>
            <sz val="12"/>
            <color rgb="FF000000"/>
            <rFont val="Calibri"/>
          </rPr>
          <t>Jonathan:
was extracting info for enzymatic activity. Hard to say what this is exactly or how long it would take</t>
        </r>
      </text>
    </comment>
    <comment ref="N298" authorId="6">
      <text>
        <r>
          <rPr>
            <sz val="12"/>
            <color rgb="FF000000"/>
            <rFont val="Calibri"/>
          </rPr>
          <t>Jonathan:
Says every second week, which I interpret as every other week.</t>
        </r>
      </text>
    </comment>
    <comment ref="I299" authorId="6">
      <text>
        <r>
          <rPr>
            <sz val="12"/>
            <color rgb="FF000000"/>
            <rFont val="Calibri"/>
          </rPr>
          <t>Jonathan Choi:
seagrassnet protocol</t>
        </r>
      </text>
    </comment>
    <comment ref="J299" authorId="6">
      <text>
        <r>
          <rPr>
            <sz val="12"/>
            <color rgb="FF000000"/>
            <rFont val="Calibri"/>
          </rPr>
          <t xml:space="preserve">JonChoi:
Three sites, three transects per site, 12 quadrats per transect
</t>
        </r>
      </text>
    </comment>
    <comment ref="M299" authorId="6">
      <text>
        <r>
          <rPr>
            <sz val="12"/>
            <color rgb="FF000000"/>
            <rFont val="Calibri"/>
          </rPr>
          <t xml:space="preserve">Jonathan Choi:
Assume 0.5 hours to do the entire protocol per quadrat
</t>
        </r>
      </text>
    </comment>
    <comment ref="N299" authorId="6">
      <text>
        <r>
          <rPr>
            <sz val="12"/>
            <color rgb="FF000000"/>
            <rFont val="Calibri"/>
          </rPr>
          <t>Jonathan Choi:
quarterly</t>
        </r>
      </text>
    </comment>
    <comment ref="O299" authorId="6">
      <text>
        <r>
          <rPr>
            <sz val="12"/>
            <color rgb="FF000000"/>
            <rFont val="Calibri"/>
          </rPr>
          <t xml:space="preserve">JonChoi:
Study has data from 5.5 years. Assume it is half hour per quadrat, each quadrat was measured quarterly for those 5.5 years.
</t>
        </r>
      </text>
    </comment>
    <comment ref="D300" authorId="6">
      <text>
        <r>
          <rPr>
            <sz val="12"/>
            <color rgb="FF000000"/>
            <rFont val="Calibri"/>
          </rPr>
          <t>Note: DOIs were wrong for the rest of the 'studies' from this paper. They were incrementally increasing by 1 probably due to a dragging/copying error.
	-Tim Treuer</t>
        </r>
      </text>
    </comment>
    <comment ref="I300" authorId="6">
      <text>
        <r>
          <rPr>
            <sz val="12"/>
            <color rgb="FF000000"/>
            <rFont val="Calibri"/>
          </rPr>
          <t xml:space="preserve">Jonathan Choi:
biomass core
</t>
        </r>
      </text>
    </comment>
    <comment ref="M300" authorId="6">
      <text>
        <r>
          <rPr>
            <sz val="12"/>
            <color rgb="FF000000"/>
            <rFont val="Calibri"/>
          </rPr>
          <t>Jonathan Choi:
15 minutes per site</t>
        </r>
      </text>
    </comment>
    <comment ref="N300" authorId="6">
      <text>
        <r>
          <rPr>
            <sz val="12"/>
            <color rgb="FF000000"/>
            <rFont val="Calibri"/>
          </rPr>
          <t xml:space="preserve">Jonathan Choi:
Each individual site was probably sampled every 2 years. So 365 * 2. A transect might only take a day though.
</t>
        </r>
      </text>
    </comment>
    <comment ref="O300" authorId="6">
      <text>
        <r>
          <rPr>
            <sz val="12"/>
            <color rgb="FF000000"/>
            <rFont val="Calibri"/>
          </rPr>
          <t>JonChoi:
Same comment as above</t>
        </r>
      </text>
    </comment>
    <comment ref="I301" authorId="6">
      <text>
        <r>
          <rPr>
            <sz val="12"/>
            <color rgb="FF000000"/>
            <rFont val="Calibri"/>
          </rPr>
          <t xml:space="preserve">Jonathan Choi:
2cm diameter, sediment cores
</t>
        </r>
      </text>
    </comment>
    <comment ref="M301" authorId="6">
      <text>
        <r>
          <rPr>
            <sz val="12"/>
            <color rgb="FF000000"/>
            <rFont val="Calibri"/>
          </rPr>
          <t>Jonathan Choi:
2 minutes to get the core</t>
        </r>
      </text>
    </comment>
    <comment ref="N301" authorId="6">
      <text>
        <r>
          <rPr>
            <sz val="12"/>
            <color rgb="FF000000"/>
            <rFont val="Calibri"/>
          </rPr>
          <t xml:space="preserve">Jonathan Choi:
Each individual site was probably sampled every 2 years. So 365 * 2. A transect might only take a day though.
</t>
        </r>
      </text>
    </comment>
    <comment ref="O301" authorId="6">
      <text>
        <r>
          <rPr>
            <sz val="12"/>
            <color rgb="FF000000"/>
            <rFont val="Calibri"/>
          </rPr>
          <t>JonChoi:
see above</t>
        </r>
      </text>
    </comment>
    <comment ref="I302" authorId="6">
      <text>
        <r>
          <rPr>
            <sz val="12"/>
            <color rgb="FF000000"/>
            <rFont val="Calibri"/>
          </rPr>
          <t>Jonathan Choi:
Temperature logger, so probably very small</t>
        </r>
      </text>
    </comment>
    <comment ref="M302" authorId="6">
      <text>
        <r>
          <rPr>
            <sz val="12"/>
            <color rgb="FF000000"/>
            <rFont val="Calibri"/>
          </rPr>
          <t xml:space="preserve">Jonathan:
One second to press the button
</t>
        </r>
      </text>
    </comment>
    <comment ref="N302" authorId="6">
      <text>
        <r>
          <rPr>
            <sz val="12"/>
            <color rgb="FF000000"/>
            <rFont val="Calibri"/>
          </rPr>
          <t>Jonathan Choi:
samples every 90 minutes</t>
        </r>
      </text>
    </comment>
    <comment ref="O302" authorId="6">
      <text>
        <r>
          <rPr>
            <sz val="12"/>
            <color rgb="FF000000"/>
            <rFont val="Calibri"/>
          </rPr>
          <t xml:space="preserve">JonChoi:
A 1 second measurement, every 90 minutes, every day, for 5.5 years
</t>
        </r>
      </text>
    </comment>
    <comment ref="I303" authorId="6">
      <text>
        <r>
          <rPr>
            <sz val="12"/>
            <color rgb="FF000000"/>
            <rFont val="Calibri"/>
          </rPr>
          <t>Jonathan Choi:
Temperature logger, so probably very small. Second site was deployed much later</t>
        </r>
      </text>
    </comment>
    <comment ref="O303" authorId="6">
      <text>
        <r>
          <rPr>
            <sz val="12"/>
            <color rgb="FF000000"/>
            <rFont val="Calibri"/>
          </rPr>
          <t xml:space="preserve">JonChoi:
JonChoi:
A 1 second measurement, every 90 minutes, every day, for 2.5 years
</t>
        </r>
      </text>
    </comment>
    <comment ref="I304" authorId="6">
      <text>
        <r>
          <rPr>
            <sz val="12"/>
            <color rgb="FF000000"/>
            <rFont val="Calibri"/>
          </rPr>
          <t xml:space="preserve">Jonathan Choi:
Estimate this is the size of the light logger
</t>
        </r>
      </text>
    </comment>
    <comment ref="J304" authorId="6">
      <text>
        <r>
          <rPr>
            <sz val="12"/>
            <color rgb="FF000000"/>
            <rFont val="Calibri"/>
          </rPr>
          <t xml:space="preserve">Jonathan Choi:
one sensor established in 2001
</t>
        </r>
      </text>
    </comment>
    <comment ref="M304" authorId="6">
      <text>
        <r>
          <rPr>
            <sz val="12"/>
            <color rgb="FF000000"/>
            <rFont val="Calibri"/>
          </rPr>
          <t>Jonathan Choi:
Took 4 horus of data, but no info on frequency of measurement. Took data for 4 hours every day for 8 weeks a year</t>
        </r>
      </text>
    </comment>
    <comment ref="N304" authorId="6">
      <text>
        <r>
          <rPr>
            <sz val="12"/>
            <color rgb="FF000000"/>
            <rFont val="Calibri"/>
          </rPr>
          <t xml:space="preserve">Jonathan Choi:
For 2 weeks every quarter.
</t>
        </r>
      </text>
    </comment>
    <comment ref="O304" authorId="6">
      <text>
        <r>
          <rPr>
            <sz val="12"/>
            <color rgb="FF000000"/>
            <rFont val="Calibri"/>
          </rPr>
          <t xml:space="preserve">JonChoi:
Two hours of data for 8 weeks per year (2 per quarter) for 5.5 years
</t>
        </r>
      </text>
    </comment>
    <comment ref="I305" authorId="6">
      <text>
        <r>
          <rPr>
            <sz val="12"/>
            <color rgb="FF000000"/>
            <rFont val="Calibri"/>
          </rPr>
          <t xml:space="preserve">Jonathan Choi:
Estimate this is the size of the light logger
</t>
        </r>
      </text>
    </comment>
    <comment ref="J305" authorId="6">
      <text>
        <r>
          <rPr>
            <sz val="12"/>
            <color rgb="FF000000"/>
            <rFont val="Calibri"/>
          </rPr>
          <t xml:space="preserve">Jonathan Choi:
second set established in 2004
</t>
        </r>
      </text>
    </comment>
    <comment ref="O305" authorId="6">
      <text>
        <r>
          <rPr>
            <sz val="12"/>
            <color rgb="FF000000"/>
            <rFont val="Calibri"/>
          </rPr>
          <t>JonChoi:
same as above, but only 2.5 years</t>
        </r>
      </text>
    </comment>
    <comment ref="P305" authorId="6">
      <text>
        <r>
          <rPr>
            <sz val="12"/>
            <color rgb="FF000000"/>
            <rFont val="Calibri"/>
          </rPr>
          <t>Calculated based off number of samples and average time between samples.
	-Tim Treuer</t>
        </r>
      </text>
    </comment>
    <comment ref="D306" authorId="6">
      <text>
        <r>
          <rPr>
            <sz val="12"/>
            <color rgb="FF000000"/>
            <rFont val="Calibri"/>
          </rPr>
          <t>This DOI was wrong--I fixed it.
	-Tim Treuer</t>
        </r>
      </text>
    </comment>
    <comment ref="I306" authorId="6">
      <text>
        <r>
          <rPr>
            <sz val="12"/>
            <color rgb="FF000000"/>
            <rFont val="Calibri"/>
          </rPr>
          <t xml:space="preserve">Jonathan Choi:
This is just the process of finding them and then monitoring them. They looked within an area this big. </t>
        </r>
      </text>
    </comment>
    <comment ref="K306" authorId="6">
      <text>
        <r>
          <rPr>
            <sz val="12"/>
            <color rgb="FF000000"/>
            <rFont val="Calibri"/>
          </rPr>
          <t>This is the approximate area of the sagebrush habitat in Carbon County between the two main roads running through the county. The locations of the sites is highly ambiguous from the description (8 sites of 20-30 ha with minimum 1km separation). Could be as little as 2,500 or as much as 200,000
	-Tim Treuer</t>
        </r>
      </text>
    </comment>
    <comment ref="M306" authorId="6">
      <text>
        <r>
          <rPr>
            <sz val="12"/>
            <color rgb="FF000000"/>
            <rFont val="Calibri"/>
          </rPr>
          <t>Jonathan Choi:
Assume 20 nests per site, 0.5 hrs per nest</t>
        </r>
      </text>
    </comment>
    <comment ref="N306" authorId="6">
      <text>
        <r>
          <rPr>
            <sz val="12"/>
            <color rgb="FF000000"/>
            <rFont val="Calibri"/>
          </rPr>
          <t xml:space="preserve">Jonathan Choi:
Look for nests every season
</t>
        </r>
      </text>
    </comment>
    <comment ref="O306" authorId="6">
      <text>
        <r>
          <rPr>
            <sz val="12"/>
            <color rgb="FF000000"/>
            <rFont val="Calibri"/>
          </rPr>
          <t xml:space="preserve">Jonathan Choi:
They came back for three years looking for these nests. Assume that each samp_duration was each year, *3
</t>
        </r>
      </text>
    </comment>
    <comment ref="P306" authorId="6">
      <text>
        <r>
          <rPr>
            <sz val="12"/>
            <color rgb="FF000000"/>
            <rFont val="Calibri"/>
          </rPr>
          <t>Jonathan Choi:
May 2002 to August 2005.
TT: per plot it should average out to June 2002 to June 2005</t>
        </r>
      </text>
    </comment>
    <comment ref="D307" authorId="6">
      <text>
        <r>
          <rPr>
            <sz val="12"/>
            <color rgb="FF000000"/>
            <rFont val="Calibri"/>
          </rPr>
          <t>This DOI was wrong--I fixed it.
	-Tim Treuer</t>
        </r>
      </text>
    </comment>
    <comment ref="I307" authorId="6">
      <text>
        <r>
          <rPr>
            <sz val="12"/>
            <color rgb="FF000000"/>
            <rFont val="Calibri"/>
          </rPr>
          <t>Jonathan:
Assessing the characteristics surrounding the nest</t>
        </r>
      </text>
    </comment>
    <comment ref="J307" authorId="6">
      <text>
        <r>
          <rPr>
            <sz val="12"/>
            <color rgb="FF000000"/>
            <rFont val="Calibri"/>
          </rPr>
          <t>Jonathan Choi:
Surveyed 326 nests, of which 105 were re-nests</t>
        </r>
      </text>
    </comment>
    <comment ref="M307" authorId="6">
      <text>
        <r>
          <rPr>
            <sz val="12"/>
            <color rgb="FF000000"/>
            <rFont val="Calibri"/>
          </rPr>
          <t>Jonathan Choi:
estimate it takes 1 hour to find and analyze each nest</t>
        </r>
      </text>
    </comment>
    <comment ref="O307" authorId="6">
      <text>
        <r>
          <rPr>
            <sz val="12"/>
            <color rgb="FF000000"/>
            <rFont val="Calibri"/>
          </rPr>
          <t>Jonathan Choi:
estimate it takes 1 hour to find and analyze each nest. Repeat from 2002-2005</t>
        </r>
      </text>
    </comment>
    <comment ref="D308" authorId="6">
      <text>
        <r>
          <rPr>
            <sz val="12"/>
            <color rgb="FF000000"/>
            <rFont val="Calibri"/>
          </rPr>
          <t>This DOI was wrong--I fixed it.
	-Tim Treuer</t>
        </r>
      </text>
    </comment>
    <comment ref="I308" authorId="6">
      <text>
        <r>
          <rPr>
            <sz val="12"/>
            <color rgb="FF000000"/>
            <rFont val="Calibri"/>
          </rPr>
          <t xml:space="preserve">Jonathan Choi:
Assessing nest success
</t>
        </r>
      </text>
    </comment>
    <comment ref="M308" authorId="6">
      <text>
        <r>
          <rPr>
            <sz val="12"/>
            <color rgb="FF000000"/>
            <rFont val="Calibri"/>
          </rPr>
          <t>Jonathan Choi:
assume it takes 15 minutes to check on the success of a nest</t>
        </r>
      </text>
    </comment>
    <comment ref="N308" authorId="6">
      <text>
        <r>
          <rPr>
            <sz val="12"/>
            <color rgb="FF000000"/>
            <rFont val="Calibri"/>
          </rPr>
          <t xml:space="preserve">Jonathan Choi:
Each nest was surveyed every 2 to 3 days for 3 months for 3 years.
</t>
        </r>
      </text>
    </comment>
    <comment ref="O308" authorId="6">
      <text>
        <r>
          <rPr>
            <sz val="12"/>
            <color rgb="FF000000"/>
            <rFont val="Calibri"/>
          </rPr>
          <t xml:space="preserve">Jonathan Choi:
120 days per season/searching every 2.5 days*3 years*time to check the nest
</t>
        </r>
      </text>
    </comment>
    <comment ref="I309" authorId="6">
      <text>
        <r>
          <rPr>
            <sz val="12"/>
            <color rgb="FF000000"/>
            <rFont val="Calibri"/>
          </rPr>
          <t>Jonathan Choi:
Estimate for the size of a set of roe deer antlers</t>
        </r>
      </text>
    </comment>
    <comment ref="J309" authorId="6">
      <text>
        <r>
          <rPr>
            <sz val="12"/>
            <color rgb="FF000000"/>
            <rFont val="Calibri"/>
          </rPr>
          <t>Jonathan Choi:
number of deer surveyed</t>
        </r>
      </text>
    </comment>
    <comment ref="M309" authorId="6">
      <text>
        <r>
          <rPr>
            <sz val="12"/>
            <color rgb="FF000000"/>
            <rFont val="Calibri"/>
          </rPr>
          <t xml:space="preserve">Jonathan Choi:
Capture, mark, release methods. Assume 1 hour per animal for antlers
</t>
        </r>
      </text>
    </comment>
    <comment ref="N309" authorId="6">
      <text>
        <r>
          <rPr>
            <sz val="12"/>
            <color rgb="FF000000"/>
            <rFont val="Calibri"/>
          </rPr>
          <t>Jonathan Choi:
Study took data for one animal from january to march. Assuyme january 1 and march 30, then the avg amount of time between 2 days.
----
Both replicated and unreplicated measurements made, but analysis done with individual as a random factor. They weren't looking at growth or change through time.
	-Tim Treuer</t>
        </r>
      </text>
    </comment>
    <comment ref="O309" authorId="6">
      <text>
        <r>
          <rPr>
            <sz val="12"/>
            <color rgb="FF000000"/>
            <rFont val="Calibri"/>
          </rPr>
          <t xml:space="preserve">Jonathan Choi:
Take samp duration and multiply by the reported number of observations.
</t>
        </r>
      </text>
    </comment>
    <comment ref="P309" authorId="6">
      <text>
        <r>
          <rPr>
            <sz val="12"/>
            <color rgb="FF000000"/>
            <rFont val="Calibri"/>
          </rPr>
          <t>Jonathan Choi:
Study had 16 years of demographic data</t>
        </r>
      </text>
    </comment>
    <comment ref="I310" authorId="6">
      <text>
        <r>
          <rPr>
            <sz val="12"/>
            <color rgb="FF000000"/>
            <rFont val="Calibri"/>
          </rPr>
          <t>Jonathan Choi:
Body mass estiamte.
1 m by 1m?</t>
        </r>
      </text>
    </comment>
    <comment ref="J310" authorId="6">
      <text>
        <r>
          <rPr>
            <sz val="12"/>
            <color rgb="FF000000"/>
            <rFont val="Calibri"/>
          </rPr>
          <t>Jonathan Choi:
number of deer surveyed</t>
        </r>
      </text>
    </comment>
    <comment ref="M310" authorId="6">
      <text>
        <r>
          <rPr>
            <sz val="12"/>
            <color rgb="FF000000"/>
            <rFont val="Calibri"/>
          </rPr>
          <t xml:space="preserve">Jonathan Choi:
Capture, mark, release methods. Assume 2 hours per animal
</t>
        </r>
      </text>
    </comment>
    <comment ref="I311" authorId="6">
      <text>
        <r>
          <rPr>
            <sz val="12"/>
            <color rgb="FF000000"/>
            <rFont val="Calibri"/>
          </rPr>
          <t>Jonathan Choi:
Climatic Data from govt agencies. Not sure how they got climatic data, so we'll assume they took from an instrumentation tower at each park.
LDE: assume 10 cm diamter rain gauge as largest instrument</t>
        </r>
      </text>
    </comment>
    <comment ref="M311" authorId="6">
      <text>
        <r>
          <rPr>
            <sz val="12"/>
            <color rgb="FF000000"/>
            <rFont val="Calibri"/>
          </rPr>
          <t xml:space="preserve">Jonathan:
Assume 1 second to take the sample
LDE: station data on rainfall and temp tend to be integrals. Total rainfall, etc. set to 30
</t>
        </r>
      </text>
    </comment>
    <comment ref="N311" authorId="6">
      <text>
        <r>
          <rPr>
            <sz val="12"/>
            <color rgb="FF000000"/>
            <rFont val="Calibri"/>
          </rPr>
          <t>Assume its from a monitoring station that takes data once a month?</t>
        </r>
      </text>
    </comment>
    <comment ref="O311" authorId="6">
      <text>
        <r>
          <rPr>
            <sz val="12"/>
            <color rgb="FF000000"/>
            <rFont val="Calibri"/>
          </rPr>
          <t>Jonathan Choi:
assume 1 second to sample for 90 days
LDE: looks like they did it for three months of each year of study</t>
        </r>
      </text>
    </comment>
    <comment ref="P311" authorId="6">
      <text>
        <r>
          <rPr>
            <sz val="12"/>
            <color rgb="FF000000"/>
            <rFont val="Calibri"/>
          </rPr>
          <t>Jonathan Choi:
Index was computed from data from june to august. Assume june 1 to august 30.
LDE: this was for each year of study, I believe</t>
        </r>
      </text>
    </comment>
    <comment ref="I312" authorId="6">
      <text>
        <r>
          <rPr>
            <sz val="12"/>
            <color rgb="FF000000"/>
            <rFont val="Calibri"/>
          </rPr>
          <t>Jonathan Choi:
Resource availability. Seemed to have asked a acorn grower for when their mast seasons were. Acorn grower had "multiple sites" in Southern Sweden. Assume 10 500m^2 sites?</t>
        </r>
      </text>
    </comment>
    <comment ref="J312" authorId="6">
      <text>
        <r>
          <rPr>
            <sz val="12"/>
            <color rgb="FF000000"/>
            <rFont val="Calibri"/>
          </rPr>
          <t>corrected to number of sites forester operates in in Sweden within range of Swedish oaks.
	-Tim Treuer</t>
        </r>
      </text>
    </comment>
    <comment ref="K312" authorId="6">
      <text>
        <r>
          <rPr>
            <sz val="12"/>
            <color rgb="FF000000"/>
            <rFont val="Calibri"/>
          </rPr>
          <t>MCP of places in southern Sweden where forestry company cited in paper operates within the range of Swedish oaks.
	-Tim Treuer</t>
        </r>
      </text>
    </comment>
    <comment ref="M312" authorId="6">
      <text>
        <r>
          <rPr>
            <sz val="12"/>
            <color rgb="FF000000"/>
            <rFont val="Calibri"/>
          </rPr>
          <t>Jonathan Choi:
Assume they went hiking for a couple hours in each spot to determine resource availability?</t>
        </r>
      </text>
    </comment>
    <comment ref="N312" authorId="6">
      <text>
        <r>
          <rPr>
            <sz val="12"/>
            <color rgb="FF000000"/>
            <rFont val="Calibri"/>
          </rPr>
          <t>Jonathan Choi:
Assume this was a once per year deal</t>
        </r>
      </text>
    </comment>
    <comment ref="O312" authorId="6">
      <text>
        <r>
          <rPr>
            <sz val="12"/>
            <color rgb="FF000000"/>
            <rFont val="Calibri"/>
          </rPr>
          <t>Jonathan Choi:
Multiply by 16 because 16 years</t>
        </r>
      </text>
    </comment>
    <comment ref="P312" authorId="6">
      <text>
        <r>
          <rPr>
            <sz val="12"/>
            <color rgb="FF000000"/>
            <rFont val="Calibri"/>
          </rPr>
          <t>Jonathan Choi:
Study had 16 years of demographic data</t>
        </r>
      </text>
    </comment>
    <comment ref="I313" authorId="6">
      <text>
        <r>
          <rPr>
            <sz val="12"/>
            <color rgb="FF000000"/>
            <rFont val="Calibri"/>
          </rPr>
          <t>Jonathan Choi:
They said transects were between 10 and 100 m with no info on width. Assume 5m width, 55m length</t>
        </r>
      </text>
    </comment>
    <comment ref="J313" authorId="6">
      <text>
        <r>
          <rPr>
            <sz val="12"/>
            <color rgb="FF000000"/>
            <rFont val="Calibri"/>
          </rPr>
          <t>Jonathan Choi:
36 sites, 6 transects per site, 60 quadrats per transect</t>
        </r>
      </text>
    </comment>
    <comment ref="K313" authorId="6">
      <text>
        <r>
          <rPr>
            <sz val="12"/>
            <color rgb="FF000000"/>
            <rFont val="Calibri"/>
          </rPr>
          <t>Measured several 'wetland depressions' and came up with a mean area of about 1 ha. Didn't count dry land between.
	-Tim Treuer</t>
        </r>
      </text>
    </comment>
    <comment ref="M313" authorId="6">
      <text>
        <r>
          <rPr>
            <sz val="12"/>
            <color rgb="FF000000"/>
            <rFont val="Calibri"/>
          </rPr>
          <t xml:space="preserve">Jonathan Choi:
Assume 15 minutes per 0.5 m^2 quadrat
</t>
        </r>
      </text>
    </comment>
    <comment ref="N313" authorId="6">
      <text>
        <r>
          <rPr>
            <sz val="12"/>
            <color rgb="FF000000"/>
            <rFont val="Calibri"/>
          </rPr>
          <t>Jonathan Choi:
No repeat sampling</t>
        </r>
      </text>
    </comment>
    <comment ref="O313" authorId="6">
      <text>
        <r>
          <rPr>
            <sz val="12"/>
            <color rgb="FF000000"/>
            <rFont val="Calibri"/>
          </rPr>
          <t xml:space="preserve">Jonathan Choi:
Assume 15 minutes per 0.5 m^2 quadrat
</t>
        </r>
      </text>
    </comment>
    <comment ref="I314" authorId="6">
      <text>
        <r>
          <rPr>
            <sz val="12"/>
            <color rgb="FF000000"/>
            <rFont val="Calibri"/>
          </rPr>
          <t>Jonathan Choi:
agb and litter</t>
        </r>
      </text>
    </comment>
    <comment ref="J314" authorId="6">
      <text>
        <r>
          <rPr>
            <sz val="12"/>
            <color rgb="FF000000"/>
            <rFont val="Calibri"/>
          </rPr>
          <t>Jonathan Choi:
36 sites, 6 transects, 2 samplings per transecyt</t>
        </r>
      </text>
    </comment>
    <comment ref="M314" authorId="6">
      <text>
        <r>
          <rPr>
            <sz val="12"/>
            <color rgb="FF000000"/>
            <rFont val="Calibri"/>
          </rPr>
          <t xml:space="preserve">Jonathan Choi:
Assume 15 minutes per 0.5 m^2 quadrat
</t>
        </r>
      </text>
    </comment>
    <comment ref="N314" authorId="6">
      <text>
        <r>
          <rPr>
            <sz val="12"/>
            <color rgb="FF000000"/>
            <rFont val="Calibri"/>
          </rPr>
          <t>Jonathan Choi:
No repeat sampling</t>
        </r>
      </text>
    </comment>
    <comment ref="O314" authorId="6">
      <text>
        <r>
          <rPr>
            <sz val="12"/>
            <color rgb="FF000000"/>
            <rFont val="Calibri"/>
          </rPr>
          <t xml:space="preserve">Jonathan Choi:
Assume 15 minutes per 0.5 m^2 quadrat
</t>
        </r>
      </text>
    </comment>
    <comment ref="I315" authorId="6">
      <text>
        <r>
          <rPr>
            <sz val="12"/>
            <color rgb="FF000000"/>
            <rFont val="Calibri"/>
          </rPr>
          <t xml:space="preserve">Jonathan Choi:
bulk density. Assume 0.05m radius corer
</t>
        </r>
      </text>
    </comment>
    <comment ref="M315" authorId="6">
      <text>
        <r>
          <rPr>
            <sz val="12"/>
            <color rgb="FF000000"/>
            <rFont val="Calibri"/>
          </rPr>
          <t>Jonathan Choi:
15 minutes to take the core. Soil was pretty boggy in the wetlands.</t>
        </r>
      </text>
    </comment>
    <comment ref="N315" authorId="6">
      <text>
        <r>
          <rPr>
            <sz val="12"/>
            <color rgb="FF000000"/>
            <rFont val="Calibri"/>
          </rPr>
          <t>Jonathan Choi:
No repeat sampling</t>
        </r>
      </text>
    </comment>
    <comment ref="O315" authorId="6">
      <text>
        <r>
          <rPr>
            <sz val="12"/>
            <color rgb="FF000000"/>
            <rFont val="Calibri"/>
          </rPr>
          <t>Jonathan Choi:
15 minutes to take the core. Soil was pretty boggy in the wetlands.</t>
        </r>
      </text>
    </comment>
    <comment ref="I316" authorId="6">
      <text>
        <r>
          <rPr>
            <sz val="12"/>
            <color rgb="FF000000"/>
            <rFont val="Calibri"/>
          </rPr>
          <t xml:space="preserve">Jonathan Choi:
Percent cover at each of the corners to the veg quadrat. Assume 0.01m radius corer
</t>
        </r>
      </text>
    </comment>
    <comment ref="J316" authorId="6">
      <text>
        <r>
          <rPr>
            <sz val="12"/>
            <color rgb="FF000000"/>
            <rFont val="Calibri"/>
          </rPr>
          <t>Jonathan Choi:
36 sites, 6 transects per site, 60 quadrats per transect, 4 corners per transect</t>
        </r>
      </text>
    </comment>
    <comment ref="M316" authorId="6">
      <text>
        <r>
          <rPr>
            <sz val="12"/>
            <color rgb="FF000000"/>
            <rFont val="Calibri"/>
          </rPr>
          <t>Jonathan Choi:
4 seconds to look at the 4 corners?</t>
        </r>
      </text>
    </comment>
    <comment ref="N316" authorId="6">
      <text>
        <r>
          <rPr>
            <sz val="12"/>
            <color rgb="FF000000"/>
            <rFont val="Calibri"/>
          </rPr>
          <t>Jonathan Choi:
No repeat sampling</t>
        </r>
      </text>
    </comment>
    <comment ref="O316" authorId="6">
      <text>
        <r>
          <rPr>
            <sz val="12"/>
            <color rgb="FF000000"/>
            <rFont val="Calibri"/>
          </rPr>
          <t>Jonathan Choi:
4 seconds to look at the 4 corners?</t>
        </r>
      </text>
    </comment>
    <comment ref="I317" authorId="6">
      <text>
        <r>
          <rPr>
            <sz val="12"/>
            <color rgb="FF000000"/>
            <rFont val="Calibri"/>
          </rPr>
          <t xml:space="preserve">Jonathan Choi:
Actual collection of shells. 10x10m sampling area
</t>
        </r>
      </text>
    </comment>
    <comment ref="J317" authorId="6">
      <text>
        <r>
          <rPr>
            <sz val="12"/>
            <color rgb="FF000000"/>
            <rFont val="Calibri"/>
          </rPr>
          <t>Jonathan Choi:
The 1967 sampling was described as being in an area 7x8 km, but I assume the actual area sampled was similar.</t>
        </r>
      </text>
    </comment>
    <comment ref="M317" authorId="6">
      <text>
        <r>
          <rPr>
            <sz val="12"/>
            <color rgb="FF000000"/>
            <rFont val="Calibri"/>
          </rPr>
          <t>Jonathan Choi:
Assume it took 1 hour to sample each 10x10 area</t>
        </r>
      </text>
    </comment>
    <comment ref="N317" authorId="6">
      <text>
        <r>
          <rPr>
            <sz val="12"/>
            <color rgb="FF000000"/>
            <rFont val="Calibri"/>
          </rPr>
          <t xml:space="preserve">Jonathan Choi:
They sampled once in 1967 and again in 2010.
</t>
        </r>
      </text>
    </comment>
    <comment ref="O317" authorId="6">
      <text>
        <r>
          <rPr>
            <sz val="12"/>
            <color rgb="FF000000"/>
            <rFont val="Calibri"/>
          </rPr>
          <t>Jonathan Choi:
Assume that they sampled the sdame number of sites twice. Once uin 1967, again in 2010.</t>
        </r>
      </text>
    </comment>
    <comment ref="P317" authorId="6">
      <text>
        <r>
          <rPr>
            <sz val="12"/>
            <color rgb="FF000000"/>
            <rFont val="Calibri"/>
          </rPr>
          <t xml:space="preserve">Jonathan Choi:
They sampled once in 1967 and again in 2010.
</t>
        </r>
      </text>
    </comment>
    <comment ref="I318" authorId="6">
      <text>
        <r>
          <rPr>
            <sz val="12"/>
            <color rgb="FF000000"/>
            <rFont val="Calibri"/>
          </rPr>
          <t>Jonathan Choi:
Scoring for color. Assume 2 cm long, 1 cm wide</t>
        </r>
      </text>
    </comment>
    <comment ref="J318" authorId="6">
      <text>
        <r>
          <rPr>
            <sz val="12"/>
            <color rgb="FF000000"/>
            <rFont val="Calibri"/>
          </rPr>
          <t xml:space="preserve">Jonathan Choi:
2722 in 2010 and the rest are from the 1967 archives
TT: What we are interested in is the average change in color of the shells, so I've divided by 2. Otherwise time between samples and eff_dur don't make sense.
</t>
        </r>
      </text>
    </comment>
    <comment ref="M318" authorId="6">
      <text>
        <r>
          <rPr>
            <sz val="12"/>
            <color rgb="FF000000"/>
            <rFont val="Calibri"/>
          </rPr>
          <t>Jonathan Choi:
Assume it took 1 minute per snail</t>
        </r>
      </text>
    </comment>
    <comment ref="N318" authorId="6">
      <text>
        <r>
          <rPr>
            <sz val="12"/>
            <color rgb="FF000000"/>
            <rFont val="Calibri"/>
          </rPr>
          <t xml:space="preserve">Jonathan Choi:
They sampled once in 1967 and again in 2010.
</t>
        </r>
      </text>
    </comment>
    <comment ref="O318" authorId="6">
      <text>
        <r>
          <rPr>
            <sz val="12"/>
            <color rgb="FF000000"/>
            <rFont val="Calibri"/>
          </rPr>
          <t>Jonathan Choi:
Assume it took 1 minute per snail. No repeat sampling.</t>
        </r>
      </text>
    </comment>
    <comment ref="P318" authorId="6">
      <text>
        <r>
          <rPr>
            <sz val="12"/>
            <color rgb="FF000000"/>
            <rFont val="Calibri"/>
          </rPr>
          <t xml:space="preserve">Jonathan Choi:
They sampled once in 1967 and again in 2010.
</t>
        </r>
      </text>
    </comment>
    <comment ref="S318" authorId="6">
      <text>
        <r>
          <rPr>
            <sz val="12"/>
            <color rgb="FF000000"/>
            <rFont val="Calibri"/>
          </rPr>
          <t>Jonathan Choi:
We're saying that color is a functional trait of the snails</t>
        </r>
      </text>
    </comment>
    <comment ref="I319" authorId="6">
      <text>
        <r>
          <rPr>
            <sz val="12"/>
            <color rgb="FF000000"/>
            <rFont val="Calibri"/>
          </rPr>
          <t>Jonathan Choi:
habitat change with aerial photos. Randomly guess, 5km * 5km 
LDE: aerial photos typically have resolution of a few centimeters. I call it 10 cm in this case</t>
        </r>
      </text>
    </comment>
    <comment ref="J319" authorId="6">
      <text>
        <r>
          <rPr>
            <sz val="12"/>
            <color rgb="FF000000"/>
            <rFont val="Calibri"/>
          </rPr>
          <t>Lyndon Estes:
Estimating 100 X 100 m around each of 16 sites, to back out N pixels</t>
        </r>
      </text>
    </comment>
    <comment ref="M319" authorId="6">
      <text>
        <r>
          <rPr>
            <sz val="12"/>
            <color rgb="FF000000"/>
            <rFont val="Calibri"/>
          </rPr>
          <t>Jonathan Choi:
Assume it took 5 hours to do the full fly over
LDE: instantaneous from the pixel perspective</t>
        </r>
      </text>
    </comment>
    <comment ref="N319" authorId="6">
      <text>
        <r>
          <rPr>
            <sz val="12"/>
            <color rgb="FF000000"/>
            <rFont val="Calibri"/>
          </rPr>
          <t>Jonathan Choi:
They sampled once in 1968 and again in 2010.
LDE: actual aerial photos collected in 2005 and 1968</t>
        </r>
      </text>
    </comment>
    <comment ref="P319" authorId="6">
      <text>
        <r>
          <rPr>
            <sz val="12"/>
            <color rgb="FF000000"/>
            <rFont val="Calibri"/>
          </rPr>
          <t xml:space="preserve">Jonathan Choi:
They sampled once in 1968 and again in 2010.
</t>
        </r>
      </text>
    </comment>
    <comment ref="I320" authorId="6">
      <text>
        <r>
          <rPr>
            <sz val="12"/>
            <color rgb="FF000000"/>
            <rFont val="Calibri"/>
          </rPr>
          <t>Jonathan Choi:
Weather station. 10 cm by 10cm sensor?</t>
        </r>
      </text>
    </comment>
    <comment ref="M320" authorId="6">
      <text>
        <r>
          <rPr>
            <sz val="12"/>
            <color rgb="FF000000"/>
            <rFont val="Calibri"/>
          </rPr>
          <t>Jonathan Choi:
1 second for measurement to occur
Daily temperature values are actually integral measures of the whole day</t>
        </r>
      </text>
    </comment>
    <comment ref="N320" authorId="6">
      <text>
        <r>
          <rPr>
            <sz val="12"/>
            <color rgb="FF000000"/>
            <rFont val="Calibri"/>
          </rPr>
          <t>Jonathan Choi:
Assume it was actually once a day (based in 1968 tech?)</t>
        </r>
      </text>
    </comment>
    <comment ref="P320" authorId="6">
      <text>
        <r>
          <rPr>
            <sz val="12"/>
            <color rgb="FF000000"/>
            <rFont val="Calibri"/>
          </rPr>
          <t xml:space="preserve">Jonathan Choi:
They sampled once in 1967 and again in 2010.
</t>
        </r>
      </text>
    </comment>
    <comment ref="I321" authorId="6">
      <text>
        <r>
          <rPr>
            <sz val="12"/>
            <color rgb="FF000000"/>
            <rFont val="Calibri"/>
          </rPr>
          <t>Jonathan Choi:
5cm diameter auger? This is approx. This is the only field collection done - all of the lab test were based on this sample.</t>
        </r>
      </text>
    </comment>
    <comment ref="J321" authorId="6">
      <text>
        <r>
          <rPr>
            <sz val="12"/>
            <color rgb="FF000000"/>
            <rFont val="Calibri"/>
          </rPr>
          <t>Jonathan Choi:
23 samples collected</t>
        </r>
      </text>
    </comment>
    <comment ref="K321" authorId="6">
      <text>
        <r>
          <rPr>
            <sz val="12"/>
            <color rgb="FF000000"/>
            <rFont val="Calibri"/>
          </rPr>
          <t>used GPS points from SI. Just a single point was from Southern Sweden in a different habitat type, so just used MCP of remaining 6 sites.
	-Tim Treuer</t>
        </r>
      </text>
    </comment>
    <comment ref="M321" authorId="6">
      <text>
        <r>
          <rPr>
            <sz val="12"/>
            <color rgb="FF000000"/>
            <rFont val="Calibri"/>
          </rPr>
          <t xml:space="preserve">Jonathan Choi:
We'll say 30 min to take the sample because augers can be hard to use in peat soils
</t>
        </r>
      </text>
    </comment>
    <comment ref="N321" authorId="6">
      <text>
        <r>
          <rPr>
            <sz val="12"/>
            <color rgb="FF000000"/>
            <rFont val="Calibri"/>
          </rPr>
          <t>Jonathan Choi:
Assume that each site was only sampled once. No indication otherwise.</t>
        </r>
      </text>
    </comment>
    <comment ref="O321" authorId="6">
      <text>
        <r>
          <rPr>
            <sz val="12"/>
            <color rgb="FF000000"/>
            <rFont val="Calibri"/>
          </rPr>
          <t xml:space="preserve">No repeat obs
</t>
        </r>
      </text>
    </comment>
    <comment ref="P321" authorId="6">
      <text>
        <r>
          <rPr>
            <sz val="12"/>
            <color rgb="FF000000"/>
            <rFont val="Calibri"/>
          </rPr>
          <t xml:space="preserve">Jonathan Choi:
All the sampling was done in one day?
TT: unrepeated sampling, eff_dur = act_dur
</t>
        </r>
      </text>
    </comment>
    <comment ref="I322" authorId="6">
      <text>
        <r>
          <rPr>
            <sz val="12"/>
            <color rgb="FF000000"/>
            <rFont val="Calibri"/>
          </rPr>
          <t>Jonathan Choi:
size of individual animal. Estimated.</t>
        </r>
      </text>
    </comment>
    <comment ref="J322" authorId="6">
      <text>
        <r>
          <rPr>
            <sz val="12"/>
            <color rgb="FF000000"/>
            <rFont val="Calibri"/>
          </rPr>
          <t>Jonathan Choi:
Use baseline populations</t>
        </r>
      </text>
    </comment>
    <comment ref="M322" authorId="6">
      <text>
        <r>
          <rPr>
            <sz val="12"/>
            <color rgb="FF000000"/>
            <rFont val="Calibri"/>
          </rPr>
          <t xml:space="preserve">Jonathan Choi:
Assume it takes 5, 8 hour days to get enough visual estimates to create this age structured model
TT: The duration of the sample should be start to finish of the sample period in my opinion. </t>
        </r>
      </text>
    </comment>
    <comment ref="N322" authorId="6">
      <text>
        <r>
          <rPr>
            <sz val="12"/>
            <color rgb="FF000000"/>
            <rFont val="Calibri"/>
          </rPr>
          <t>Jonathan Choi:
annual survey</t>
        </r>
      </text>
    </comment>
    <comment ref="O322" authorId="6">
      <text>
        <r>
          <rPr>
            <sz val="12"/>
            <color rgb="FF000000"/>
            <rFont val="Calibri"/>
          </rPr>
          <t>Jonathan Choi:
study for 14 years.</t>
        </r>
      </text>
    </comment>
    <comment ref="P322" authorId="6">
      <text>
        <r>
          <rPr>
            <sz val="12"/>
            <color rgb="FF000000"/>
            <rFont val="Calibri"/>
          </rPr>
          <t xml:space="preserve">Jonathan Choi:
Variable length study depending on where the survey occurred. </t>
        </r>
      </text>
    </comment>
    <comment ref="I323" authorId="6">
      <text>
        <r>
          <rPr>
            <sz val="12"/>
            <color rgb="FF000000"/>
            <rFont val="Calibri"/>
          </rPr>
          <t>Jonathan Choi:
4 satellite images. No exact size of area was given, so estimate the size of "Chorotega region" as roughly equivalent to size of Guanacaste province
LDE: taking average estimated resolution of 4 datasets used--army one (old, reckon 10 m resolution), Landsat MSS (60 m)</t>
        </r>
      </text>
    </comment>
    <comment ref="J323" authorId="6">
      <text>
        <r>
          <rPr>
            <sz val="12"/>
            <color rgb="FF000000"/>
            <rFont val="Calibri"/>
          </rPr>
          <t>Jonathan Choi:
One site that was sampled approx 4 times. They don't provide enough info on the army flights that were conducted between 1955 and 1965.
LDE: Chorotega region of CR is reported to be 11721 km2, so backing out n_sites (pixels) from that area (in m2) and plot_res</t>
        </r>
      </text>
    </comment>
    <comment ref="M323" authorId="6">
      <text>
        <r>
          <rPr>
            <sz val="12"/>
            <color rgb="FF000000"/>
            <rFont val="Calibri"/>
          </rPr>
          <t>Jonathan Choi:
Assume it took 2 hours for either all the aerial photos to be taken or for the satellites to be moved into place to take photos
LDE: remote sensing is instantaneous</t>
        </r>
      </text>
    </comment>
    <comment ref="N323" authorId="6">
      <text>
        <r>
          <rPr>
            <sz val="12"/>
            <color rgb="FF000000"/>
            <rFont val="Calibri"/>
          </rPr>
          <t>Jonathan Choi:
Took all of the years of the different images and averaged the amount of time elapsed between different photos</t>
        </r>
      </text>
    </comment>
    <comment ref="P323" authorId="6">
      <text>
        <r>
          <rPr>
            <sz val="12"/>
            <color rgb="FF000000"/>
            <rFont val="Calibri"/>
          </rPr>
          <t>Jonathan Choi:
4 images between 1960 and 2000</t>
        </r>
      </text>
    </comment>
    <comment ref="I324" authorId="6">
      <text>
        <r>
          <rPr>
            <sz val="12"/>
            <color rgb="FF000000"/>
            <rFont val="Calibri"/>
          </rPr>
          <t xml:space="preserve">Jonathan Choi:
Used 24 12L bottles per sampling site. Say roughly each 12L bottle is equivalent to a 25m^2 area?
</t>
        </r>
      </text>
    </comment>
    <comment ref="K324" authorId="6">
      <text>
        <r>
          <rPr>
            <sz val="12"/>
            <color rgb="FF000000"/>
            <rFont val="Calibri"/>
          </rPr>
          <t>MCP of sites sampled during cruise minus land area.
	-Tim Treuer</t>
        </r>
      </text>
    </comment>
    <comment ref="M324" authorId="6">
      <text>
        <r>
          <rPr>
            <sz val="12"/>
            <color rgb="FF000000"/>
            <rFont val="Calibri"/>
          </rPr>
          <t>Jonathan Choi:
assume 1 hour to drop all 24 12 L bottles, fill them, and hbaul them back up</t>
        </r>
      </text>
    </comment>
    <comment ref="N324" authorId="6">
      <text>
        <r>
          <rPr>
            <sz val="12"/>
            <color rgb="FF000000"/>
            <rFont val="Calibri"/>
          </rPr>
          <t>Jonathan Choi:
There were 10 samples used in the analysis across a roughly 60 day period, but it wasn't resample, so list as 0</t>
        </r>
      </text>
    </comment>
    <comment ref="O324" authorId="6">
      <text>
        <r>
          <rPr>
            <sz val="12"/>
            <color rgb="FF000000"/>
            <rFont val="Calibri"/>
          </rPr>
          <t>Jonathan Choi:
No resample, so it's just the samp_duration</t>
        </r>
      </text>
    </comment>
    <comment ref="P324" authorId="6">
      <text>
        <r>
          <rPr>
            <sz val="12"/>
            <color rgb="FF000000"/>
            <rFont val="Calibri"/>
          </rPr>
          <t xml:space="preserve">Jonathan Choi:
Cruise was june-july 2008
TT: now eff_dur = act_dur for unrepeated sampling
</t>
        </r>
      </text>
    </comment>
    <comment ref="Q324" authorId="6">
      <text>
        <r>
          <rPr>
            <sz val="12"/>
            <color rgb="FF000000"/>
            <rFont val="Calibri"/>
          </rPr>
          <t>Jonathan Choi:
did a fairly rigorous analysis for species</t>
        </r>
      </text>
    </comment>
    <comment ref="R324" authorId="6">
      <text>
        <r>
          <rPr>
            <sz val="12"/>
            <color rgb="FF000000"/>
            <rFont val="Calibri"/>
          </rPr>
          <t>Jonathan Choi:
used various instruments to get a conductivity, depth, temperature, and flourescence</t>
        </r>
      </text>
    </comment>
    <comment ref="S324" authorId="6">
      <text>
        <r>
          <rPr>
            <sz val="12"/>
            <color rgb="FF000000"/>
            <rFont val="Calibri"/>
          </rPr>
          <t>Jonathan Choi:
looked at predator/prey rltns</t>
        </r>
      </text>
    </comment>
    <comment ref="I325" authorId="6">
      <text>
        <r>
          <rPr>
            <sz val="12"/>
            <color rgb="FF000000"/>
            <rFont val="Calibri"/>
          </rPr>
          <t xml:space="preserve">Jonathan Choi:
Mesh tow. Looked at images, estimate about 1 m2
TT: I feel like this should be the area of the tow, not just the area of the net. I haven't changed though. They towed for an hour, so I'm tentatively changing this to 7km*1m (average tow speed according to one online source was 3-11km/hr)
</t>
        </r>
      </text>
    </comment>
    <comment ref="J325" authorId="6">
      <text>
        <r>
          <rPr>
            <sz val="12"/>
            <color rgb="FF000000"/>
            <rFont val="Calibri"/>
          </rPr>
          <t>Jonathan Choi:
only net sampled at 3 locations</t>
        </r>
      </text>
    </comment>
    <comment ref="M325" authorId="6">
      <text>
        <r>
          <rPr>
            <sz val="12"/>
            <color rgb="FF000000"/>
            <rFont val="Calibri"/>
          </rPr>
          <t>Jonathan Choi:
No discussion of how long the plankton nets were out for. Assume 1 hour?</t>
        </r>
      </text>
    </comment>
    <comment ref="N325" authorId="6">
      <text>
        <r>
          <rPr>
            <sz val="12"/>
            <color rgb="FF000000"/>
            <rFont val="Calibri"/>
          </rPr>
          <t>tows were unreplicated
	-Tim Treuer</t>
        </r>
      </text>
    </comment>
    <comment ref="I326" authorId="6">
      <text>
        <r>
          <rPr>
            <sz val="12"/>
            <color rgb="FF000000"/>
            <rFont val="Calibri"/>
          </rPr>
          <t>Jonathan Choi:
microscopy to determine actual parasitism. Rough estimate for 1/3 of a microscope slide</t>
        </r>
      </text>
    </comment>
    <comment ref="J326" authorId="6">
      <text>
        <r>
          <rPr>
            <sz val="12"/>
            <color rgb="FF000000"/>
            <rFont val="Calibri"/>
          </rPr>
          <t xml:space="preserve">Jonathan Choi:
Sampled 20 random microscope fields for 106 samples. Not sure if this should actually be number of cells counted, but this seems like a more conservative estimate anyway for what we're trying to answer. 
</t>
        </r>
      </text>
    </comment>
    <comment ref="M326" authorId="6">
      <text>
        <r>
          <rPr>
            <sz val="12"/>
            <color rgb="FF000000"/>
            <rFont val="Calibri"/>
          </rPr>
          <t>Jonathan Choi:
five minutes to look at each field?</t>
        </r>
      </text>
    </comment>
    <comment ref="N326" authorId="6">
      <text>
        <r>
          <rPr>
            <sz val="12"/>
            <color rgb="FF000000"/>
            <rFont val="Calibri"/>
          </rPr>
          <t>Jonathan Choi:
They didn't resample the microscope fields again</t>
        </r>
      </text>
    </comment>
    <comment ref="O326" authorId="6">
      <text>
        <r>
          <rPr>
            <sz val="12"/>
            <color rgb="FF000000"/>
            <rFont val="Calibri"/>
          </rPr>
          <t>Jonathan Choi:
Each microscope field we'll guess took 5 minutes and they did 20 of them per sample
LDE: set equal to samp_duration</t>
        </r>
      </text>
    </comment>
    <comment ref="I327" authorId="6">
      <text>
        <r>
          <rPr>
            <sz val="12"/>
            <color rgb="FF000000"/>
            <rFont val="Calibri"/>
          </rPr>
          <t xml:space="preserve">Jonathan Choi:
one nest box. </t>
        </r>
      </text>
    </comment>
    <comment ref="K327" authorId="6">
      <text>
        <r>
          <rPr>
            <sz val="12"/>
            <color rgb="FF000000"/>
            <rFont val="Calibri"/>
          </rPr>
          <t>Area of Pilis Mountains. Not clear what parts of the range had nest boxes
	-Tim Treuer</t>
        </r>
      </text>
    </comment>
    <comment ref="M327" authorId="6">
      <text>
        <r>
          <rPr>
            <sz val="12"/>
            <color rgb="FF000000"/>
            <rFont val="Calibri"/>
          </rPr>
          <t xml:space="preserve">Jonathan Choi:
Assume 15 min per nest box to get there, check, and band
</t>
        </r>
      </text>
    </comment>
    <comment ref="N327" authorId="6">
      <text>
        <r>
          <rPr>
            <sz val="12"/>
            <color rgb="FF000000"/>
            <rFont val="Calibri"/>
          </rPr>
          <t xml:space="preserve">Jonathan Choi:
Surveyed multiple times per week during breeding season. 
</t>
        </r>
      </text>
    </comment>
    <comment ref="O327" authorId="6">
      <text>
        <r>
          <rPr>
            <sz val="12"/>
            <color rgb="FF000000"/>
            <rFont val="Calibri"/>
          </rPr>
          <t>Jonathan Choi:
samp duration * 24 visits per year (see t_btwn_samp note) * 17 years</t>
        </r>
      </text>
    </comment>
    <comment ref="P327" authorId="6">
      <text>
        <r>
          <rPr>
            <sz val="12"/>
            <color rgb="FF000000"/>
            <rFont val="Calibri"/>
          </rPr>
          <t>Jonathan Choi:
17 year study</t>
        </r>
      </text>
    </comment>
    <comment ref="R327" authorId="6">
      <text>
        <r>
          <rPr>
            <sz val="12"/>
            <color rgb="FF000000"/>
            <rFont val="Calibri"/>
          </rPr>
          <t>Jonathan Choi:
Not very easy to classify - multigenerational demography seems to matter more than a single species demography.</t>
        </r>
      </text>
    </comment>
    <comment ref="I328" authorId="6">
      <text>
        <r>
          <rPr>
            <sz val="12"/>
            <color rgb="FF000000"/>
            <rFont val="Calibri"/>
          </rPr>
          <t xml:space="preserve">Jonathan Choi:
Male forehead patch measurement. 3cm by 1cm?
</t>
        </r>
      </text>
    </comment>
    <comment ref="J328" authorId="6">
      <text>
        <r>
          <rPr>
            <sz val="12"/>
            <color rgb="FF000000"/>
            <rFont val="Calibri"/>
          </rPr>
          <t>Jonathan Choi:
Says they have data from 683 males, presumably measured multiple times? 
TT: they said they only used data from 95.9% of males.</t>
        </r>
      </text>
    </comment>
    <comment ref="M328" authorId="6">
      <text>
        <r>
          <rPr>
            <sz val="12"/>
            <color rgb="FF000000"/>
            <rFont val="Calibri"/>
          </rPr>
          <t>Jonathan Choi:
5 minutes per animal?</t>
        </r>
      </text>
    </comment>
    <comment ref="N328" authorId="6">
      <text>
        <r>
          <rPr>
            <sz val="12"/>
            <color rgb="FF000000"/>
            <rFont val="Calibri"/>
          </rPr>
          <t xml:space="preserve">Jonathan Choi:
Surveyed multiple times per week during breeding season. 
TT: only used one measurement per male in the analysis.
</t>
        </r>
      </text>
    </comment>
    <comment ref="P328" authorId="6">
      <text>
        <r>
          <rPr>
            <sz val="12"/>
            <color rgb="FF000000"/>
            <rFont val="Calibri"/>
          </rPr>
          <t>Only one measurement per male was used. Eff_dur = act_dur
	-Tim Treuer</t>
        </r>
      </text>
    </comment>
    <comment ref="V328" authorId="6">
      <text>
        <r>
          <rPr>
            <sz val="12"/>
            <color rgb="FF000000"/>
            <rFont val="Calibri"/>
          </rPr>
          <t>Jonathan Choi:
In general this study is tricky.</t>
        </r>
      </text>
    </comment>
    <comment ref="H329" authorId="6">
      <text>
        <r>
          <rPr>
            <sz val="12"/>
            <color rgb="FF000000"/>
            <rFont val="Calibri"/>
          </rPr>
          <t>I deleted the second entry for this paper because it seemed to violate our inclusion criteria.
	-Tim Treuer</t>
        </r>
      </text>
    </comment>
    <comment ref="I329" authorId="6">
      <text>
        <r>
          <rPr>
            <sz val="12"/>
            <color rgb="FF000000"/>
            <rFont val="Calibri"/>
          </rPr>
          <t xml:space="preserve">Jonathan Choi:
Used either gillnets or longlines. Guesttimate at being 10*20 area for net, dragged for 2km. I worry that this is an underestimate.
TT: This multiplication would give a volume. I replaced this estimate with the reported area of the nets (which were stationary gill nets).
</t>
        </r>
      </text>
    </comment>
    <comment ref="J329" authorId="6">
      <text>
        <r>
          <rPr>
            <sz val="12"/>
            <color rgb="FF000000"/>
            <rFont val="Calibri"/>
          </rPr>
          <t>Jonathan Choi:
66 trips observed.</t>
        </r>
      </text>
    </comment>
    <comment ref="M329" authorId="6">
      <text>
        <r>
          <rPr>
            <sz val="12"/>
            <color rgb="FF000000"/>
            <rFont val="Calibri"/>
          </rPr>
          <t xml:space="preserve">Jonathan Choi:
Each fishing trip was around 6.65 days on average. Assume monitoring occurred for 8 waking hours. This is probably an understimate.
TT: if the resolution is based on the net set, the samp_dur should be the duration of a set, and eff_duration should be based on a single fishing excursion. There are a lot of ways to cut this study though. Assumed 12 hours per net set.
</t>
        </r>
      </text>
    </comment>
    <comment ref="N329" authorId="6">
      <text>
        <r>
          <rPr>
            <sz val="12"/>
            <color rgb="FF000000"/>
            <rFont val="Calibri"/>
          </rPr>
          <t xml:space="preserve">Jonathan Choi:
29 months / 66 trips. Produce average time assuming all trips were evenly spaced. Probably less clustered than reality.
TT: amount of time set -total time per trip divided by number sets.
</t>
        </r>
      </text>
    </comment>
    <comment ref="P329" authorId="6">
      <text>
        <r>
          <rPr>
            <sz val="12"/>
            <color rgb="FF000000"/>
            <rFont val="Calibri"/>
          </rPr>
          <t xml:space="preserve">Jonathan Choi:
29 month study
</t>
        </r>
      </text>
    </comment>
    <comment ref="H330" authorId="6">
      <text>
        <r>
          <rPr>
            <sz val="12"/>
            <color rgb="FF000000"/>
            <rFont val="Calibri"/>
          </rPr>
          <t>I replaced the second entry of this paper because the original did not fit our inclusion criteria. The second study now is the longline data (previous entry modified to include only gill net results).
	-Tim Treuer</t>
        </r>
      </text>
    </comment>
    <comment ref="I330" authorId="6">
      <text>
        <r>
          <rPr>
            <sz val="12"/>
            <color rgb="FF000000"/>
            <rFont val="Calibri"/>
          </rPr>
          <t xml:space="preserve">
TT: Longlines: average line 500m long, for 1000 hooks on a boat, estimated 30km of lateral distance between parallel lines. based on FAO longline literature.</t>
        </r>
      </text>
    </comment>
    <comment ref="J330" authorId="6">
      <text>
        <r>
          <rPr>
            <sz val="12"/>
            <color rgb="FF000000"/>
            <rFont val="Calibri"/>
          </rPr>
          <t>Jonathan Choi:
66 trips observed.</t>
        </r>
      </text>
    </comment>
    <comment ref="M330" authorId="6">
      <text>
        <r>
          <rPr>
            <sz val="12"/>
            <color rgb="FF000000"/>
            <rFont val="Calibri"/>
          </rPr>
          <t xml:space="preserve">Jonathan Choi:
Each fishing trip was around 6.65 days on average. Assume monitoring occurred for 8 waking hours. This is probably an understimate.
TT: if the resolution is based on the net set, the samp_dur should be the duration of a set, and eff_duration should be based on a single fishing excursion. There are a lot of ways to cut this study though. Assumed 8 hours per set.
</t>
        </r>
      </text>
    </comment>
    <comment ref="N330" authorId="6">
      <text>
        <r>
          <rPr>
            <sz val="12"/>
            <color rgb="FF000000"/>
            <rFont val="Calibri"/>
          </rPr>
          <t xml:space="preserve">Jonathan Choi:
29 months / 66 trips. Produce average time assuming all trips were evenly spaced. Probably less clustered than reality.
TT: fixed as above.
</t>
        </r>
      </text>
    </comment>
    <comment ref="P330" authorId="6">
      <text>
        <r>
          <rPr>
            <sz val="12"/>
            <color rgb="FF000000"/>
            <rFont val="Calibri"/>
          </rPr>
          <t>Jonathan Choi:
29 month study
TT: average duration of longline voyage.</t>
        </r>
      </text>
    </comment>
    <comment ref="I331" authorId="6">
      <text>
        <r>
          <rPr>
            <sz val="12"/>
            <color rgb="FF000000"/>
            <rFont val="Calibri"/>
          </rPr>
          <t>Jonathan Choi:
Interpolation of growing season data. From a different study; unavailable electronically from Princeton. Assume each monitoring site captured the area within 1m^2 of it directly.
LDE: assume temp gauge pretty small</t>
        </r>
      </text>
    </comment>
    <comment ref="J331" authorId="6">
      <text>
        <r>
          <rPr>
            <sz val="12"/>
            <color rgb="FF000000"/>
            <rFont val="Calibri"/>
          </rPr>
          <t>Jonathan Choi:
Assume there are 500 stations??
LDE: retrieved from supplemental paper</t>
        </r>
      </text>
    </comment>
    <comment ref="K331" authorId="6">
      <text>
        <r>
          <rPr>
            <sz val="12"/>
            <color rgb="FF000000"/>
            <rFont val="Calibri"/>
          </rPr>
          <t>area of Finland
	-Tim Treuer</t>
        </r>
      </text>
    </comment>
    <comment ref="M331" authorId="6">
      <text>
        <r>
          <rPr>
            <sz val="12"/>
            <color rgb="FF000000"/>
            <rFont val="Calibri"/>
          </rPr>
          <t xml:space="preserve">Jonathan Choi:
assume 1 second to take measurement.
LDE: treat weather as an integral. In this case they calculated annual GDD
</t>
        </r>
      </text>
    </comment>
    <comment ref="N331" authorId="6">
      <text>
        <r>
          <rPr>
            <sz val="12"/>
            <color rgb="FF000000"/>
            <rFont val="Calibri"/>
          </rPr>
          <t>Jonathan Choi:
assume sampling everyday</t>
        </r>
      </text>
    </comment>
    <comment ref="O331" authorId="6">
      <text>
        <r>
          <rPr>
            <sz val="12"/>
            <color rgb="FF000000"/>
            <rFont val="Calibri"/>
          </rPr>
          <t>Jonathan Choi:
data collection for 10 years.</t>
        </r>
      </text>
    </comment>
    <comment ref="P331" authorId="6">
      <text>
        <r>
          <rPr>
            <sz val="12"/>
            <color rgb="FF000000"/>
            <rFont val="Calibri"/>
          </rPr>
          <t xml:space="preserve">Jonathan Choi:
10 year study, with 3 years in between 5year periods. </t>
        </r>
      </text>
    </comment>
    <comment ref="H332" authorId="6">
      <text>
        <r>
          <rPr>
            <sz val="12"/>
            <color rgb="FF000000"/>
            <rFont val="Calibri"/>
          </rPr>
          <t xml:space="preserve">Jonathan Choi:
Survey methodology found in other paper
</t>
        </r>
      </text>
    </comment>
    <comment ref="I332" authorId="6">
      <text>
        <r>
          <rPr>
            <sz val="12"/>
            <color rgb="FF000000"/>
            <rFont val="Calibri"/>
          </rPr>
          <t>Jonathan Choi:
10km^2 quadrats.
LDE: this one is complicaetd. I figure there is no way each 10X10 km plot was searched.  So I went into the paper for the data source and estimated the number of sampling days per grid cell, how many hectares likely to be sampled a day (very roughly based on walking time, the task itself, etc), multipled those, averaged across years (calcs in other sheet)</t>
        </r>
      </text>
    </comment>
    <comment ref="J332" authorId="6">
      <text>
        <r>
          <rPr>
            <sz val="12"/>
            <color rgb="FF000000"/>
            <rFont val="Calibri"/>
          </rPr>
          <t>Jonathan Choi:
Average number of quadrats sampled per year
LDE: Did for full record for 1991-2000 study (supplemental study)</t>
        </r>
      </text>
    </comment>
    <comment ref="M332" authorId="6">
      <text>
        <r>
          <rPr>
            <sz val="12"/>
            <color rgb="FF000000"/>
            <rFont val="Calibri"/>
          </rPr>
          <t>Jonathan Choi:
10 days, 2 hrs per day, I believe in quick succession per year. I counted this as one observation each.</t>
        </r>
      </text>
    </comment>
    <comment ref="N332" authorId="6">
      <text>
        <r>
          <rPr>
            <sz val="12"/>
            <color rgb="FF000000"/>
            <rFont val="Calibri"/>
          </rPr>
          <t>Jonathan Choi:
Annual surveys</t>
        </r>
      </text>
    </comment>
    <comment ref="O332" authorId="6">
      <text>
        <r>
          <rPr>
            <sz val="12"/>
            <color rgb="FF000000"/>
            <rFont val="Calibri"/>
          </rPr>
          <t>Jonathan Choi:
So it's 20 hrs per year, for 10 years of obs, for on average 239 sites
LDE: removed grid cell from calculation, because that is confusing spatial with temporal replication</t>
        </r>
      </text>
    </comment>
    <comment ref="Q332" authorId="6">
      <text>
        <r>
          <rPr>
            <sz val="12"/>
            <color rgb="FF000000"/>
            <rFont val="Calibri"/>
          </rPr>
          <t xml:space="preserve">Jonathan Choi:
Basic survey for all Lepidopterans in a quadrat
</t>
        </r>
      </text>
    </comment>
    <comment ref="I333" authorId="6">
      <text>
        <r>
          <rPr>
            <sz val="12"/>
            <color rgb="FF000000"/>
            <rFont val="Calibri"/>
          </rPr>
          <t>Jonathan Choi:
1km diameter plots
LDE: they digitied on aerial photos, so assuming 20 cm resolution on those</t>
        </r>
      </text>
    </comment>
    <comment ref="J333" authorId="6">
      <text>
        <r>
          <rPr>
            <sz val="12"/>
            <color rgb="FF000000"/>
            <rFont val="Calibri"/>
          </rPr>
          <t>Lyndon Estes:
The plots were at least 500 m rradius, so calculated area, multiplied by 13, divided by resolution (assumed) to get n pixels</t>
        </r>
      </text>
    </comment>
    <comment ref="K333" authorId="6">
      <text>
        <r>
          <rPr>
            <sz val="12"/>
            <color rgb="FF000000"/>
            <rFont val="Calibri"/>
          </rPr>
          <t>text indicated Eastern half of Jotunheimen mountainous region, which has a total area of ~3500 km^2
	-Tim Treuer</t>
        </r>
      </text>
    </comment>
    <comment ref="M333" authorId="6">
      <text>
        <r>
          <rPr>
            <sz val="12"/>
            <color rgb="FF000000"/>
            <rFont val="Calibri"/>
          </rPr>
          <t>Jonathan Choi:
Assume it took 8 hours to either take aerial photos or to position satelite
LDE: instantaneous at level of pixel, which is the plot-resolution</t>
        </r>
      </text>
    </comment>
    <comment ref="N333" authorId="6">
      <text>
        <r>
          <rPr>
            <sz val="12"/>
            <color rgb="FF000000"/>
            <rFont val="Calibri"/>
          </rPr>
          <t xml:space="preserve">Jonathan Choi:
Compared photos and grazing pressure from 1960s to 2002.
</t>
        </r>
      </text>
    </comment>
    <comment ref="P333" authorId="6">
      <text>
        <r>
          <rPr>
            <sz val="12"/>
            <color rgb="FF000000"/>
            <rFont val="Calibri"/>
          </rPr>
          <t>Jonathan Choi:
Assume 1960-2002</t>
        </r>
      </text>
    </comment>
    <comment ref="H334" authorId="6">
      <text>
        <r>
          <rPr>
            <sz val="12"/>
            <color rgb="FF000000"/>
            <rFont val="Calibri"/>
          </rPr>
          <t xml:space="preserve">Jonathan Choi:
Treating individual birds as a sample. Study took blood sample, tagged, took length of tail feathers, massed, weighed.
</t>
        </r>
      </text>
    </comment>
    <comment ref="I334" authorId="6">
      <text>
        <r>
          <rPr>
            <sz val="12"/>
            <color rgb="FF000000"/>
            <rFont val="Calibri"/>
          </rPr>
          <t xml:space="preserve">Jonathan Choi:
Guess at the body size of a barn swallow
</t>
        </r>
      </text>
    </comment>
    <comment ref="J334" authorId="6">
      <text>
        <r>
          <rPr>
            <sz val="12"/>
            <color rgb="FF000000"/>
            <rFont val="Calibri"/>
          </rPr>
          <t>Jonathan Choi:
These were caught the first time and sampled intensively</t>
        </r>
      </text>
    </comment>
    <comment ref="K334" authorId="6">
      <text>
        <r>
          <rPr>
            <sz val="12"/>
            <color rgb="FF000000"/>
            <rFont val="Calibri"/>
          </rPr>
          <t>four ways to calculate eff_extent for this study: (1) area of three barns that were sampled (habitat between barns if fundamentally different that barn habitat), which on VT campus have an average area of .1 ha each; (2) MCP of a three barns 'within a radius of 1km' (as per text), which assuming the barns are randomly positioned along the perimeter of circle with radius 1km, has an expected area of .232101 km^2 (a fun math problem that I googled the answer to); (3) maximum possible area between barns based on text (equilateral triangle inscribed within a circle radius 1km); (4) number of barn swallows sampled times the estimated density of barn-living barn swallows at VT based on number of barns*avg. number of swallows per barn. I went with option 1 since it seemed the most correct since they were sampling *nesting swallows*.
	-Tim Treuer</t>
        </r>
      </text>
    </comment>
    <comment ref="M334" authorId="6">
      <text>
        <r>
          <rPr>
            <sz val="12"/>
            <color rgb="FF000000"/>
            <rFont val="Calibri"/>
          </rPr>
          <t>Jonathan Choi:
30 minutes per bird?</t>
        </r>
      </text>
    </comment>
    <comment ref="N334" authorId="6">
      <text>
        <r>
          <rPr>
            <sz val="12"/>
            <color rgb="FF000000"/>
            <rFont val="Calibri"/>
          </rPr>
          <t>Jonathan Choi:
Sampled everyone once. Came back and did surviving males later.</t>
        </r>
      </text>
    </comment>
    <comment ref="O334" authorId="6">
      <text>
        <r>
          <rPr>
            <sz val="12"/>
            <color rgb="FF000000"/>
            <rFont val="Calibri"/>
          </rPr>
          <t>Jonathan Choi:
30 minutes per bird? Only sampled once.</t>
        </r>
      </text>
    </comment>
    <comment ref="P334" authorId="6">
      <text>
        <r>
          <rPr>
            <sz val="12"/>
            <color rgb="FF000000"/>
            <rFont val="Calibri"/>
          </rPr>
          <t xml:space="preserve">Jonathan Choi:
April to August 2010
TT: unrepeated sample. eff_dur = act_dur
</t>
        </r>
      </text>
    </comment>
    <comment ref="D335" authorId="6">
      <text>
        <r>
          <rPr>
            <sz val="12"/>
            <color rgb="FF000000"/>
            <rFont val="Calibri"/>
          </rPr>
          <t>Wrong DOI--they were increasing by 1 in the final digit.
	-Tim Treuer</t>
        </r>
      </text>
    </comment>
    <comment ref="H335" authorId="6">
      <text>
        <r>
          <rPr>
            <sz val="12"/>
            <color rgb="FF000000"/>
            <rFont val="Calibri"/>
          </rPr>
          <t>Jonathan Choi:
22 Males were recaptured. Blood and mass only.</t>
        </r>
      </text>
    </comment>
    <comment ref="I335" authorId="6">
      <text>
        <r>
          <rPr>
            <sz val="12"/>
            <color rgb="FF000000"/>
            <rFont val="Calibri"/>
          </rPr>
          <t xml:space="preserve">Jonathan Choi:
Guess at the body size of a barn swallow
</t>
        </r>
      </text>
    </comment>
    <comment ref="M335" authorId="6">
      <text>
        <r>
          <rPr>
            <sz val="12"/>
            <color rgb="FF000000"/>
            <rFont val="Calibri"/>
          </rPr>
          <t>Jonathan Choi:
30 minutes per bird?</t>
        </r>
      </text>
    </comment>
    <comment ref="N335" authorId="6">
      <text>
        <r>
          <rPr>
            <sz val="12"/>
            <color rgb="FF000000"/>
            <rFont val="Calibri"/>
          </rPr>
          <t>JonChoi:
indicates that 22 male birds were recaptured during the feeding period, unspecified time period later. Assume that is a couple days.</t>
        </r>
      </text>
    </comment>
    <comment ref="O335" authorId="6">
      <text>
        <r>
          <rPr>
            <sz val="12"/>
            <color rgb="FF000000"/>
            <rFont val="Calibri"/>
          </rPr>
          <t xml:space="preserve">JonChoi:
Reflects the 22 males that were samples twice
</t>
        </r>
      </text>
    </comment>
    <comment ref="P335" authorId="6">
      <text>
        <r>
          <rPr>
            <sz val="12"/>
            <color rgb="FF000000"/>
            <rFont val="Calibri"/>
          </rPr>
          <t xml:space="preserve">Jonathan Choi:
April to August 2010
TT: this metric should reflect the average length of time between first and last measure of a given sample.
</t>
        </r>
      </text>
    </comment>
    <comment ref="H336" authorId="6">
      <text>
        <r>
          <rPr>
            <sz val="12"/>
            <color rgb="FF000000"/>
            <rFont val="Calibri"/>
          </rPr>
          <t>Jonathan Choi:
Observing clutches</t>
        </r>
      </text>
    </comment>
    <comment ref="I336" authorId="6">
      <text>
        <r>
          <rPr>
            <sz val="12"/>
            <color rgb="FF000000"/>
            <rFont val="Calibri"/>
          </rPr>
          <t>Jonathan Choi:
estimate size for a chick</t>
        </r>
      </text>
    </comment>
    <comment ref="J336" authorId="6">
      <text>
        <r>
          <rPr>
            <sz val="12"/>
            <color rgb="FF000000"/>
            <rFont val="Calibri"/>
          </rPr>
          <t xml:space="preserve">Jonathan Choi:
number of clutches. Did not state number of chicks. </t>
        </r>
      </text>
    </comment>
    <comment ref="N336" authorId="6">
      <text>
        <r>
          <rPr>
            <sz val="12"/>
            <color rgb="FF000000"/>
            <rFont val="Calibri"/>
          </rPr>
          <t>Jonathan Choi:
sampled every 2 days</t>
        </r>
      </text>
    </comment>
    <comment ref="O336" authorId="6">
      <text>
        <r>
          <rPr>
            <sz val="12"/>
            <color rgb="FF000000"/>
            <rFont val="Calibri"/>
          </rPr>
          <t>Jonathan Choi:
They only did this blood sampling once. Assume that checking for chicks took a negligible amount of time. Looked every other day for 4 months at each nest.</t>
        </r>
      </text>
    </comment>
    <comment ref="R336" authorId="6">
      <text>
        <r>
          <rPr>
            <sz val="12"/>
            <color rgb="FF000000"/>
            <rFont val="Calibri"/>
          </rPr>
          <t xml:space="preserve">Jonathan Choi:
took blood/tissue samples from chicks/unhatched embryo to determine parents
</t>
        </r>
      </text>
    </comment>
    <comment ref="H337" authorId="6">
      <text>
        <r>
          <rPr>
            <sz val="12"/>
            <color rgb="FF000000"/>
            <rFont val="Calibri"/>
          </rPr>
          <t>Jonathan Choi:
Observing clutches</t>
        </r>
      </text>
    </comment>
    <comment ref="I337" authorId="6">
      <text>
        <r>
          <rPr>
            <sz val="12"/>
            <color rgb="FF000000"/>
            <rFont val="Calibri"/>
          </rPr>
          <t>Jonathan Choi:
size of nest?</t>
        </r>
      </text>
    </comment>
    <comment ref="M337" authorId="6">
      <text>
        <r>
          <rPr>
            <sz val="12"/>
            <color rgb="FF000000"/>
            <rFont val="Calibri"/>
          </rPr>
          <t xml:space="preserve">Jonathan Choi:
they measured 1 hr, 1hr, and 2 hrs on three different occasions
</t>
        </r>
      </text>
    </comment>
    <comment ref="O337" authorId="6">
      <text>
        <r>
          <rPr>
            <sz val="12"/>
            <color rgb="FF000000"/>
            <rFont val="Calibri"/>
          </rPr>
          <t>Jonathan Choi:
They said that they spent 5 hours video taping each nest
TT: shouldn't be multiplied by 3.</t>
        </r>
      </text>
    </comment>
    <comment ref="H338" authorId="6">
      <text>
        <r>
          <rPr>
            <sz val="12"/>
            <color rgb="FF000000"/>
            <rFont val="Calibri"/>
          </rPr>
          <t>Jonathan Choi:
took blood samples, other measurements. Assume all of these measurements were the same res and the same number of lines as a result.</t>
        </r>
      </text>
    </comment>
    <comment ref="I338" authorId="6">
      <text>
        <r>
          <rPr>
            <sz val="12"/>
            <color rgb="FF000000"/>
            <rFont val="Calibri"/>
          </rPr>
          <t>Jonathan Choi:
individual bird</t>
        </r>
      </text>
    </comment>
    <comment ref="K338" authorId="6">
      <text>
        <r>
          <rPr>
            <sz val="12"/>
            <color rgb="FF000000"/>
            <rFont val="Calibri"/>
          </rPr>
          <t>Sampled four breeding colonies, assumed each was 1 ha, did not count intervening area because was not breeding colony.
	-Tim Treuer</t>
        </r>
      </text>
    </comment>
    <comment ref="O338" authorId="6">
      <text>
        <r>
          <rPr>
            <sz val="12"/>
            <color rgb="FF000000"/>
            <rFont val="Calibri"/>
          </rPr>
          <t>JonChoi:
they measured each bird once</t>
        </r>
      </text>
    </comment>
    <comment ref="P338" authorId="6">
      <text>
        <r>
          <rPr>
            <sz val="12"/>
            <color rgb="FF000000"/>
            <rFont val="Calibri"/>
          </rPr>
          <t>Jonathan Choi:
study states 12 days</t>
        </r>
      </text>
    </comment>
    <comment ref="H339" authorId="6">
      <text>
        <r>
          <rPr>
            <sz val="12"/>
            <color rgb="FF000000"/>
            <rFont val="Calibri"/>
          </rPr>
          <t>Jonathan Choi:
"Observations were made in two study areas 100 km apart, each about 60 km2 in extent."</t>
        </r>
      </text>
    </comment>
    <comment ref="I339" authorId="6">
      <text>
        <r>
          <rPr>
            <sz val="12"/>
            <color rgb="FF000000"/>
            <rFont val="Calibri"/>
          </rPr>
          <t>Lyndon Estes:
The social unit appears to be the main unit of interest here, and I am assuming that the average sherd of kudu occupies a psace of 20X20 m (gvien inter-animal spacing)</t>
        </r>
      </text>
    </comment>
    <comment ref="J339" authorId="6">
      <text>
        <r>
          <rPr>
            <sz val="12"/>
            <color rgb="FF000000"/>
            <rFont val="Calibri"/>
          </rPr>
          <t>Lyndon Estes:
8 and 11 SUs for pop and survival rate estimates</t>
        </r>
      </text>
    </comment>
    <comment ref="M339" authorId="6">
      <text>
        <r>
          <rPr>
            <sz val="12"/>
            <color rgb="FF000000"/>
            <rFont val="Calibri"/>
          </rPr>
          <t>Jonathan Choi:
They said they surveyed sometimes over the course of two months or over one month. Assume 15 days per season per site, 5 hours per day
LDE: I assume ~2 days of sampling effort to find and census each SU</t>
        </r>
      </text>
    </comment>
    <comment ref="N339" authorId="6">
      <text>
        <r>
          <rPr>
            <sz val="12"/>
            <color rgb="FF000000"/>
            <rFont val="Calibri"/>
          </rPr>
          <t>Jonathan Choi:
Annual census</t>
        </r>
      </text>
    </comment>
    <comment ref="O339" authorId="6">
      <text>
        <r>
          <rPr>
            <sz val="12"/>
            <color rgb="FF000000"/>
            <rFont val="Calibri"/>
          </rPr>
          <t>Jonathan Choi:
15 days per site per season
LDE: total time conditioned on SU</t>
        </r>
      </text>
    </comment>
    <comment ref="P339" authorId="6">
      <text>
        <r>
          <rPr>
            <sz val="12"/>
            <color rgb="FF000000"/>
            <rFont val="Calibri"/>
          </rPr>
          <t>Jonathan Choi:
10 year study</t>
        </r>
      </text>
    </comment>
    <comment ref="I340" authorId="6">
      <text>
        <r>
          <rPr>
            <sz val="12"/>
            <color rgb="FF000000"/>
            <rFont val="Calibri"/>
          </rPr>
          <t>Jonathan Choi:
sampled 18 areas of kruger, driving 11,500km over three months. 
LDE: assume two observers, each with view angle of 45 degrees out of window and 150 m average visibility into bush from road</t>
        </r>
      </text>
    </comment>
    <comment ref="J340" authorId="6">
      <text>
        <r>
          <rPr>
            <sz val="12"/>
            <color rgb="FF000000"/>
            <rFont val="Calibri"/>
          </rPr>
          <t>Lyndon Estes:
Okay, so divide the road km (in m) by the width of the spotters' view field (calculated from angle and view radius</t>
        </r>
      </text>
    </comment>
    <comment ref="K340" authorId="6">
      <text>
        <r>
          <rPr>
            <sz val="12"/>
            <color rgb="FF000000"/>
            <rFont val="Calibri"/>
          </rPr>
          <t>couldn't find Whyte 1985 (MSc thesis), but area described as 'Central Kruger' so took area of Kruger and divided by 3.
	-Tim Treuer</t>
        </r>
      </text>
    </comment>
    <comment ref="M340" authorId="6">
      <text>
        <r>
          <rPr>
            <sz val="12"/>
            <color rgb="FF000000"/>
            <rFont val="Calibri"/>
          </rPr>
          <t>Jonathan Choi:
say it was 11 hours per day in the paper
LDE: assume each count took about 30 seconds on average (just one "plot"), factoring in places with no wildlife, and those with high concentrations</t>
        </r>
      </text>
    </comment>
    <comment ref="N340" authorId="6">
      <text>
        <r>
          <rPr>
            <sz val="12"/>
            <color rgb="FF000000"/>
            <rFont val="Calibri"/>
          </rPr>
          <t>Jonathan Choi:
annual survey</t>
        </r>
      </text>
    </comment>
    <comment ref="O340" authorId="6">
      <text>
        <r>
          <rPr>
            <sz val="12"/>
            <color rgb="FF000000"/>
            <rFont val="Calibri"/>
          </rPr>
          <t>Jonathan Choi:
11 hours per day, 60 days per year, 13 years
LDE: altered to this, because each spot in the park was probably only surveyed for a short time.  The 11 hours was mostly spent surveying different areas</t>
        </r>
      </text>
    </comment>
    <comment ref="P340" authorId="6">
      <text>
        <r>
          <rPr>
            <sz val="12"/>
            <color rgb="FF000000"/>
            <rFont val="Calibri"/>
          </rPr>
          <t>Jonathan Choi:
observations for 13 years</t>
        </r>
      </text>
    </comment>
    <comment ref="I341" authorId="6">
      <text>
        <r>
          <rPr>
            <sz val="12"/>
            <color rgb="FF000000"/>
            <rFont val="Calibri"/>
          </rPr>
          <t>Jonathan Choi:
sampled 18 areas of kruger, driving 11,500km over three months. 
LDE: Assume same sampling scheme as Mason studies</t>
        </r>
      </text>
    </comment>
    <comment ref="J341" authorId="6">
      <text>
        <r>
          <rPr>
            <sz val="12"/>
            <color rgb="FF000000"/>
            <rFont val="Calibri"/>
          </rPr>
          <t>Lyndon Estes:
Okay, so divide the road km (in m) by the width of the spotters' view field (calculated from angle and view radius</t>
        </r>
      </text>
    </comment>
    <comment ref="M341" authorId="6">
      <text>
        <r>
          <rPr>
            <sz val="12"/>
            <color rgb="FF000000"/>
            <rFont val="Calibri"/>
          </rPr>
          <t>Jonathan Choi:
say it was 11 hours per day in the paper
LDE: assume 5 minutes per observations of wildebeest herb by Whyte to get demographics</t>
        </r>
      </text>
    </comment>
    <comment ref="N341" authorId="6">
      <text>
        <r>
          <rPr>
            <sz val="12"/>
            <color rgb="FF000000"/>
            <rFont val="Calibri"/>
          </rPr>
          <t>Jonathan Choi:
4 times per annum</t>
        </r>
      </text>
    </comment>
    <comment ref="O341" authorId="6">
      <text>
        <r>
          <rPr>
            <sz val="12"/>
            <color rgb="FF000000"/>
            <rFont val="Calibri"/>
          </rPr>
          <t>Jonathan Choi:
assume only 40 days instead of 60 because I think this study was wildebeast only (previous was almost all large herbivores). Cannot access original study. 
LDE: 4 times a year for 5 years. Rest of the study was done by Mason.  5 minutes per observation</t>
        </r>
      </text>
    </comment>
    <comment ref="P341" authorId="6">
      <text>
        <r>
          <rPr>
            <sz val="12"/>
            <color rgb="FF000000"/>
            <rFont val="Calibri"/>
          </rPr>
          <t>Jonathan Choi:
1978-1983 observations</t>
        </r>
      </text>
    </comment>
    <comment ref="I342" authorId="6">
      <text>
        <r>
          <rPr>
            <sz val="12"/>
            <color rgb="FF000000"/>
            <rFont val="Calibri"/>
          </rPr>
          <t>Jonathan Choi:
aerial surveys. We knew they were 800m in width. Visual estimate of around 10k long
LDE: I think 800 m is the total width along track. We need the sections. Assume each observer has 45 degree view angle from 67 m height (plane flying between 65-70 m), gives a ground view of 140 m (segment width along track)</t>
        </r>
      </text>
    </comment>
    <comment ref="J342" authorId="6">
      <text>
        <r>
          <rPr>
            <sz val="12"/>
            <color rgb="FF000000"/>
            <rFont val="Calibri"/>
          </rPr>
          <t>Jonathan Choi:
they don't say and the only documents detailing this were published locally in S Africa
LDE: from the Viljoen paper (I know him!) it seems they fly 800 m apart and cover the whole block. Amazing. Average block is 288.3 km2. Assume square block. Find side, divide by 800 to get N transect per block. Multiply by side to get km flown. Multiply by blocks. Divide by forward track view field (67*2) to get n "plots"</t>
        </r>
      </text>
    </comment>
    <comment ref="M342" authorId="6">
      <text>
        <r>
          <rPr>
            <sz val="12"/>
            <color rgb="FF000000"/>
            <rFont val="Calibri"/>
          </rPr>
          <t xml:space="preserve">Lyndon Estes:
Calculated from airspeed (176 km/h) how long each 67*2 width "plot" takes to traverse, giving plot residence time
</t>
        </r>
      </text>
    </comment>
    <comment ref="N342" authorId="6">
      <text>
        <r>
          <rPr>
            <sz val="12"/>
            <color rgb="FF000000"/>
            <rFont val="Calibri"/>
          </rPr>
          <t>Jonathan Choi:
annual</t>
        </r>
      </text>
    </comment>
    <comment ref="H343" authorId="6">
      <text>
        <r>
          <rPr>
            <sz val="12"/>
            <color rgb="FF000000"/>
            <rFont val="Calibri"/>
          </rPr>
          <t>Jonathan Choi:
this is age &amp; sex ratio</t>
        </r>
      </text>
    </comment>
    <comment ref="I343" authorId="6">
      <text>
        <r>
          <rPr>
            <sz val="12"/>
            <color rgb="FF000000"/>
            <rFont val="Calibri"/>
          </rPr>
          <t>Jonathan Choi:
21 km transect, stopping every 1km, surveying a circle 100m in radius</t>
        </r>
      </text>
    </comment>
    <comment ref="K343" authorId="6">
      <text>
        <r>
          <rPr>
            <sz val="12"/>
            <color rgb="FF000000"/>
            <rFont val="Calibri"/>
          </rPr>
          <t>4 21km transects 'mimimum 2km apart', so assumed 10km apart.
	-Tim Treuer</t>
        </r>
      </text>
    </comment>
    <comment ref="M343" authorId="6">
      <text>
        <r>
          <rPr>
            <sz val="12"/>
            <color rgb="FF000000"/>
            <rFont val="Calibri"/>
          </rPr>
          <t>Lyndon Estes:
Assume each point on transect took 15 minutes to do a wildebeest count</t>
        </r>
      </text>
    </comment>
    <comment ref="O343" authorId="6">
      <text>
        <r>
          <rPr>
            <sz val="12"/>
            <color rgb="FF000000"/>
            <rFont val="Calibri"/>
          </rPr>
          <t>JonChoi:
Did 4, 21 km drives, every 2 weeks, for a couple yearsz
LDE: assume transect point is sample unit. 3 month dry season. Mind you, these aren't really true repeats because the transects were not necessarily in the same place each time</t>
        </r>
      </text>
    </comment>
    <comment ref="P343" authorId="6">
      <text>
        <r>
          <rPr>
            <sz val="12"/>
            <color rgb="FF000000"/>
            <rFont val="Calibri"/>
          </rPr>
          <t>Jonathan Choi:
very unclear when this car based survey began</t>
        </r>
      </text>
    </comment>
    <comment ref="H344" authorId="6">
      <text>
        <r>
          <rPr>
            <sz val="12"/>
            <color rgb="FF000000"/>
            <rFont val="Calibri"/>
          </rPr>
          <t>JonChoi:
fecal samples</t>
        </r>
      </text>
    </comment>
    <comment ref="I344" authorId="6">
      <text>
        <r>
          <rPr>
            <sz val="12"/>
            <color rgb="FF000000"/>
            <rFont val="Calibri"/>
          </rPr>
          <t>Jonathan Choi:
Sample size as individual animals?
LDE: actually individual pile of crap, which having seen many I know is roughly 
10- 20 cm diameter
But let's go with the animal itself because autopsy done in most years to calculate that</t>
        </r>
      </text>
    </comment>
    <comment ref="J344" authorId="6">
      <text>
        <r>
          <rPr>
            <sz val="12"/>
            <color rgb="FF000000"/>
            <rFont val="Calibri"/>
          </rPr>
          <t>Jonathan Choi:
116 fecal samples
LDE: here I am assuming that since this is a repeat study, sort of (not the same animals, but comparison of rates across years), that roughly X animals were capture per year, both 94-97 and earlier with autopsies</t>
        </r>
      </text>
    </comment>
    <comment ref="K344" authorId="6">
      <text>
        <r>
          <rPr>
            <sz val="12"/>
            <color rgb="FF000000"/>
            <rFont val="Calibri"/>
          </rPr>
          <t>Mduma doesn't give a good estimate of extent for fecal sample collections, so assumed same as transect survey.
	-Tim Treuer</t>
        </r>
      </text>
    </comment>
    <comment ref="M344" authorId="6">
      <text>
        <r>
          <rPr>
            <sz val="12"/>
            <color rgb="FF000000"/>
            <rFont val="Calibri"/>
          </rPr>
          <t>Jonathan Choi:
they drove around and watched wildebeest until they pooped, and then collected the fecal samples. They don't indicate how long this took.
LDE: assume autopsies took a while, so this drags it up</t>
        </r>
      </text>
    </comment>
    <comment ref="N344" authorId="6">
      <text>
        <r>
          <rPr>
            <sz val="12"/>
            <color rgb="FF000000"/>
            <rFont val="Calibri"/>
          </rPr>
          <t>Jonathan Choi:
So this is difficult - they looked at the same herd, but they didn't look at the same individuals necessarily
LDE: true.  Making an exception here because they are comparing across years (see commoent under n_sites). Took time span of all pregnancy data--60-94, and divided by number of years where they collected, which looks like 10 from Figure 2</t>
        </r>
      </text>
    </comment>
    <comment ref="O344" authorId="6">
      <text>
        <r>
          <rPr>
            <sz val="12"/>
            <color rgb="FF000000"/>
            <rFont val="Calibri"/>
          </rPr>
          <t xml:space="preserve">JonChoi:
same as above, only for 2 years and for 3
 months
</t>
        </r>
      </text>
    </comment>
    <comment ref="P344" authorId="6">
      <text>
        <r>
          <rPr>
            <sz val="12"/>
            <color rgb="FF000000"/>
            <rFont val="Calibri"/>
          </rPr>
          <t>Jonathan Choi:
1992-94
LDE: expanded to 1960-1994</t>
        </r>
      </text>
    </comment>
    <comment ref="H345" authorId="6">
      <text>
        <r>
          <rPr>
            <sz val="12"/>
            <color rgb="FF000000"/>
            <rFont val="Calibri"/>
          </rPr>
          <t>Jonathan Choi:
this is carcass cxounts</t>
        </r>
      </text>
    </comment>
    <comment ref="I345" authorId="6">
      <text>
        <r>
          <rPr>
            <sz val="12"/>
            <color rgb="FF000000"/>
            <rFont val="Calibri"/>
          </rPr>
          <t>Jonathan Choi:
21 km transect, stopping every 1km, surveying a circle 100m in radius
LDE: actually in this case I believe they were scanning as they drove, looking for carcasses. Assume on Serengeti Plain they can see 400 m or so, 45 view angle, 2 observers</t>
        </r>
      </text>
    </comment>
    <comment ref="J345" authorId="6">
      <text>
        <r>
          <rPr>
            <sz val="12"/>
            <color rgb="FF000000"/>
            <rFont val="Calibri"/>
          </rPr>
          <t>Lyndon Estes:
Backed out the along track width of the "plot" to estimate N, per SA wildbeebeest counts</t>
        </r>
      </text>
    </comment>
    <comment ref="K345" authorId="6">
      <text>
        <r>
          <rPr>
            <sz val="12"/>
            <color rgb="FF000000"/>
            <rFont val="Calibri"/>
          </rPr>
          <t>4 21km transects minimum 2km apart (assumed average 10km apart)
	-Tim Treuer</t>
        </r>
      </text>
    </comment>
    <comment ref="M345" authorId="6">
      <text>
        <r>
          <rPr>
            <sz val="12"/>
            <color rgb="FF000000"/>
            <rFont val="Calibri"/>
          </rPr>
          <t>Jonathan Choi:
this probably took less time
LDE: Assume 306 plot width along track of transect. 10 km/h driving, and then time to traverse one plot</t>
        </r>
      </text>
    </comment>
    <comment ref="O345" authorId="6">
      <text>
        <r>
          <rPr>
            <sz val="12"/>
            <color rgb="FF000000"/>
            <rFont val="Calibri"/>
          </rPr>
          <t>JonChoi:
Did 4, 21 km drives, every 2 weeks, for a couple yearsz
LDE: assume transect point is sample unit. 3 month dry season. Mind you, these aren't really true repeats because the transects were not necessarily in the same place each time</t>
        </r>
      </text>
    </comment>
    <comment ref="P345" authorId="6">
      <text>
        <r>
          <rPr>
            <sz val="12"/>
            <color rgb="FF000000"/>
            <rFont val="Calibri"/>
          </rPr>
          <t>Jonathan Choi:
very unclear when this car based survey began</t>
        </r>
      </text>
    </comment>
    <comment ref="I346" authorId="6">
      <text>
        <r>
          <rPr>
            <sz val="12"/>
            <color rgb="FF000000"/>
            <rFont val="Calibri"/>
          </rPr>
          <t>Jonathan Choi:
rain gauge. Assume a half meter diameter bucket
LDE: 10 cm diameter</t>
        </r>
      </text>
    </comment>
    <comment ref="K346" authorId="6">
      <text>
        <r>
          <rPr>
            <sz val="12"/>
            <color rgb="FF000000"/>
            <rFont val="Calibri"/>
          </rPr>
          <t>area of kruger since this was considered to be 'rainfall at kruger'
	-Tim Treuer</t>
        </r>
      </text>
    </comment>
    <comment ref="M346" authorId="6">
      <text>
        <r>
          <rPr>
            <sz val="12"/>
            <color rgb="FF000000"/>
            <rFont val="Calibri"/>
          </rPr>
          <t>Lyndon Estes:
Monthly rainfall</t>
        </r>
      </text>
    </comment>
    <comment ref="N346" authorId="6">
      <text>
        <r>
          <rPr>
            <sz val="12"/>
            <color rgb="FF000000"/>
            <rFont val="Calibri"/>
          </rPr>
          <t>Lyndon Estes:
Monthly rainfall</t>
        </r>
      </text>
    </comment>
    <comment ref="P346" authorId="6">
      <text>
        <r>
          <rPr>
            <sz val="12"/>
            <color rgb="FF000000"/>
            <rFont val="Calibri"/>
          </rPr>
          <t xml:space="preserve">Jonathan Choi:
</t>
        </r>
      </text>
    </comment>
    <comment ref="I347" authorId="6">
      <text>
        <r>
          <rPr>
            <sz val="12"/>
            <color rgb="FF000000"/>
            <rFont val="Calibri"/>
          </rPr>
          <t>Jonathan Choi:
rain gauge. Assume a half meter diameter bucket
LDE: 10 cm diameter</t>
        </r>
      </text>
    </comment>
    <comment ref="J347" authorId="6">
      <text>
        <r>
          <rPr>
            <sz val="12"/>
            <color rgb="FF000000"/>
            <rFont val="Calibri"/>
          </rPr>
          <t>Lyndon Estes:
Assume 4 weather stations for Serengeti in West, roughly</t>
        </r>
      </text>
    </comment>
    <comment ref="K347" authorId="6">
      <text>
        <r>
          <rPr>
            <sz val="12"/>
            <color rgb="FF000000"/>
            <rFont val="Calibri"/>
          </rPr>
          <t>reported as rainfall in 'west of Serengeti' so took reported area of Serengeti and divided by two.
	-Tim Treuer</t>
        </r>
      </text>
    </comment>
    <comment ref="M347" authorId="6">
      <text>
        <r>
          <rPr>
            <sz val="12"/>
            <color rgb="FF000000"/>
            <rFont val="Calibri"/>
          </rPr>
          <t>Lyndon Estes:
Assume rainfall is accumulated over 3 months in dry season</t>
        </r>
      </text>
    </comment>
    <comment ref="O347" authorId="6">
      <text>
        <r>
          <rPr>
            <sz val="12"/>
            <color rgb="FF000000"/>
            <rFont val="Calibri"/>
          </rPr>
          <t>Lyndon Estes:
Dry season rainfall cumulative time (assume 3 month dry season over full 1960-1994 record</t>
        </r>
      </text>
    </comment>
    <comment ref="H348" authorId="6">
      <text>
        <r>
          <rPr>
            <sz val="12"/>
            <color rgb="FF000000"/>
            <rFont val="Calibri"/>
          </rPr>
          <t>Jonathan Choi:
gravity core
LDE: surface sediment samples</t>
        </r>
      </text>
    </comment>
    <comment ref="I348" authorId="6">
      <text>
        <r>
          <rPr>
            <sz val="12"/>
            <color rgb="FF000000"/>
            <rFont val="Calibri"/>
          </rPr>
          <t>Jonathan Choi:
mini-Glew corer. Assume 5cm diameter?</t>
        </r>
      </text>
    </comment>
    <comment ref="J348" authorId="6">
      <text>
        <r>
          <rPr>
            <sz val="12"/>
            <color rgb="FF000000"/>
            <rFont val="Calibri"/>
          </rPr>
          <t>Jonathan Choi:
they took between 51 and 87 samples from 6 different lakes</t>
        </r>
      </text>
    </comment>
    <comment ref="M348" authorId="6">
      <text>
        <r>
          <rPr>
            <sz val="12"/>
            <color rgb="FF000000"/>
            <rFont val="Calibri"/>
          </rPr>
          <t>JonChoi:
considered this the time it took to extract the core, as opposed to minimum estimate of dating precision
LDE: this was the top sediment for diatoms, to get current assemblages. Assume represents a year of sediment</t>
        </r>
      </text>
    </comment>
    <comment ref="N348" authorId="6">
      <text>
        <r>
          <rPr>
            <sz val="12"/>
            <color rgb="FF000000"/>
            <rFont val="Calibri"/>
          </rPr>
          <t>Jonathan Choi:
"paleo"reconstruction of about 1000 years. Estimated resolution "varies from 12 to 16 years"</t>
        </r>
      </text>
    </comment>
    <comment ref="O348" authorId="6">
      <text>
        <r>
          <rPr>
            <sz val="12"/>
            <color rgb="FF000000"/>
            <rFont val="Calibri"/>
          </rPr>
          <t>JonChoi:
time spent sampling - not sure if this is the best interpretation for paleo reconstruction
LDE: we use the sediment record as the time of accumulation. It looks like they looked at this for 2000 years also</t>
        </r>
      </text>
    </comment>
    <comment ref="P348" authorId="6">
      <text>
        <r>
          <rPr>
            <sz val="12"/>
            <color rgb="FF000000"/>
            <rFont val="Calibri"/>
          </rPr>
          <t>Jonathan Choi:
looked at data from the past 2000 years
LDE: 12/7/2017. Changed because these were one of samples to infer depth/age relationship. Was 730000</t>
        </r>
      </text>
    </comment>
    <comment ref="H349" authorId="6">
      <text>
        <r>
          <rPr>
            <sz val="12"/>
            <color rgb="FF000000"/>
            <rFont val="Calibri"/>
          </rPr>
          <t xml:space="preserve">Jonathan Choi:
gravity core
</t>
        </r>
      </text>
    </comment>
    <comment ref="I349" authorId="6">
      <text>
        <r>
          <rPr>
            <sz val="12"/>
            <color rgb="FF000000"/>
            <rFont val="Calibri"/>
          </rPr>
          <t>Jonathan Choi:
mini-Glew corer. Assume 5cm diameter?</t>
        </r>
      </text>
    </comment>
    <comment ref="J349" authorId="6">
      <text>
        <r>
          <rPr>
            <sz val="12"/>
            <color rgb="FF000000"/>
            <rFont val="Calibri"/>
          </rPr>
          <t>Jonathan Choi:
they took between 51 and 87 samples from 6 different lakes</t>
        </r>
      </text>
    </comment>
    <comment ref="M349" authorId="6">
      <text>
        <r>
          <rPr>
            <sz val="12"/>
            <color rgb="FF000000"/>
            <rFont val="Calibri"/>
          </rPr>
          <t>JonChoi:
considered this the time it took to extract the core, as opposed to minimum estimate of dating precision</t>
        </r>
      </text>
    </comment>
    <comment ref="N349" authorId="6">
      <text>
        <r>
          <rPr>
            <sz val="12"/>
            <color rgb="FF000000"/>
            <rFont val="Calibri"/>
          </rPr>
          <t>Jonathan Choi:
"paleo"reconstruction of about 1000 years. Estimated resolution "varies from 12 to 16 years"</t>
        </r>
      </text>
    </comment>
    <comment ref="O349" authorId="6">
      <text>
        <r>
          <rPr>
            <sz val="12"/>
            <color rgb="FF000000"/>
            <rFont val="Calibri"/>
          </rPr>
          <t>JonChoi:
time spent sampling - not sure if this is the best interpretation for paleo reconstruction
LDE: we use the sediment record as the time of accumulation. It looks like they looked at this for 2000 years also</t>
        </r>
      </text>
    </comment>
    <comment ref="P349" authorId="6">
      <text>
        <r>
          <rPr>
            <sz val="12"/>
            <color rgb="FF000000"/>
            <rFont val="Calibri"/>
          </rPr>
          <t xml:space="preserve">Jonathan Choi:
looked at data from the past 2000 years
</t>
        </r>
      </text>
    </comment>
    <comment ref="F350" authorId="6">
      <text>
        <r>
          <rPr>
            <sz val="12"/>
            <color rgb="FF000000"/>
            <rFont val="Calibri"/>
          </rPr>
          <t>Lyndon Estes:
acoustic soundings a form of remote sensing</t>
        </r>
      </text>
    </comment>
    <comment ref="H350" authorId="6">
      <text>
        <r>
          <rPr>
            <sz val="12"/>
            <color rgb="FF000000"/>
            <rFont val="Calibri"/>
          </rPr>
          <t>Jonathan Choi:
seismic profiling by driving around a lake.</t>
        </r>
      </text>
    </comment>
    <comment ref="I350" authorId="6">
      <text>
        <r>
          <rPr>
            <sz val="12"/>
            <color rgb="FF000000"/>
            <rFont val="Calibri"/>
          </rPr>
          <t>Jonathan Choi:
each surveyed lake was between 17 and 78 ha. 
LDE: I looked up the spec sheet for the Knudsen sounder: http://www.f-e-t.com/images/uploads/Knudsen_320M.pdf
It seems they probably did transects. Lakes less than 100 m, so 1 cm resolution. Transects probably used for sounding, let's say 50 m apart</t>
        </r>
      </text>
    </comment>
    <comment ref="J350" authorId="6">
      <text>
        <r>
          <rPr>
            <sz val="12"/>
            <color rgb="FF000000"/>
            <rFont val="Calibri"/>
          </rPr>
          <t>Lyndon Estes:
Okay, so lakes averages about 47 ha, sqrt of that gives the average dimension (1-sided), Divide that by 50 (transect spacing) to get N transects/lake. Multiply again by 1-side to get ms transect per lake. Divide by resolution to get N points on transect. Multiply by N lakes</t>
        </r>
      </text>
    </comment>
    <comment ref="M350" authorId="6">
      <text>
        <r>
          <rPr>
            <sz val="12"/>
            <color rgb="FF000000"/>
            <rFont val="Calibri"/>
          </rPr>
          <t>Jonathan Choi:
assume they were able to map underwater ridges in a day on the water.
LDE: Assume instantaneous, reading</t>
        </r>
      </text>
    </comment>
    <comment ref="O350" authorId="6">
      <text>
        <r>
          <rPr>
            <sz val="12"/>
            <color rgb="FF000000"/>
            <rFont val="Calibri"/>
          </rPr>
          <t>Lyndon Estes:
4/4/2016: Fixed n_sites error</t>
        </r>
      </text>
    </comment>
    <comment ref="P350" authorId="6">
      <text>
        <r>
          <rPr>
            <sz val="12"/>
            <color rgb="FF000000"/>
            <rFont val="Calibri"/>
          </rPr>
          <t>Jonathan Choi:
each sample period was just once</t>
        </r>
      </text>
    </comment>
    <comment ref="H351" authorId="6">
      <text>
        <r>
          <rPr>
            <sz val="12"/>
            <color rgb="FF000000"/>
            <rFont val="Calibri"/>
          </rPr>
          <t>Jonathan Choi:
Weather stations</t>
        </r>
      </text>
    </comment>
    <comment ref="I351" authorId="6">
      <text>
        <r>
          <rPr>
            <sz val="12"/>
            <color rgb="FF000000"/>
            <rFont val="Calibri"/>
          </rPr>
          <t xml:space="preserve">Lyndon Estes:
assume 10 cm diamter rain gauge as coarsest
</t>
        </r>
      </text>
    </comment>
    <comment ref="M351" authorId="6">
      <text>
        <r>
          <rPr>
            <sz val="12"/>
            <color rgb="FF000000"/>
            <rFont val="Calibri"/>
          </rPr>
          <t>Jonathan Choi:
15 minutes to take the data?
Annual rainfall and temperate, integrated from daily observations</t>
        </r>
      </text>
    </comment>
    <comment ref="O351" authorId="6">
      <text>
        <r>
          <rPr>
            <sz val="12"/>
            <color rgb="FF000000"/>
            <rFont val="Calibri"/>
          </rPr>
          <t>Lyndon Estes:
4/4/2016: Is the core though a continuous record of accumulation though?  In that case, maybe samp_duration should be one day, and study_duration should each equal study_span, even though t_tbwn_smap is one day</t>
        </r>
      </text>
    </comment>
    <comment ref="P351" authorId="6">
      <text>
        <r>
          <rPr>
            <sz val="12"/>
            <color rgb="FF000000"/>
            <rFont val="Calibri"/>
          </rPr>
          <t>Jonathan Choi:
used a bunch of old climate data</t>
        </r>
      </text>
    </comment>
  </commentList>
</comments>
</file>

<file path=xl/sharedStrings.xml><?xml version="1.0" encoding="utf-8"?>
<sst xmlns="http://schemas.openxmlformats.org/spreadsheetml/2006/main" count="3172" uniqueCount="985">
  <si>
    <t>Chang</t>
  </si>
  <si>
    <t>Elsen</t>
  </si>
  <si>
    <t>Oecologia</t>
  </si>
  <si>
    <t>10.1007/s00442-009-1319-8</t>
  </si>
  <si>
    <t>field/direct observation</t>
  </si>
  <si>
    <t>Japan (Erimo)</t>
  </si>
  <si>
    <t>Hynobius retardatus</t>
  </si>
  <si>
    <t>http://www.bioone.org/doi/pdf/10.2108/zsj.19.703</t>
  </si>
  <si>
    <t>plot_res\sampled_area\samp_duration</t>
  </si>
  <si>
    <t>Experimental, but has field component</t>
  </si>
  <si>
    <t>American Naturalist</t>
  </si>
  <si>
    <t>Florida</t>
  </si>
  <si>
    <t>Poecilia latipinna</t>
  </si>
  <si>
    <t>http://www.jstor.org/stable/2408916</t>
  </si>
  <si>
    <t>Genetic study, but has field component</t>
  </si>
  <si>
    <t>Global Change Biology</t>
  </si>
  <si>
    <t>10.1111/j.1365-2486.2008.01799.x</t>
  </si>
  <si>
    <t>Kenya</t>
  </si>
  <si>
    <t>Porite growth anomaly</t>
  </si>
  <si>
    <t>Number of sites were given in a range, I used the average of the range.</t>
  </si>
  <si>
    <t>Benthic cover</t>
  </si>
  <si>
    <t>Seawater</t>
  </si>
  <si>
    <t>plot_res\sample_duration\study_duration\t_btw_samp</t>
  </si>
  <si>
    <t>Proceedings of the Royal Society B-Biological Sciences</t>
  </si>
  <si>
    <t>10.1098/rspb.2007.0424</t>
  </si>
  <si>
    <t>Lamprotornis superbus</t>
  </si>
  <si>
    <t>10.1525/auk.2009.09140</t>
  </si>
  <si>
    <t>Ecosystems</t>
  </si>
  <si>
    <t>10.1007/s10021-003-0127-y</t>
  </si>
  <si>
    <t>New York</t>
  </si>
  <si>
    <t>Soil Sampling</t>
  </si>
  <si>
    <t>Soil Water</t>
  </si>
  <si>
    <t>sample taken with lysimeter</t>
  </si>
  <si>
    <t>sample taken with zero tension lysimeter, which has a different size, so I gave it a new line</t>
  </si>
  <si>
    <t>Behavioral Ecology</t>
  </si>
  <si>
    <t>doi:10.1093/beheco/art072</t>
  </si>
  <si>
    <t>Canada</t>
  </si>
  <si>
    <t>Lepomis macrochirus</t>
  </si>
  <si>
    <t>Number of sites were not provided: best estimate made</t>
  </si>
  <si>
    <t>doi: 10.1111/j.1365-2486.2010.02356.x</t>
  </si>
  <si>
    <t>Fiji</t>
  </si>
  <si>
    <t>L. scabra</t>
  </si>
  <si>
    <t>" undertaken at midday low tides over four different days"</t>
  </si>
  <si>
    <t>10.1007/s10021-012-9621-4</t>
  </si>
  <si>
    <t>Tanzania</t>
  </si>
  <si>
    <t>Soil</t>
  </si>
  <si>
    <t>sample_duration\study_duration\study_span</t>
  </si>
  <si>
    <t>N2 fixation rate</t>
  </si>
  <si>
    <t>plot_res;samp_duration</t>
  </si>
  <si>
    <t>Leaf samples of trees</t>
  </si>
  <si>
    <t>biomass and production of herbaceous vegetation</t>
  </si>
  <si>
    <t>Aug 2009-Jan 2010</t>
  </si>
  <si>
    <t>grass cover</t>
  </si>
  <si>
    <t>sample_duration\study_duration\t_btw_samp\study_duration\study_span</t>
  </si>
  <si>
    <t>10.1111/j.1365-2486.2011.02433.x</t>
  </si>
  <si>
    <t>remote sensing</t>
  </si>
  <si>
    <t>Alaska</t>
  </si>
  <si>
    <t>CO₂</t>
  </si>
  <si>
    <t>sample_duration\study_duration\t_btw_samp</t>
  </si>
  <si>
    <t>Short flight transect, 110 repeats</t>
  </si>
  <si>
    <t>Long flight transect, 42 repeats</t>
  </si>
  <si>
    <t>PER transect, 35 repeats</t>
  </si>
  <si>
    <t>MODIS NDVI</t>
  </si>
  <si>
    <t>passive/automated data collection</t>
  </si>
  <si>
    <t>ecosystem flux measurements</t>
  </si>
  <si>
    <t>Biological Conservation</t>
  </si>
  <si>
    <t>10.1016/j.biocon.2011.11.008</t>
  </si>
  <si>
    <t xml:space="preserve">Solomon Islands </t>
  </si>
  <si>
    <t>Understory plant diversity</t>
  </si>
  <si>
    <t>April and May 2009</t>
  </si>
  <si>
    <t>10.1111/j.1365-2486.2006.01197.x</t>
  </si>
  <si>
    <t>China</t>
  </si>
  <si>
    <t>CO2 and H2O flux</t>
  </si>
  <si>
    <t>Biology Letters</t>
  </si>
  <si>
    <t>10.1098/rsbl.2009.0872</t>
  </si>
  <si>
    <t>Scotland</t>
  </si>
  <si>
    <t>Trout</t>
  </si>
  <si>
    <t>sampled with net over 1 year</t>
  </si>
  <si>
    <t>ISBN-13: 978-1-4051-2991-6</t>
  </si>
  <si>
    <t>sampled by electrofishing over 9 years</t>
  </si>
  <si>
    <t>Journal of Ecology</t>
  </si>
  <si>
    <t>10.1111/j.1365-2745.2010.01687.x</t>
  </si>
  <si>
    <t>Luxembourg</t>
  </si>
  <si>
    <t>Plant species</t>
  </si>
  <si>
    <t>Leaf collection from individual plants</t>
  </si>
  <si>
    <t>Heigh measurement</t>
  </si>
  <si>
    <t>Soil moisture</t>
  </si>
  <si>
    <t>Biogeosciences</t>
  </si>
  <si>
    <t>10.5194/bg-6-439-2009</t>
  </si>
  <si>
    <t>Atlantic Ocean</t>
  </si>
  <si>
    <t>Anthropogenic Carbon</t>
  </si>
  <si>
    <t>http://cdiac.ornl.gov/ftp/oceans/CARINA/Knorr/316N20020530/316N20020530do.pdf</t>
  </si>
  <si>
    <t>http://cdiac.ornl.gov/ftp/oceans/a14a13woce/Rios2003JGR108.pdf; NSeas-Knorr</t>
  </si>
  <si>
    <t>10.1029/2000JC000366</t>
  </si>
  <si>
    <t>WOCE A14</t>
  </si>
  <si>
    <t>http://cdiac.ornl.gov/ftp/oceans/i06bwoce/i06sb_info.doc</t>
  </si>
  <si>
    <t>WOCE I06S</t>
  </si>
  <si>
    <t>http://cdiac.ornl.gov/oceans/ndp_085/</t>
  </si>
  <si>
    <t>CLIVAR A16N</t>
  </si>
  <si>
    <t>10.1016/j.biocon.2011.12.002</t>
  </si>
  <si>
    <t>North Sea/Baltic Sea</t>
  </si>
  <si>
    <t>Bird Species</t>
  </si>
  <si>
    <t>Plane</t>
  </si>
  <si>
    <t>Ship</t>
  </si>
  <si>
    <t>10.1007/s00442-008-1108-9</t>
  </si>
  <si>
    <t>Hawaii</t>
  </si>
  <si>
    <t>Ferns</t>
  </si>
  <si>
    <t>This paper did not provide much data to extract- several fields are pure estimates</t>
  </si>
  <si>
    <t>10.1016/j.biocon.2009.11.018</t>
  </si>
  <si>
    <t>Global</t>
  </si>
  <si>
    <t>Human Footprint</t>
  </si>
  <si>
    <t>10.1080/014311697218485</t>
  </si>
  <si>
    <t>Nighttime lights dataset at 2.7 km</t>
  </si>
  <si>
    <t>10.1080/014311600210191</t>
  </si>
  <si>
    <t>AVHRR 1 km landcover dataset</t>
  </si>
  <si>
    <t>Frontiers in Ecology and the Environment</t>
  </si>
  <si>
    <t>10.1890/080192</t>
  </si>
  <si>
    <t>Panda Habitat</t>
  </si>
  <si>
    <t>n_sites\samp_duratiion\t_Btwn_Samp\study_duration</t>
  </si>
  <si>
    <t>10.1111/j.1365-2486.2011.02448.x</t>
  </si>
  <si>
    <t>Panama</t>
  </si>
  <si>
    <t>CO₂ and CH4 fluxes</t>
  </si>
  <si>
    <t>t_btwn_samp\samp_duration</t>
  </si>
  <si>
    <t>Flux samples within peat</t>
  </si>
  <si>
    <t>Flux samples above peat</t>
  </si>
  <si>
    <t>Peat Core (Exsitu)</t>
  </si>
  <si>
    <t xml:space="preserve">Ex situ flux </t>
  </si>
  <si>
    <t>10.1098/rspb.2011.0708</t>
  </si>
  <si>
    <t>Western Mediterranean Sea</t>
  </si>
  <si>
    <t>A. minitum</t>
  </si>
  <si>
    <t>10.1007/s00227-005-0067-5</t>
  </si>
  <si>
    <t>10.1007/s00442-007-0856-2</t>
  </si>
  <si>
    <t>Connecticut/Massachusetts/New Hampshire</t>
  </si>
  <si>
    <t>Ambystoma maculatum</t>
  </si>
  <si>
    <t>10.1098/rspb.2005.3359</t>
  </si>
  <si>
    <t>California</t>
  </si>
  <si>
    <t>Timema cristinae</t>
  </si>
  <si>
    <t>10.5194/bg-8-687-2011</t>
  </si>
  <si>
    <t>Lake Mashu</t>
  </si>
  <si>
    <t>Nitrate Concentrations</t>
  </si>
  <si>
    <t>samp_duration\study_span</t>
  </si>
  <si>
    <t>10.1007/s00442-012-2438-1</t>
  </si>
  <si>
    <t>Australia</t>
  </si>
  <si>
    <t>Avifauana</t>
  </si>
  <si>
    <t>1995-1997</t>
  </si>
  <si>
    <t>1996-1997</t>
  </si>
  <si>
    <t>2001-2002</t>
  </si>
  <si>
    <t>10.1007/s00442-005-0033-4</t>
  </si>
  <si>
    <t>New Zealand</t>
  </si>
  <si>
    <t>nutrient limitation in bog species</t>
  </si>
  <si>
    <t>foliage samples of shrubs and heraceous plants</t>
  </si>
  <si>
    <t>plot resolution; sampling duration</t>
  </si>
  <si>
    <t>mycorrhizal status of roots</t>
  </si>
  <si>
    <t>Landscape Ecology</t>
  </si>
  <si>
    <t>10.1007/s10980-008-9230-y</t>
  </si>
  <si>
    <t>Colorado and Montana, US</t>
  </si>
  <si>
    <t>influence of prairie dog colonies on mountain plover nesting</t>
  </si>
  <si>
    <t>10.1016/j.biocon.2011.12.018</t>
  </si>
  <si>
    <t>Nigeria and Cameroon</t>
  </si>
  <si>
    <t>importance of protected areas as sources of bushmeat for trade</t>
  </si>
  <si>
    <t>plot size; sampling duration</t>
  </si>
  <si>
    <t>Global Ecology and Biogeography</t>
  </si>
  <si>
    <t>10.1111/j.1466-8238.2011.00658.x</t>
  </si>
  <si>
    <t>other geographic data (GIS)</t>
  </si>
  <si>
    <t>Ontario, Canada</t>
  </si>
  <si>
    <t>responses of bird richness to habitat loss</t>
  </si>
  <si>
    <t>ISBN: 978-1-896059-15-0</t>
  </si>
  <si>
    <t>plot resolution; sampling duration; time between sampling; study span</t>
  </si>
  <si>
    <t>sampling duration; study duration, study span</t>
  </si>
  <si>
    <t>habitat heterogeneity (Landsat TM data) re-sampled to 10 x 10 km grid cells</t>
  </si>
  <si>
    <t>solar radiation estimated from DEM</t>
  </si>
  <si>
    <t>climate and productivity (NDVI) re-sampled to 10 x 10 km grid cells</t>
  </si>
  <si>
    <t>10.1111/j.1466-822x.2004.00139.x</t>
  </si>
  <si>
    <t>United Kingdom</t>
  </si>
  <si>
    <t>responses of birds to human population density and energy availability</t>
  </si>
  <si>
    <t>ISBN-13: 978-0856610752</t>
  </si>
  <si>
    <t>other geographic data (census)</t>
  </si>
  <si>
    <t>ISBN-978-0-11-691361-6</t>
  </si>
  <si>
    <t>human population density from 1991 census</t>
  </si>
  <si>
    <t>http://www.metoffice.gov.uk/public/weather/climate-network/#?tab=climateNetwork</t>
  </si>
  <si>
    <t>temperature as proxy for energy availability, from meteorological station readings</t>
  </si>
  <si>
    <t>10.1016/j.biocon.2007.02.009</t>
  </si>
  <si>
    <t>Florida, US</t>
  </si>
  <si>
    <t>demography of herb in Florida scrub and roadside habitats</t>
  </si>
  <si>
    <t>seedling recruitment each Feb</t>
  </si>
  <si>
    <t>plant height and reproduction number each Aug</t>
  </si>
  <si>
    <t>number of reproductive structures in 1994-96,1998,2000</t>
  </si>
  <si>
    <t>plot size</t>
  </si>
  <si>
    <t>seed set from distal mature fruit in 1995,1996,1998</t>
  </si>
  <si>
    <t>10.1111/j.1365-2745.2012.01981.x</t>
  </si>
  <si>
    <t>Montana, US</t>
  </si>
  <si>
    <t>effects of gender and stress on facilitation</t>
  </si>
  <si>
    <t>sex, area, and number of flowers of cushions</t>
  </si>
  <si>
    <t># individuals of all plant species in cushion/non-cushion plots</t>
  </si>
  <si>
    <t>% cover of plant beneficiaries</t>
  </si>
  <si>
    <t>length, width, and specific leaf area of cushions</t>
  </si>
  <si>
    <t>number of seeds and mean length of fruits</t>
  </si>
  <si>
    <t>temperature loggers</t>
  </si>
  <si>
    <t>10.5194/bg-7-2509-2010</t>
  </si>
  <si>
    <t>Bermuda Reef</t>
  </si>
  <si>
    <t>responses of coral calcification to seasonal changes</t>
  </si>
  <si>
    <t>DIC, TA sampled with Niskin sampler</t>
  </si>
  <si>
    <t>salinity/in situ temperature sampled with SeaBird SBE-9 conductivity sensor</t>
  </si>
  <si>
    <t>pCO2, seawater temp, fluorescence sampled with CARIOCA buoy</t>
  </si>
  <si>
    <t>wind speed data and net shortwave radiation from Bermuda Weather Service</t>
  </si>
  <si>
    <t>coral reef densities</t>
  </si>
  <si>
    <t>10.5194/bg-10-1131-2013</t>
  </si>
  <si>
    <t>Arabian Sea</t>
  </si>
  <si>
    <t>availability of microbes regulating organic matter</t>
  </si>
  <si>
    <t>surface sediments sampled with multiple corer (for OM)</t>
  </si>
  <si>
    <t>CTD profile with oxygen sensor sampled with SeaBird SBE-43 sensor</t>
  </si>
  <si>
    <t>10.1111/j.1365-2486.2010.02164.x</t>
  </si>
  <si>
    <t>US &amp; Canada</t>
  </si>
  <si>
    <t>monitoring plant phenology with public cameras</t>
  </si>
  <si>
    <t>Public camera photos</t>
  </si>
  <si>
    <t>MODIS daily NDVI</t>
  </si>
  <si>
    <t>MODIS yearly land cover</t>
  </si>
  <si>
    <t>10.1016/j.biocon.2011.08.007</t>
  </si>
  <si>
    <t>Australia &amp; Kangaroo Island</t>
  </si>
  <si>
    <t>genetic and morphological divergence in island and mainland birds</t>
  </si>
  <si>
    <t>bird captures in mist nets</t>
  </si>
  <si>
    <t>blood samples from bird captures</t>
  </si>
  <si>
    <t>morphometrics (8 measurements)</t>
  </si>
  <si>
    <t>10.1098/rspb.2006.3654</t>
  </si>
  <si>
    <t>France</t>
  </si>
  <si>
    <t>factors altering behaviors of parasite hosts</t>
  </si>
  <si>
    <t>length data from doi:10.1098/rspb.1995.0103</t>
  </si>
  <si>
    <t>protein extraction</t>
  </si>
  <si>
    <t>10.1111/j.1365-2745.2007.01258.x</t>
  </si>
  <si>
    <t>Kalimantan, Indonesia</t>
  </si>
  <si>
    <t>reproductive phenology of lowland evergreen rain forest</t>
  </si>
  <si>
    <t>tree sampling: leaf flushing, leaf senescence, flowering, and fruit production</t>
  </si>
  <si>
    <t>rainfall measurements</t>
  </si>
  <si>
    <t>min/max temperature measurements</t>
  </si>
  <si>
    <t>10.1111/j.1365-2486.2004.00739.x</t>
  </si>
  <si>
    <t>New York, US</t>
  </si>
  <si>
    <t>response of night-time respiration to day-time photosynthesis</t>
  </si>
  <si>
    <t>incident irradiance, air temperature, relative humidity</t>
  </si>
  <si>
    <t>daylight photosynthesis measurements and leaf irradiance</t>
  </si>
  <si>
    <t>night-time respiration measurements and leaf irradiance</t>
  </si>
  <si>
    <t>Agriculture Ecosystems &amp; Environment</t>
  </si>
  <si>
    <t>10.1016/j.agee.2005.08.035</t>
  </si>
  <si>
    <t>carabid diversity in agricultural landscapes</t>
  </si>
  <si>
    <t>carabid diversity</t>
  </si>
  <si>
    <t>carabid diversity (note that this is the same study as above, just different sampling resolutions)</t>
  </si>
  <si>
    <t>plant species, height of dominant plant species, soil salt contents, alkali-soluble soil nitrogen. Very poorly annotated in the text, no information on methods for collecting these samples or plot sizes</t>
  </si>
  <si>
    <t>10.1098/rsbl.2010.0401</t>
  </si>
  <si>
    <t>Mobile River Basin, US (Alabama, Georgia, Mississippi, Tennessee)</t>
  </si>
  <si>
    <t>morphological responses of a fish to water impoundment</t>
  </si>
  <si>
    <t>18 morphometric characteristics</t>
  </si>
  <si>
    <t>10.1016/j.agee.2014.03.030</t>
  </si>
  <si>
    <t>California, US</t>
  </si>
  <si>
    <t>effects of hedgerows on insects in intensive agricultural landscapes</t>
  </si>
  <si>
    <t>sweep samples</t>
  </si>
  <si>
    <t>sticky card samples</t>
  </si>
  <si>
    <t>visual ID of pests on leaves</t>
  </si>
  <si>
    <t>visual ID of pests on fruit</t>
  </si>
  <si>
    <t>categorizing land from orthophotos (aerial imagery)</t>
  </si>
  <si>
    <t>10.1016/j.agee.2006.02.008</t>
  </si>
  <si>
    <t>Denmark</t>
  </si>
  <si>
    <t>effects of reduced herbicde on arable weeds</t>
  </si>
  <si>
    <t>crop data (height, phenological stage, dry weight) and data on five most abundant weed species</t>
  </si>
  <si>
    <t>10.1007/s00442-003-1288-2</t>
  </si>
  <si>
    <t>Italy</t>
  </si>
  <si>
    <t>temporal variability of abundance, sex ratio, and activity of butterflies</t>
  </si>
  <si>
    <t>time between samples</t>
  </si>
  <si>
    <t>butterfly densities and sex</t>
  </si>
  <si>
    <t>temperature readings during secondary sampling periods</t>
  </si>
  <si>
    <t>observer</t>
  </si>
  <si>
    <t>extentObserver</t>
  </si>
  <si>
    <t>journal</t>
  </si>
  <si>
    <t>DOI/title</t>
  </si>
  <si>
    <t>study_year</t>
  </si>
  <si>
    <t>study_type</t>
  </si>
  <si>
    <t>country_region</t>
  </si>
  <si>
    <t>subject_matter</t>
  </si>
  <si>
    <t>plot_res</t>
  </si>
  <si>
    <t>n_sites</t>
  </si>
  <si>
    <t>eff_extent</t>
  </si>
  <si>
    <t>samp_duration</t>
  </si>
  <si>
    <t>t_btwn_samp</t>
  </si>
  <si>
    <t>composition</t>
  </si>
  <si>
    <t>structure</t>
  </si>
  <si>
    <t>function</t>
  </si>
  <si>
    <t>tax_breadth</t>
  </si>
  <si>
    <t>DOI_data_source</t>
  </si>
  <si>
    <t>sensitivity</t>
  </si>
  <si>
    <t>notes</t>
  </si>
  <si>
    <t>Estes</t>
  </si>
  <si>
    <t>DOI: 10.1007/s10021-013-9637-4</t>
  </si>
  <si>
    <t>field_direct observation</t>
  </si>
  <si>
    <t>Czech Republic</t>
  </si>
  <si>
    <t>methane emissions from bogs</t>
  </si>
  <si>
    <t>methane samples and greenness</t>
  </si>
  <si>
    <t>plot_res; eff_extent</t>
  </si>
  <si>
    <t>water samples</t>
  </si>
  <si>
    <t>temp samples</t>
  </si>
  <si>
    <t>t_btwn_samp; eff_extent</t>
  </si>
  <si>
    <t>air and soil temp measurements</t>
  </si>
  <si>
    <t>tax_breadth; eff_extent</t>
  </si>
  <si>
    <t>soil samples for CH4 production, as well as DNA samples of archaea</t>
  </si>
  <si>
    <t>Proc Royal B</t>
  </si>
  <si>
    <t>http://dx.doi.org/10.1098/rspb.2013.1016</t>
  </si>
  <si>
    <t>passive/automated data</t>
  </si>
  <si>
    <t>US (Alaska)</t>
  </si>
  <si>
    <t>bird circadian rythyms</t>
  </si>
  <si>
    <t>samp_duration, t_btwn_samples, n_sites; eff_extent</t>
  </si>
  <si>
    <t>circadian rythym observations. N_sites uncertain because probably about half of birds were tagged in each season (probably no repeats)</t>
  </si>
  <si>
    <t>samp_duration; eff_extent</t>
  </si>
  <si>
    <t>blood sample, assume 1 minute</t>
  </si>
  <si>
    <t>DOI:10.1007/s00442-004-1742-9</t>
  </si>
  <si>
    <t>Australia (Northern Territory)</t>
  </si>
  <si>
    <t>python parasite loading</t>
  </si>
  <si>
    <t>plot_res; t_btwn_samp; study_duration</t>
  </si>
  <si>
    <t>Full sample of pythons, where measurements were for single date</t>
  </si>
  <si>
    <t>Recaptured sample between 2001 and 2002</t>
  </si>
  <si>
    <t>Recaptured sample within a month</t>
  </si>
  <si>
    <t>Biol Cons</t>
  </si>
  <si>
    <t>doi:10.1016/j.biocon.2007.12.021</t>
  </si>
  <si>
    <t>spatial patterns of hunting</t>
  </si>
  <si>
    <t>plot_res; n_sites; sampled_area; samp_duration; t_btwn_samp</t>
  </si>
  <si>
    <t>I made the hunted animals the sample units, rather than the hunting households themselves. I could also have recorded hunting area extent, which was 131 km2</t>
  </si>
  <si>
    <t>Advances in Ecological Research</t>
  </si>
  <si>
    <t>DOI: 10.1016/S0065-2504(07)00009-8</t>
  </si>
  <si>
    <t>Greenland</t>
  </si>
  <si>
    <t>hydrology and sediment transport</t>
  </si>
  <si>
    <t>DOI: 10.1016/S0065-2504(07)00006-2</t>
  </si>
  <si>
    <t>study_duration</t>
  </si>
  <si>
    <t>rain gauge information, and presumably inputs to models, soil moisture, etc,</t>
  </si>
  <si>
    <t>samp_duration; study_duration</t>
  </si>
  <si>
    <t>discharge measurements</t>
  </si>
  <si>
    <t>res; study_duration; eff_extent</t>
  </si>
  <si>
    <t>sediment measurements, assume also attachs to water chemistry</t>
  </si>
  <si>
    <t>Jecology</t>
  </si>
  <si>
    <t>doi: 10.1111/j.1365-2745.2009.01550.x2009</t>
  </si>
  <si>
    <t>US (CA ; OR)</t>
  </si>
  <si>
    <t>pathogen prevalence and host fecundity in grasses</t>
  </si>
  <si>
    <t>plot_res; n_sites; eff_extent</t>
  </si>
  <si>
    <t>Fecundity and pathogen loading samples</t>
  </si>
  <si>
    <t>samp_duration; study_duration; eff_extent</t>
  </si>
  <si>
    <t>Biomass clippings - it is something to consider whether we should assume these measures reflect time to sample, or should they instead represent the time signficance to each thing being sampled (for a clipped piece of grass, it represents biomass at that instant, not over two hours of growth)</t>
  </si>
  <si>
    <t>Areal cover of grass</t>
  </si>
  <si>
    <t>soil cores of texture and nutrient status</t>
  </si>
  <si>
    <t>EcolAppl</t>
  </si>
  <si>
    <t>10.1890/08-0611.1</t>
  </si>
  <si>
    <t>Mexico (Yaqui Valley)</t>
  </si>
  <si>
    <t>N use efficiency in crops</t>
  </si>
  <si>
    <t>10.2134/agronj2005.0241</t>
  </si>
  <si>
    <t>plot_res; n_sites; sampled_area; eff_extent; samp_duration; t_btwn_samp; act_duration</t>
  </si>
  <si>
    <t>plo_res; samp_duration; study_span; eff_extent</t>
  </si>
  <si>
    <t>Soil samples at farmers' fields</t>
  </si>
  <si>
    <t>Weather station observations. Not sure of frequency in these</t>
  </si>
  <si>
    <t>DOI: 10.1007/s10021-007-9072-5</t>
  </si>
  <si>
    <t xml:space="preserve">Spain </t>
  </si>
  <si>
    <t>coral population structure and harvesting impacts</t>
  </si>
  <si>
    <t>DOI 10.1007/s00227-006-0302-8</t>
  </si>
  <si>
    <t>plot_res; samp_duration; eff_extent</t>
  </si>
  <si>
    <t>Colony abundance; poor record in referenced paper of N quadrats of each size</t>
  </si>
  <si>
    <t>plot_res; n_sites; sampled_area; eff_extent</t>
  </si>
  <si>
    <t>Basal diameter and colony height. Had to work out camera frame size</t>
  </si>
  <si>
    <t>Ecol Mon</t>
  </si>
  <si>
    <t>10.1890/12-0114.1</t>
  </si>
  <si>
    <t>Inner Mongolia, China</t>
  </si>
  <si>
    <t>grazing impacts on N</t>
  </si>
  <si>
    <t>grassland composition plots</t>
  </si>
  <si>
    <t>10.1016/j.catena.2008.06.003; 10.1016/j.jaridenv.2007.09.004</t>
  </si>
  <si>
    <t>dust deposition and N deposition</t>
  </si>
  <si>
    <t>10.1007/s00374-009-0378-7</t>
  </si>
  <si>
    <t>samp_duration; study_span; eff_extent</t>
  </si>
  <si>
    <t>N fixation by cyanobacteria</t>
  </si>
  <si>
    <t>10.1007/s10021-007-9043-x</t>
  </si>
  <si>
    <t>N20 fluxes</t>
  </si>
  <si>
    <t>study_duration; eff_extent</t>
  </si>
  <si>
    <t>10.1007/s11104-008-9579-3</t>
  </si>
  <si>
    <t>plot_res; n_sites; samp_duration; t_btwn_samp; eff_extent</t>
  </si>
  <si>
    <t>Above ground biomass, ANPP: had to parse and guess methods from a different cited study (Gao et al 2008)</t>
  </si>
  <si>
    <t>n_sites; samp_duration; t_btwn_samp; eff_extent</t>
  </si>
  <si>
    <t>Augurs for Root biomass; BNPP; live:dead ratio</t>
  </si>
  <si>
    <t>n_sites; samp_duration; eff_extent</t>
  </si>
  <si>
    <t>In growth cores for biomass, BNPP; root biomass N concentrations</t>
  </si>
  <si>
    <t>plot_res; samp_duration; study_span; eff_extent</t>
  </si>
  <si>
    <t>soil cores: bulk density, N, OC</t>
  </si>
  <si>
    <t>soil pits: amount, composition, turnover of SOM</t>
  </si>
  <si>
    <t>Div Dist</t>
  </si>
  <si>
    <t>10.1111/j.1366-9516.2005.00187.x</t>
  </si>
  <si>
    <t>Victoria, Australia</t>
  </si>
  <si>
    <t>Ecological boundary detection</t>
  </si>
  <si>
    <t>Percent cover of all plants in quadrat</t>
  </si>
  <si>
    <t>Five soil variables</t>
  </si>
  <si>
    <t>Minas Gerais, Brazil</t>
  </si>
  <si>
    <t>10.1111/j.1442-9993.2004.01373.x</t>
  </si>
  <si>
    <t>Arthropod sampling</t>
  </si>
  <si>
    <t>air temp, luminosity, air moisture</t>
  </si>
  <si>
    <t>Oikos</t>
  </si>
  <si>
    <t>10.1111/j.1600-0706.2011.19771.x</t>
  </si>
  <si>
    <t>Indiana, USA</t>
  </si>
  <si>
    <t>scavenger community response</t>
  </si>
  <si>
    <t>http://digitalcommons.unl.edu/hwi/40</t>
  </si>
  <si>
    <t>Racoon abundance in control plots</t>
  </si>
  <si>
    <t>10.5194/bg-10-5325-2013</t>
  </si>
  <si>
    <t>Germany</t>
  </si>
  <si>
    <t>Sea surface nanolayer seasonality</t>
  </si>
  <si>
    <t>samp_duration; t_btwn_samp; study_duration; study_span; eff_extent</t>
  </si>
  <si>
    <t>Unclear how many 7 dip samples were made each month. N repeats based on counting points on graph. Exact start and end dates not reported</t>
  </si>
  <si>
    <t>10.5194/bg-11-463-2014</t>
  </si>
  <si>
    <t>South Atlantic</t>
  </si>
  <si>
    <t>nutrient controls on phytoplankton</t>
  </si>
  <si>
    <t>plot_res; n_sites; sampled_area; samp_duration; eff_extent</t>
  </si>
  <si>
    <t>CTD meaures with Seabird 911 sampler: this was a depth profiler, so probably down to 120 m</t>
  </si>
  <si>
    <t>plot_res; n_sites; samp_duration; eff_extent</t>
  </si>
  <si>
    <t>Shipborne PAR readings</t>
  </si>
  <si>
    <t>MODIS SST and chl-A.  Many of these values were estimated with R, probably pretty closely to actual values in paper. Main uncertainty is what MODIS dates they used</t>
  </si>
  <si>
    <t>plot_res; n_sites; sampled_area; samp_duration; t_btwn_samp; study_duration; eff_extent</t>
  </si>
  <si>
    <t>Trace metal samples. When samples were taken is unclear</t>
  </si>
  <si>
    <t>Behav Ecol</t>
  </si>
  <si>
    <t>10.1093/beheco/arj023</t>
  </si>
  <si>
    <t>effects of androgen on different bird sexes</t>
  </si>
  <si>
    <t>NA</t>
  </si>
  <si>
    <t>plot_res; sampled_area; samp_duration; study_duration; study_span; eff_extent</t>
  </si>
  <si>
    <t>Monitoring eggs in broods/nest.  Very little detail given on dates or number of nests, in particular</t>
  </si>
  <si>
    <t>10.1890/07-2088.1</t>
  </si>
  <si>
    <t>US (MS; NC)</t>
  </si>
  <si>
    <t>Pine pollen viability response</t>
  </si>
  <si>
    <t>plot_res; n_sites; sampled_area; samp_duration; study_duration; eff_extent</t>
  </si>
  <si>
    <t>Main uncertainty here was n_sites.</t>
  </si>
  <si>
    <t>GCB</t>
  </si>
  <si>
    <t>10.1111/j.1365-2486.2009.02037.x</t>
  </si>
  <si>
    <t>NJ, USA</t>
  </si>
  <si>
    <t>C flux due to insect outbreak</t>
  </si>
  <si>
    <t>10.1111/j.1365-2486.2009.01983.x</t>
  </si>
  <si>
    <t>samp_duration; study_duration; study_span; eff_extent</t>
  </si>
  <si>
    <t>Main forest plots (Silas Little)</t>
  </si>
  <si>
    <t>plot_res; sampled_area; study_duration; study_span; eff_extent</t>
  </si>
  <si>
    <t>Met data, including windspeed for eddy flux</t>
  </si>
  <si>
    <t>samp_duration; study_duration; study_span</t>
  </si>
  <si>
    <t>sub-plot</t>
  </si>
  <si>
    <t>increment cores</t>
  </si>
  <si>
    <t>study_duration; study_span</t>
  </si>
  <si>
    <t>litter accumulation</t>
  </si>
  <si>
    <t>plot_res; sampled_area</t>
  </si>
  <si>
    <t>sap flux</t>
  </si>
  <si>
    <t>plot_res; sampled_area; samp_duration; study_duration</t>
  </si>
  <si>
    <t>Leaf gas exchange, leaf nutrient, C content also</t>
  </si>
  <si>
    <t>plot_res; sampled area; study_duration; study_span; eff_extent</t>
  </si>
  <si>
    <t>gas analyzer as part of Eddy flux measurement</t>
  </si>
  <si>
    <t>n_sites; sampled_area; samp_duration; study_duration; eff_extent</t>
  </si>
  <si>
    <t>biomass and LAI</t>
  </si>
  <si>
    <t>plot_res; n_sites; sampled_area; samp_duration; t_btwn_samp; study_duration; study_span; eff_extent</t>
  </si>
  <si>
    <t>Leaf area profile from upward looking lidar</t>
  </si>
  <si>
    <t>MethodsEcolEvo</t>
  </si>
  <si>
    <t>10.1111/2041-210X.12096</t>
  </si>
  <si>
    <t>Southern Indian Ocean</t>
  </si>
  <si>
    <t>Turning angle estimation methods</t>
  </si>
  <si>
    <t>10.1073/pnas.1121201109; 10.1890/04-1866</t>
  </si>
  <si>
    <t>plot_res; samples_area; samp_duration; study_duration; eff_extent</t>
  </si>
  <si>
    <t>Wandering albatross flight GPS data. Calculations made in calcs sheet</t>
  </si>
  <si>
    <t>10.1111/j.1365-2745.2004.00961.x</t>
  </si>
  <si>
    <t>Edge effects on different mistletoe recruitment stages</t>
  </si>
  <si>
    <t>http://www.jstor.org/stable/24058216</t>
  </si>
  <si>
    <t>Adult and juvenile growth rate samples</t>
  </si>
  <si>
    <t>plot_res; sampled_area; samp_duration; study_duration; eff_extent</t>
  </si>
  <si>
    <t>seedling growth</t>
  </si>
  <si>
    <t>10.1111/j.1365-2486.2011.02592.x</t>
  </si>
  <si>
    <t>Colorado, USA</t>
  </si>
  <si>
    <t>Drought-induced biomass declines</t>
  </si>
  <si>
    <t>plot_res; samp_duration; t_btwn_samp; study_duration; eff_extent</t>
  </si>
  <si>
    <t>Aspen biomass plots</t>
  </si>
  <si>
    <t>Landsat estimate of NPV.  Note, a DEM was also mentioned, but no details given.  Assumed same characteristics as landsat (SRTM), just added one further structural depth (height)</t>
  </si>
  <si>
    <t>10.5194/bg-2-43-2005</t>
  </si>
  <si>
    <t>Mediterranean</t>
  </si>
  <si>
    <t>Seagrass meadow system respiration</t>
  </si>
  <si>
    <t>http://link.springer.com/article/10.1007/BF02784990</t>
  </si>
  <si>
    <t>samp_duration; t_btwn_samp; study_duration; eff_extent</t>
  </si>
  <si>
    <t>Incubations</t>
  </si>
  <si>
    <t>Direct current measurements with doppler</t>
  </si>
  <si>
    <t>plot_res; sampled_area; eff_extent</t>
  </si>
  <si>
    <t>Plankton GPP and CR and chlA</t>
  </si>
  <si>
    <t>Fluorescence using CTD scanning</t>
  </si>
  <si>
    <t>Light penetration readings</t>
  </si>
  <si>
    <t>n_sites; sampled_area; samp_duration; t_btwn_samp; study_duration; eff_extent</t>
  </si>
  <si>
    <t>Solar radiation measurements during cruise</t>
  </si>
  <si>
    <t xml:space="preserve">Underwater temp, salinity measurements. </t>
  </si>
  <si>
    <t>Windspeed on EUBAL1</t>
  </si>
  <si>
    <t>Windspeed on EUBAL2</t>
  </si>
  <si>
    <t>Ahmed</t>
  </si>
  <si>
    <t>10.5194/bg-10-7661-2013</t>
  </si>
  <si>
    <t>Gypsum Hill, Axel Heiberg Island, Nunavut, Canada</t>
  </si>
  <si>
    <t>Community characterization of gypsum endoliths</t>
  </si>
  <si>
    <t>plot_res; n_sites; eff_extent; act_extent; samp_duration; act_duration; eff_duration</t>
  </si>
  <si>
    <t>Rock samples for species</t>
  </si>
  <si>
    <t>automated data collection</t>
  </si>
  <si>
    <t>surface temp sensor @ 15 minute interval</t>
  </si>
  <si>
    <t>surface temp sensor @ 1 sec interval</t>
  </si>
  <si>
    <t>air temp probe @ 15 minute interval</t>
  </si>
  <si>
    <t>air temp probe @ 1 sec interval</t>
  </si>
  <si>
    <t>PAR sensor @ 15 minute interval</t>
  </si>
  <si>
    <t>PAR sensor @ 1 sec interval</t>
  </si>
  <si>
    <t>10.1016/j.biocon.2008.09.014</t>
  </si>
  <si>
    <t>Lake Michigan and Lake Superior, USA</t>
  </si>
  <si>
    <t xml:space="preserve">Relative fitness of wild vs. captive piping plovers </t>
  </si>
  <si>
    <t>plot_res; n_sites; samp_duration; samp_duration; t_btwn_samp; study_duration; eff_extent</t>
  </si>
  <si>
    <t>Use Piping plover nests as observational unit</t>
  </si>
  <si>
    <t>10.1016/j.biocon.2008.08.021</t>
  </si>
  <si>
    <t>Southern Tablelands of New South Wales, Australia</t>
  </si>
  <si>
    <t>How fragmentation affects remnant vegetation in southeast Australia</t>
  </si>
  <si>
    <t>10.1016/j.biocon.2006.08.004</t>
  </si>
  <si>
    <t>Tree density estimates, done once-off I assume</t>
  </si>
  <si>
    <t>Reproductive output samples</t>
  </si>
  <si>
    <t>10.1890/1540-9295-11.10.520</t>
  </si>
  <si>
    <t>Mount Banahaw, Luzon, Philippines</t>
  </si>
  <si>
    <t>microclimate induced aboreality in frogs</t>
  </si>
  <si>
    <t>http://dx.doi.org/10.1098/rspb.2013.1581</t>
  </si>
  <si>
    <t>plot_res; t_btwn_samp; eff_extent</t>
  </si>
  <si>
    <t>Tree canopy data - the Philippines</t>
  </si>
  <si>
    <t>Singapore</t>
  </si>
  <si>
    <t>Tree canopy data - Singapore</t>
  </si>
  <si>
    <t>n_sites; sampled_area; samp_duration; eff_extent</t>
  </si>
  <si>
    <t xml:space="preserve"> air temp and min. moisture data - The Philippines</t>
  </si>
  <si>
    <t>n_sites; sampled_area; t_btwn_samp; study_duration; study_span; eff_Extent</t>
  </si>
  <si>
    <t>Tree transect survey - The Philippines</t>
  </si>
  <si>
    <t xml:space="preserve">10.1098/rspb.2013.1520 </t>
  </si>
  <si>
    <t xml:space="preserve">Chacamax River, Chiapas, Mexico </t>
  </si>
  <si>
    <t>Invasive aquarium fish species that alter nutrient dynamics in rivers</t>
  </si>
  <si>
    <t>Pterygoplichthys and native fish density</t>
  </si>
  <si>
    <t xml:space="preserve">10.1098/rspb.2009.2342 </t>
  </si>
  <si>
    <t>Wood River system, southwestern Alaska</t>
  </si>
  <si>
    <t>Influence of spawning salmon on phenology of insects in southwestern Alaska</t>
  </si>
  <si>
    <t>plot_res; n_sites; sampled_area; samp_duration, t_btwn_samp; eff_extent</t>
  </si>
  <si>
    <t>Temperature data from July to August (2007)</t>
  </si>
  <si>
    <t>Temperature data from September, 2007 to September, 2008</t>
  </si>
  <si>
    <t>plot_res; sampled_area; samp_duration; eff_extent</t>
  </si>
  <si>
    <t>Benthic insect capturing</t>
  </si>
  <si>
    <t>n_sites; sampled_area; eff_extent</t>
  </si>
  <si>
    <t>Emergence traps for insects</t>
  </si>
  <si>
    <t>10.1016/j.biocon.2014.02.010</t>
  </si>
  <si>
    <t>Scotian Shelf, Nova Scotia, Canada</t>
  </si>
  <si>
    <t>Surveying seabirds at-sea to create distribution models</t>
  </si>
  <si>
    <t>plot_res; sampled_area; t_btwn_samp; study_duration</t>
  </si>
  <si>
    <t>Includes flying and swimming birds</t>
  </si>
  <si>
    <t xml:space="preserve">10.1098/rspb.2007.1260 </t>
  </si>
  <si>
    <t>Northern Territory of Australia</t>
  </si>
  <si>
    <t>Testing horizontal transmission of HeV in flying foxes population</t>
  </si>
  <si>
    <t>Bat trappings using mist-nets and blood serology collections. Individual bats used instead of mist-net as plot resolution because no dimensions provided</t>
  </si>
  <si>
    <t>10.1111/j.1466-822X.2006.00193.x</t>
  </si>
  <si>
    <t>Sesia valley, Northern Italy</t>
  </si>
  <si>
    <t>dry, lentic and lotic moss data. See DOI data source for extracted data from papers; Revised no. of samples dry (n=24), lentic (n=4*17, 4 moss samples at each site) &amp; lotic (n=15 @ Res, 15 @ Argnaccia, 10 @ Valnava - assume one sample per site)</t>
  </si>
  <si>
    <t>10.1002/iroh.200310639</t>
  </si>
  <si>
    <t>Lentic moss data</t>
  </si>
  <si>
    <t>10.1007/s10750-004-5495-6; http://www2.muse.it/pubblicazioni/5/actaB80/02_actaBIO_fontaneto.pdf</t>
  </si>
  <si>
    <t>Lotic moss data in streams</t>
  </si>
  <si>
    <t>10.1016/j.agee.2013.07.007</t>
  </si>
  <si>
    <t>Zone Atelier “Plaines et Val de Sèvres”, Poitou-Charentes region, France</t>
  </si>
  <si>
    <t>Use of agri-envrionmental schemes (AES) by  honey bees and wild bees foraging</t>
  </si>
  <si>
    <t>plot_res; sampled_area; samp_duration; eff_extent; act_duration</t>
  </si>
  <si>
    <t>sampling of AES habitats (two sampling methods merged as single effect)</t>
  </si>
  <si>
    <t>Ecological Applications</t>
  </si>
  <si>
    <t>10.1890/09-2178.1</t>
  </si>
  <si>
    <t>Laurentian Shield, Quebec, Canada</t>
  </si>
  <si>
    <t>plot_res; samp_duration; study_duration</t>
  </si>
  <si>
    <t>Lake Drouin - Fish community</t>
  </si>
  <si>
    <t>Lake Pare - Fish community</t>
  </si>
  <si>
    <t>Density of macrophytes @ Lake Drouin &amp; Pare (combined)</t>
  </si>
  <si>
    <t>plot_res; samp_duration; study_duration; eff_duration</t>
  </si>
  <si>
    <t>10.5194/bg-10-6879-2013</t>
  </si>
  <si>
    <t>Murray Ridge, northern Arabian Sea</t>
  </si>
  <si>
    <t>bacterial role in carbon recycling in Arabian sea's oxygen minimum zone</t>
  </si>
  <si>
    <t>Oxygen concentration</t>
  </si>
  <si>
    <t>Soil core samples</t>
  </si>
  <si>
    <t>10.1007/s00442-012-2371-3</t>
  </si>
  <si>
    <t xml:space="preserve">Canton of Uri and Tincino, Switzerland </t>
  </si>
  <si>
    <t>soil respiration as proxy to understanding of NPP at high and low elevation in Alps</t>
  </si>
  <si>
    <t>t_btwn_samp; study_duration; study_span; eff_extent</t>
  </si>
  <si>
    <t>Basal area/canopy height</t>
  </si>
  <si>
    <t>Air and Soil Temperature</t>
  </si>
  <si>
    <t>plot_res; samp_duration; study_duration; study_span; eff_extent</t>
  </si>
  <si>
    <t>Percipitation</t>
  </si>
  <si>
    <t>Soil Moisture</t>
  </si>
  <si>
    <t>Leaf Area Index (LAI)</t>
  </si>
  <si>
    <t>plot_res; n_sites; t_btwn_samp; study_duration; study_span; eff_extent</t>
  </si>
  <si>
    <t>Leaf Area (LA)</t>
  </si>
  <si>
    <t>Canopy leaf litter fall</t>
  </si>
  <si>
    <t>Understory vegetation biomass</t>
  </si>
  <si>
    <t>samp_duration; t_btwn_samp; study_span; eff_extent</t>
  </si>
  <si>
    <t>Soil Cores &amp; Fine root ingrowth</t>
  </si>
  <si>
    <t>samp_duration; t_btwn_sample; study_duration; study_span; eff_extent</t>
  </si>
  <si>
    <t>Soil Respiration, temp &amp; moisture - high &amp; low elevation</t>
  </si>
  <si>
    <t>n_sites; samp_duration; t_btwn_samp; study_duration; study_span; eff_extent</t>
  </si>
  <si>
    <t>High&amp; low Elevation - Manual - Soil Temperature (Chamber sites)</t>
  </si>
  <si>
    <t>n_sites; samp_duration; t_btwn_samp; study_duration; study_span</t>
  </si>
  <si>
    <t>High &amp; low Elevation - Manual - Soil Moisture (Chamber sites)</t>
  </si>
  <si>
    <t>n_sites; samp_duration; t_btwn_samp; study_duration; eff_extent</t>
  </si>
  <si>
    <t>Soil Respiration @ Supplementary sites</t>
  </si>
  <si>
    <t>Soil Physiochemical analysis</t>
  </si>
  <si>
    <t xml:space="preserve">10.1098/rspb.2007.1067 </t>
  </si>
  <si>
    <t>48°10′ N, 16°12′ W, Atlantic Ocean; 41°43′ N, 49°56′ W, Atlantic Ocean</t>
  </si>
  <si>
    <t>Fungal diversity in deep oceans</t>
  </si>
  <si>
    <t>plot_res; samp_duration; t_btwn_samp; study_duration; study_span; function; eff_extent</t>
  </si>
  <si>
    <t>Wrecks of Bismarck and Titanic</t>
  </si>
  <si>
    <t>36°6′ N, 33°11′ W, Mid-Atlantic Ridge, Atlantic Ocean</t>
  </si>
  <si>
    <t>10.1073/pnas.0235779100</t>
  </si>
  <si>
    <t>plot_res; samp_duration; t_btwn_samp; study_span; function; eff_extent</t>
  </si>
  <si>
    <t>Mid-Atlantic Ridge - Rainbow hydrothermal sediment</t>
  </si>
  <si>
    <t>37°17′ N, 32°16′ W, Mid-Atlantic Ridge, Atlantic Ocean</t>
  </si>
  <si>
    <t>Mid-Atlantic Ridge/Lucky Strike Site - Plastic mesh</t>
  </si>
  <si>
    <t>59°19′48″ S, 55°45′11″ W, Drake Passage, Atlantic Ocean; 59°19′48″ S, 55°45′11″ W, Drake Passage, Atlantic Ocean</t>
  </si>
  <si>
    <t>10.1038/35054537</t>
  </si>
  <si>
    <t>Drake Passage &amp; Drake Passage (Shallow marine site)</t>
  </si>
  <si>
    <t>27°35′ N, 111°28 W, Gulf of California</t>
  </si>
  <si>
    <t>10.1073/pnas.062186399</t>
  </si>
  <si>
    <t>Gulf of California</t>
  </si>
  <si>
    <t>10.5194/bg-10-5627-2013</t>
  </si>
  <si>
    <t>Haean Basin, Gangwon, South Korea</t>
  </si>
  <si>
    <t>Use of cesium-137 and fall out radionuclides as qualitative indicators for soil erosion</t>
  </si>
  <si>
    <t>Soil core samples - bulk densities and determine organic and inorganic % carbon concentration</t>
  </si>
  <si>
    <t>10.1016/j.agee.2011.06.018</t>
  </si>
  <si>
    <t>South of Mount Saint-Michel, Brittany, France</t>
  </si>
  <si>
    <t>Assessing if grassy field margins/corridors in agricultural landscapes facilitate butterfly movement</t>
  </si>
  <si>
    <t>Map of fields versus other habitats</t>
  </si>
  <si>
    <t>10.1086/504603</t>
  </si>
  <si>
    <t>Washington, Oregon &amp; California, USA</t>
  </si>
  <si>
    <t>relationship between regional and local species richness in marine intertidal ecosystems in western coast, USA</t>
  </si>
  <si>
    <t>samp_duration; t_btwn_samp; study_duration</t>
  </si>
  <si>
    <t>designation of regional and local plots - sampling all species and assign trophic status - Note - should this have nested regional and local effects, or just single effect?</t>
  </si>
  <si>
    <t>10.1111/j.1600-0706.2010.18766.x</t>
  </si>
  <si>
    <t>Alaska, USA; Canada; Svalbard, Norway</t>
  </si>
  <si>
    <t xml:space="preserve">Arctic fox - genetic diversity and connectivity in Circumpolar region </t>
  </si>
  <si>
    <t>10.1111/j.1365-294X.2007.03381.x</t>
  </si>
  <si>
    <t>plot_res; sampled_area; samp_duration; t_btwn_samp; study_duration; study_span; function; composition; eff_extent</t>
  </si>
  <si>
    <t>Carmichael et al., 2007 (Alaska, Canada)</t>
  </si>
  <si>
    <t>Carmichael et al., 2007 (Svalbard)</t>
  </si>
  <si>
    <t>Iceland</t>
  </si>
  <si>
    <t>10.1111/j.1095-8312.2009.01172.x</t>
  </si>
  <si>
    <t>Noren et al., 2009 (Iceland)</t>
  </si>
  <si>
    <t>Scandinavia; Kola, Nish Pesha &amp; Amderma, Russia</t>
  </si>
  <si>
    <t>10.1111/j.1365-294X.2006.02983.x</t>
  </si>
  <si>
    <t>Dalen et al., 2006 (Scandinavia &amp; Kola)</t>
  </si>
  <si>
    <t>Scandinavia; Kola, Nish Pesha &amp; Amderma, Russia; Yamal, Taimyr and Wrangel Islands, Russia</t>
  </si>
  <si>
    <t>10.1111/j.1095-8312.2005.00415.x</t>
  </si>
  <si>
    <t>Dalen et al., 2005 (Nish Pesha &amp; Amderma)</t>
  </si>
  <si>
    <t>Kangerlussuaq, Scoresbysund, Siorpaluk, Thule, Nanortalik and Quaqortoq, Greenland</t>
  </si>
  <si>
    <t>Unpublished studies from Siberia and Greeland</t>
  </si>
  <si>
    <t>10.1016/j.biocon.2006.10.041</t>
  </si>
  <si>
    <t>Yellowstone National Park, Wyoming and Montana, USA</t>
  </si>
  <si>
    <t>plot_res; samp_duration, study_duration; composition</t>
  </si>
  <si>
    <t>10.1007/s10980-013-9847-3</t>
  </si>
  <si>
    <t>Sierra de Guadarrama, Spain</t>
  </si>
  <si>
    <t>Analysis of P. apollo abundance by creating a GLM model derived from field data</t>
  </si>
  <si>
    <t>Sedum Speices - % cover, bare ground shrub &amp; vegetation height</t>
  </si>
  <si>
    <t xml:space="preserve">10.1086/668831
</t>
  </si>
  <si>
    <t>bird richness from Atlas of the breeding birds of Ontario; used reference: Cadman, M.D., Sutherland, D.A., Beck, G.G., Lepage, D. &amp;
Couturier, A.R. (2007) Atlas of the breeding birds of Ontario,
2001–2005. Bird Studies Canada, Environment Canada,
Ontario Field Ornithologists, Ontario Ministry of Natural
Resources, and Ontario Nature, Toronto, ON to gather data</t>
  </si>
  <si>
    <t>British breeding bird survey; additional details in Gibbons, D.W., Reid, J.B. &amp; Chapman, R.A. (1993) The new atlas
of breeding birds in Britain and Ireland: 1988–91. BTO/SWC/
IWC. T. &amp; A.D. Poyser, London.</t>
  </si>
  <si>
    <t>Treuer</t>
  </si>
  <si>
    <t>10.1098/rspb.2005.3268</t>
  </si>
  <si>
    <t>South Africa</t>
  </si>
  <si>
    <t>pollination</t>
  </si>
  <si>
    <t>plot_res is guessed area of orchid plants; eff_extent wild guess at area needed to encounter 47 orchid inflorescences</t>
  </si>
  <si>
    <t>10.1016/j.agee.2009.08.012</t>
  </si>
  <si>
    <t>French Guiana</t>
  </si>
  <si>
    <t>soil macroinvertebrates</t>
  </si>
  <si>
    <t>plot_res is area of soil cores (note though, they were volumetric).  One of their plots (made up of 30 soil cores, which were each considered sites) was a revisiting of an secondary growth plot that had been burned and cleared in the interim.</t>
  </si>
  <si>
    <t>10.1016/j.biocon.2008.01.019</t>
  </si>
  <si>
    <t>USA</t>
  </si>
  <si>
    <t>Pelicans and West Nile Virus</t>
  </si>
  <si>
    <t>plot_res is based on the size of a pelican chick</t>
  </si>
  <si>
    <t>Pelican mortality</t>
  </si>
  <si>
    <t>plot_res is an estimate of island sizes using google maps, scaled by proportion of total number of nests per lake</t>
  </si>
  <si>
    <t>Mosquitoes abundance</t>
  </si>
  <si>
    <t>DOI_data_source is a link to the source of some of the mosquito data used; plot_res was assumed to be the size of the mosquito traps)</t>
  </si>
  <si>
    <t>10.1890/10-2362.1</t>
  </si>
  <si>
    <t>global</t>
  </si>
  <si>
    <t>Cropland fires</t>
  </si>
  <si>
    <t>10.5194/acp-6-957-2006</t>
  </si>
  <si>
    <t>samp_duration estimate of one minute for Aqua and Terra MODIS satellites</t>
  </si>
  <si>
    <t>cropland cover</t>
  </si>
  <si>
    <t>10.1029/2007GB002952</t>
  </si>
  <si>
    <t>samp_duration calculated based on yield estimates, which were assumed to have been made in one day per sample unit in M3 cropland dataset product</t>
  </si>
  <si>
    <t>10.1007/s10980-004-3160-0</t>
  </si>
  <si>
    <t>England</t>
  </si>
  <si>
    <t>urban gardens landscapes</t>
  </si>
  <si>
    <t>amount of time spent surveying gardens not indicated. Assumed mean of 1 day</t>
  </si>
  <si>
    <t>urban gardens</t>
  </si>
  <si>
    <t>samp_duration, study_span</t>
  </si>
  <si>
    <t>assumed it took one day per garden to survey</t>
  </si>
  <si>
    <t>10.1111/j.1365-2745.2010.01717.x</t>
  </si>
  <si>
    <t>Brazil</t>
  </si>
  <si>
    <t>Phenology</t>
  </si>
  <si>
    <t>samp_duration, plot_res</t>
  </si>
  <si>
    <t>samp_duration assumed five minutes per tree visit, average tree crown radius of 2m</t>
  </si>
  <si>
    <t>Fruit and flower morphology</t>
  </si>
  <si>
    <t>plot_res, samp_duration; eff_extent</t>
  </si>
  <si>
    <t xml:space="preserve">plot_res is guess area of fruit, flower, seed samples, samp_duration assumed 20 minutes per sample processing time; eff_extent assumed research trail mentioned as 10km long </t>
  </si>
  <si>
    <t>10.1016/j.agee.2003.09.015</t>
  </si>
  <si>
    <t>Argentina</t>
  </si>
  <si>
    <t>Agricultural communities</t>
  </si>
  <si>
    <t>no map or specific description of the arrangements of sampling sites given. Estimate could be off by two orders of magnitude</t>
  </si>
  <si>
    <t>10.1016/j.agee.2012.06.015</t>
  </si>
  <si>
    <t>Groundwater nutrients</t>
  </si>
  <si>
    <t>Hard one for eff_extent: 36 'piezometers' were installed at four sites around Ireland. Their results seem to depend on site specific soil and bedrock characteristics, so it may not be fair to count all area between sites as part of 'eff_extent' but no discussion of the arrangement of piezometers at each site was made.</t>
  </si>
  <si>
    <t>10.1111/j.1365-2486.2004.00844.x</t>
  </si>
  <si>
    <t>Forest emissions</t>
  </si>
  <si>
    <t>samp_duration assumed to be one day per plot (1 plot = 3 sites)</t>
  </si>
  <si>
    <t>Conservation Biology</t>
  </si>
  <si>
    <t>10.1111/j.1523-1739.2012.01904.x</t>
  </si>
  <si>
    <t>land-sharing land-sparing</t>
  </si>
  <si>
    <t>10.1111/1365-2745.12037</t>
  </si>
  <si>
    <t>Productivity</t>
  </si>
  <si>
    <t>samp_duration assumed to be 10 minutes</t>
  </si>
  <si>
    <t>Invasive plants</t>
  </si>
  <si>
    <t>samp_duration assumed to be 60 minutes</t>
  </si>
  <si>
    <t>Plants</t>
  </si>
  <si>
    <t>plot_res, samp_duration</t>
  </si>
  <si>
    <t>plot_res was individual plants, assumed to be .25m x .25m, samp_duration assumed to be 15 minutes</t>
  </si>
  <si>
    <t>10.1007/s00442-005-0065-9</t>
  </si>
  <si>
    <t>Pastures and grazing</t>
  </si>
  <si>
    <t>samp_duration assumed to be 15 minutes, study_span ('growing season 2000') assumed to be April 15 to September 10</t>
  </si>
  <si>
    <t>Pasture plants</t>
  </si>
  <si>
    <t>samp_duration assumed to be 3 hours, study_span ('growing season 2000') assumed to be April 15 to September 10, exclosure plots (1/3) were not counted</t>
  </si>
  <si>
    <t>10.1111/j.1365-2745.2009.01579.x</t>
  </si>
  <si>
    <t>Chile and Argentina</t>
  </si>
  <si>
    <t>High altitude plants</t>
  </si>
  <si>
    <t>plot_res, samp_duration, study_span, eff_extent</t>
  </si>
  <si>
    <t>plot_res (size of average cushion) assumed to be 0.25m square, 30 minutes per cushion, 90 day study period (unlisted); eff_extent calculated by multiplying path length of plots by 470m (assumed 100m elevation band based on reported elevation significant figures, and 12 degree average slope aspect of the Andes Mountains).</t>
  </si>
  <si>
    <t>plot_res, samp_duration, study_span</t>
  </si>
  <si>
    <t>plot_res assumes transects have a 5cm width, took 5 minutes to survey, all conducted in 90 days</t>
  </si>
  <si>
    <t>Diversity and Distributions</t>
  </si>
  <si>
    <t>10.1111/j.1366-9516.2006.00217.x</t>
  </si>
  <si>
    <t>Mexico</t>
  </si>
  <si>
    <t>Spiders</t>
  </si>
  <si>
    <t>study_duration assumes they sampled each point each month of the study, but this was ambiguous in the text</t>
  </si>
  <si>
    <t>plot_res assumed to be size of pitfall trap</t>
  </si>
  <si>
    <t>Ground vegetation</t>
  </si>
  <si>
    <t>Samp_duration assumed 10 minutes</t>
  </si>
  <si>
    <t>Leaf litter</t>
  </si>
  <si>
    <t>plot_resolution, assumed litter depth measurements had a 1cm x 3cm cross section, took 1 minute each</t>
  </si>
  <si>
    <t>10.5194/bg-9-71-2012</t>
  </si>
  <si>
    <t>NDVI</t>
  </si>
  <si>
    <t>NDVI data was used to illustrate methodological issues with analyzing VI data, not to actually observe patterns in nature directly</t>
  </si>
  <si>
    <t>10.1007/s00442-014-2921-y</t>
  </si>
  <si>
    <t>Malaysia and Philippines</t>
  </si>
  <si>
    <t>Lizards</t>
  </si>
  <si>
    <t>samp_duration, study_span, eff_extent</t>
  </si>
  <si>
    <t>Samp_duration assumed 20 minutes per lizard, study span assumed to be one year (no information given); eff_extent assumed 1 ha per lizard--insufficient details otherwise</t>
  </si>
  <si>
    <t>10.1007/s10021-013-9684-x</t>
  </si>
  <si>
    <t>Tree mortality</t>
  </si>
  <si>
    <t>samp_duration assumed to be five days for resurveys of plots</t>
  </si>
  <si>
    <t>Wood decomposition</t>
  </si>
  <si>
    <t>plot_res assumed to be 5cm x 5cm</t>
  </si>
  <si>
    <t>plot_res, samp_duration, study_duration</t>
  </si>
  <si>
    <t xml:space="preserve">Average cross sectional area assumed to be .5m^2, </t>
  </si>
  <si>
    <t>Wood chemistry</t>
  </si>
  <si>
    <t>Assumed wood samples 1cm x 1cm, 1 day to process</t>
  </si>
  <si>
    <t>Eddy Covariance</t>
  </si>
  <si>
    <t>10.1111/j.1365-2486.2008.01610.x</t>
  </si>
  <si>
    <t>plo_res assumed gas intake integrated over .01m2</t>
  </si>
  <si>
    <t>Wood moisture</t>
  </si>
  <si>
    <t>10.1111/j.1466-8238.2012.00778.x</t>
  </si>
  <si>
    <t>Pan-tropical</t>
  </si>
  <si>
    <t>Forest architecture</t>
  </si>
  <si>
    <t>estimated average tree diameter of 50cm, assumed 1 minute to estimate tree height, study_span assumed 1 year; eff_extent calculated from each contiguous moist forest area separately (Amazon, West Africa, Congo, Peninsular Malaysia, Borneo, NE Australia)</t>
  </si>
  <si>
    <t>estimated average tree diameter of 50cm, assumed 1 minute to estimate tree height, study_span assumed 1 year</t>
  </si>
  <si>
    <t>10.1016/j.biocon.2007.01.005</t>
  </si>
  <si>
    <t>Slovenia</t>
  </si>
  <si>
    <t>Grass</t>
  </si>
  <si>
    <t>no distances given between sets of paired plots, but landscape description sounded highly heterogeneous, therefore simply multiplied number of sets of pairs by the MCP of each pair of plots calculated conservatively from mean reported distances between treatment and control plots</t>
  </si>
  <si>
    <t>Insects</t>
  </si>
  <si>
    <t>see above</t>
  </si>
  <si>
    <t>plot_res assumed to be size of pitfall trap; eff_extent see above</t>
  </si>
  <si>
    <t>Choi</t>
  </si>
  <si>
    <t>10.1098/rspb.2010.2482</t>
  </si>
  <si>
    <t>USA, Alaska</t>
  </si>
  <si>
    <t>Phenology in Arctic Ground Squirrels</t>
  </si>
  <si>
    <t>samp_duration\study_span\eff_extent</t>
  </si>
  <si>
    <t>assumed sampled area was equal to area monitored in snow cover photos</t>
  </si>
  <si>
    <t>plot_res\samp_duration\study_span\eff_extent</t>
  </si>
  <si>
    <t>Field Study</t>
  </si>
  <si>
    <t>plot_res\samp_duration\structure\study_span</t>
  </si>
  <si>
    <t>study_span\study_duration\plot_res\eff_extent</t>
  </si>
  <si>
    <t>10.1111/j.1365-2745.2012.01955.x</t>
  </si>
  <si>
    <t>USA, Montana\Chile</t>
  </si>
  <si>
    <t>Changes in treeline</t>
  </si>
  <si>
    <t>t_btwn_samp\study_duration\samp_duration\plot_res\study_span</t>
  </si>
  <si>
    <t>plot_res\t_btwn_samp\samp_duration\study_span</t>
  </si>
  <si>
    <t>t_btwn_samp\study_span\plot_res</t>
  </si>
  <si>
    <t>t_btwn_samp\sutdy_span\plot_res</t>
  </si>
  <si>
    <t>t_btwn_samp\study_span\samp_duration</t>
  </si>
  <si>
    <t>10.5194/bg-7-257-2010</t>
  </si>
  <si>
    <t>Model with Field Obs</t>
  </si>
  <si>
    <t>Modeling VOC emissions from trees</t>
  </si>
  <si>
    <t>; DOI: 10.1007/s00442-009-1298-9</t>
  </si>
  <si>
    <t>study_span\study_duration\samp_duration\plot_res\eff_extent</t>
  </si>
  <si>
    <t>10.1016/j.biocon.2008.09.018</t>
  </si>
  <si>
    <t>Malaysia</t>
  </si>
  <si>
    <t>Coral seagrass conservation</t>
  </si>
  <si>
    <t>t_btwn_samp\structure\function\study_duration\study_span\samp_duration</t>
  </si>
  <si>
    <t>t_btwn_samp\study_duration\study_span\samp_duration\plot_res</t>
  </si>
  <si>
    <t>plot_res\samp_duration\study_span</t>
  </si>
  <si>
    <t>t_btwn_samp\plot_res\samp_duration\study_duration</t>
  </si>
  <si>
    <t>10.1007/s00442-010-1679-0</t>
  </si>
  <si>
    <t>USA, Montana</t>
  </si>
  <si>
    <t>Nest Predation in Brewer's Sparrow</t>
  </si>
  <si>
    <t>study_duration\study_span\t_btwn_samp\samp_duration\plot_res\eff_extent</t>
  </si>
  <si>
    <t>study_duration\plot_res\samp_duration\study_duration\study_span\eff_extent</t>
  </si>
  <si>
    <t>The American Naturalist</t>
  </si>
  <si>
    <t>doi:10.1086/512046</t>
  </si>
  <si>
    <t>France\Sweden</t>
  </si>
  <si>
    <t>Antler Size in Roe Deer</t>
  </si>
  <si>
    <t>plot_res\samp_duration\study_span\t_btwn_samp</t>
  </si>
  <si>
    <t>plot_res\t_btwn_samp\study_span\n_sites\samp_duration\eff_extent</t>
  </si>
  <si>
    <t>doi:10.1017/j.biocon.2010.10.005</t>
  </si>
  <si>
    <t>Canada, British Columbia</t>
  </si>
  <si>
    <t>Plant community functional traits and grazing pressure</t>
  </si>
  <si>
    <t>plot_res\t_btwn_samp\study_duration\samp_duration\eff_extent</t>
  </si>
  <si>
    <t>t_btwn_samp\study_duration\samp_duration\eff_extent</t>
  </si>
  <si>
    <t>doi: 10.1111/j.1365-2486.2011.02514.x</t>
  </si>
  <si>
    <t>Netherlands, Groningen</t>
  </si>
  <si>
    <t>Snail shell color change over time</t>
  </si>
  <si>
    <t>n_sites\study_duration\t_btwn_samp</t>
  </si>
  <si>
    <t>function\plot_res\samp_duration\study_duration</t>
  </si>
  <si>
    <t>plot_res\samp_duration\sampled_area</t>
  </si>
  <si>
    <t>plot_res\t_btwn_samp</t>
  </si>
  <si>
    <t>doi: 10.1111/j.1365-2486.2009.01898.x</t>
  </si>
  <si>
    <t>Sweden</t>
  </si>
  <si>
    <t>Soil CO2 production and temperature</t>
  </si>
  <si>
    <t>t_btwn_samp\study_span\plot_res\samp_duration</t>
  </si>
  <si>
    <t>doi:10.1890/09-1107.1</t>
  </si>
  <si>
    <t>Demography and modeling of Sierra Nevada Bighorn Sheep</t>
  </si>
  <si>
    <t>plot_res\sampled_area\samp_duration\n_sites\t_btwn_samp\study_soan</t>
  </si>
  <si>
    <t>Agriculture, Ecosystems, and Environment</t>
  </si>
  <si>
    <t>doi:10.1016/j.agee.2004.07.002</t>
  </si>
  <si>
    <t>Remote Sensing</t>
  </si>
  <si>
    <t>Costa Rica</t>
  </si>
  <si>
    <t>Land use change in Chorotega region, Costa Rica</t>
  </si>
  <si>
    <t>samp_duration\plot_res\n_sites\t_btwn_samp</t>
  </si>
  <si>
    <t>doi:10.5194/bg-8-267-2011</t>
  </si>
  <si>
    <t>Mediterranean Sea</t>
  </si>
  <si>
    <t>Distribution of protist parasites in oligotrophic waters of Mediterranean</t>
  </si>
  <si>
    <t>plot_res\samp_duration\study_span\study_duration</t>
  </si>
  <si>
    <t>samp_duration\plot-res</t>
  </si>
  <si>
    <t>plot_res\study_duration\samp_duration</t>
  </si>
  <si>
    <t>DOI 10.1007/s00442-012-2362-4</t>
  </si>
  <si>
    <t>Hungary</t>
  </si>
  <si>
    <t>Lifetime reproductive success in a 17 year study</t>
  </si>
  <si>
    <t>t_btwn_samp\structure\plot_res\samp_duration\eff_extent</t>
  </si>
  <si>
    <t>t_btwn_samp\samp_duration\plot_res\n_sites\study-span\eff_extent</t>
  </si>
  <si>
    <t>doi:10.1016/j.biocon.2009.09.017</t>
  </si>
  <si>
    <t>Peru</t>
  </si>
  <si>
    <t>Peruvian cetacean caught in artisinal fisheries</t>
  </si>
  <si>
    <t>plot_res\samp_duration\t_btwn_samp\n_sites</t>
  </si>
  <si>
    <t>doi: 10.1111/j.1365-2486.2008.01789.x</t>
  </si>
  <si>
    <t>Finland</t>
  </si>
  <si>
    <t>Range shifts of Finnish butterflies</t>
  </si>
  <si>
    <t>10.1016/S1474-7065(02)00140-7</t>
  </si>
  <si>
    <t>plot_res\function\study_span\</t>
  </si>
  <si>
    <t>10.1023/A:1024189828387</t>
  </si>
  <si>
    <t>samp_duration\study_duration\composition\n_sites\t_btwn_samp\study_span</t>
  </si>
  <si>
    <t>doi:10.1016/j.agee.2008.08.009</t>
  </si>
  <si>
    <t>Norway</t>
  </si>
  <si>
    <t>A model to look at differences in grazing pressure from 1960s to 2002</t>
  </si>
  <si>
    <t>plot_res\samp_duration\study_duration\t_btwn_samp</t>
  </si>
  <si>
    <t>doi:10.1093/beheco/arr030</t>
  </si>
  <si>
    <t>Virginia</t>
  </si>
  <si>
    <t>Testosterone and bird paternal and mating effort</t>
  </si>
  <si>
    <t>samp_duration\plot_res\study_span</t>
  </si>
  <si>
    <t>samp_duration\plot_res\t_btwn_samp\study_span</t>
  </si>
  <si>
    <t>n_sites\samp_duration\plot_res</t>
  </si>
  <si>
    <t>10.1098/rsbl.2009.0567</t>
  </si>
  <si>
    <t>Spain</t>
  </si>
  <si>
    <t>Looking at sublethal effects of an oil spill on birds</t>
  </si>
  <si>
    <t>samp_duration\plot_res\sampled_area</t>
  </si>
  <si>
    <t>Ecological Monographs</t>
  </si>
  <si>
    <t>10.1890/05-0765</t>
  </si>
  <si>
    <t>Kudu populations in Kruger National Park</t>
  </si>
  <si>
    <t>10.2307/5021</t>
  </si>
  <si>
    <t>samp_duration\study_duration\t_btwn_samp\plot_res\n_sites</t>
  </si>
  <si>
    <t>Wildebeest populations in Kruger</t>
  </si>
  <si>
    <t>10.4102/koedoe.v33i1.449</t>
  </si>
  <si>
    <t>plot_res\tax_breadth\samp_duration\study_duration\t_btwn_samp</t>
  </si>
  <si>
    <t>t_btwn_samp\plot_res\study_duration\samp_duration</t>
  </si>
  <si>
    <t>This should be from a different study, but I can't get access. I'm going off of what the larger study described.</t>
  </si>
  <si>
    <t>10.4102/koedoe.v37i1.332</t>
  </si>
  <si>
    <t>plot_res\n_sites\samp_duration\study_duration\tax_breadth\t_btwn_samp</t>
  </si>
  <si>
    <t>Wildebeest in Serengeti</t>
  </si>
  <si>
    <t>10.1046/j.1365-2656.1999.00352.x</t>
  </si>
  <si>
    <t>study_span\study_duration\samp_duration</t>
  </si>
  <si>
    <t>This study doesn't really do a very good job of detailing methods</t>
  </si>
  <si>
    <t>plot_res\n_sites\samp_duration\study_duration\t_btwn_samp</t>
  </si>
  <si>
    <t>Rainfall at Kruger</t>
  </si>
  <si>
    <t>Rainfall at Serengeti</t>
  </si>
  <si>
    <t>10.1111/j.1365-2486.2012.02740.x</t>
  </si>
  <si>
    <t>Paleo-Reconstruction</t>
  </si>
  <si>
    <t>Canada, Ontario</t>
  </si>
  <si>
    <t>Medieval Climate Anomaly and lake core samples</t>
  </si>
  <si>
    <t>study_span\plot_res\n_sites\samp_duration\t_btwn_samp\study_duration</t>
  </si>
  <si>
    <t>study_span\plot_res\samp_duration\study_duration</t>
  </si>
  <si>
    <t>samp_duration\study_duration\study_span</t>
  </si>
  <si>
    <t>act_ext</t>
  </si>
  <si>
    <t>eff_ext</t>
  </si>
  <si>
    <t>samp_dur</t>
  </si>
  <si>
    <t>act_dur</t>
  </si>
  <si>
    <t>eff_dur</t>
  </si>
  <si>
    <t>EUBal 1 and 2 CTD casts (on transects)</t>
  </si>
  <si>
    <t>Color codes</t>
  </si>
  <si>
    <t>Meaning</t>
  </si>
  <si>
    <t>Final corrections just prior to first submission to NatEcolEvol</t>
  </si>
  <si>
    <t>Addition/correction during effective extent estimation period, Jan-Mar, 2017</t>
  </si>
  <si>
    <t>Fixed during effective duration revisions, April 2017</t>
  </si>
  <si>
    <t>Flagged for checking during effective duration revisions, April 2017, but original estimate cleared</t>
  </si>
  <si>
    <t>NE22-4/183E-PDF</t>
  </si>
  <si>
    <t>Other environmental variables @ Lake Drouin &amp; Pare (combined)</t>
  </si>
  <si>
    <t>n_sites; study_duration; eff_extent; eff_dur</t>
  </si>
  <si>
    <t>n_sites; study_duration; eff_ext; eff_dur</t>
  </si>
  <si>
    <t>study_duration; eff_ext; eff_dur</t>
  </si>
  <si>
    <t>plot_res; samp_duration; study_duration; eff_ext; eff_dur</t>
  </si>
  <si>
    <t>samp_duration; t_btwn_samp; study_duration; eff_extent; eff_dur</t>
  </si>
  <si>
    <t>plot_res; t_btwn_samp; structure; eff_extent; eff_dur; act_dur; samp_dur</t>
  </si>
  <si>
    <t>plot_res; samp_duration; t_twn_samp; study_duration; eff_extent; eff_dur</t>
  </si>
  <si>
    <t>Revised during effective duration revisions in Arpil, 2017, but flagged for additional consideration and questioning of assumption</t>
  </si>
  <si>
    <t>Pronghorn antelope telemetry data</t>
  </si>
  <si>
    <t>10.1098/rspb.2009.1881</t>
  </si>
  <si>
    <t>Antarctica</t>
  </si>
  <si>
    <t>Penguin foraging in oxidative environment</t>
  </si>
  <si>
    <t>Foraging time both summers</t>
  </si>
  <si>
    <t>10.1111/j.1365-2435.2009.01638.x</t>
  </si>
  <si>
    <t>plot_res; samp_dur; act_dur</t>
  </si>
  <si>
    <t>Foraging time for single check sample of 18 penguins in summer of 2007/2008</t>
  </si>
  <si>
    <t>plot_res; samp_dur; t_btwn_samp; act_dur</t>
  </si>
  <si>
    <t>Weight and blood samples of individual penguins</t>
  </si>
  <si>
    <t>10.1016/j.biocon.2009.11.008</t>
  </si>
  <si>
    <t>Floral diversity under grazing pressure in Karroo</t>
  </si>
  <si>
    <t>Sample plots, which collected a number of parameters in each sub-plot</t>
  </si>
  <si>
    <t>plot_res; act_ext; eff_ext; samp_dur; act_dure; eff_dur</t>
  </si>
  <si>
    <t>Soil sample for each of 51 plots</t>
  </si>
  <si>
    <t>samp_dur; eff_ext; act_dur; eff_dur</t>
  </si>
  <si>
    <t>doi:10.1016/j.rse.2009.08.016</t>
  </si>
  <si>
    <t>plot_res; sampled_area; samp_duration; t_btwn_samp; study_duration; study_span; eff_extent</t>
  </si>
  <si>
    <t>plot_res; n_sites; sample_area; samp_duration; t_btwn_samp; study_span</t>
  </si>
  <si>
    <t>plot_res\sampled_area\samp_duration\t_btwn_samp\eff_ext</t>
  </si>
  <si>
    <t>sample_duration\study_duration\eff_ext\eff_dur</t>
  </si>
  <si>
    <t>plot_res\sample_duration\study_duration\t_btw_samp\eff_ext</t>
  </si>
  <si>
    <t>plot_res\n_sites\sampled_area\study_duration\eff_ext</t>
  </si>
  <si>
    <t>plot_res\n_sites\sampled_area\samp_duration\study_span\eff_ext\eff_dur</t>
  </si>
  <si>
    <t>plot_res\n_sites\sampled_area\samp_duration\study_span\eff_ext</t>
  </si>
  <si>
    <t>plot_res\n_sites\sampled_area\samp_duration\eff_ext</t>
  </si>
  <si>
    <t>plot_res\sample_duration\t_btw_samp\study_duration\study_span\eff_ext\eff_dur</t>
  </si>
  <si>
    <t>sample_duration\study_duration\study_span\eff_dur</t>
  </si>
  <si>
    <t>n_sites;study_area;sample_duration\study_duration\t_btw_samp\eff_dur</t>
  </si>
  <si>
    <t>plot_res\sample_duration\study_duration\study_span\eff_ext\eff_dur</t>
  </si>
  <si>
    <t>n_sites\sampled_area\sample_duration\study_duration\t_btw_samp\study_duration\study_span\eff_ext</t>
  </si>
  <si>
    <t>plot_res;n_sites;samp_duration\eff_ext</t>
  </si>
  <si>
    <t>plot_res\sample_duration\study_duration\t_btw_samp\study_duration\eff_ext</t>
  </si>
  <si>
    <t>samp_duration\t_btwn_samp\eff_ext\eff_dur</t>
  </si>
  <si>
    <t>plot_res; n_sites; samp_duration\eff_ext\eff_dur</t>
  </si>
  <si>
    <t>plot_res; samp_duration\eff_ext\eff_dur</t>
  </si>
  <si>
    <t>plot_res;samp_duration\eff_ext\eff_dur</t>
  </si>
  <si>
    <t>plot_res\sample_duration\study_duration\study_duration\eff_ext</t>
  </si>
  <si>
    <t>plot_res\sampled_area\samp_duration\t_btwn_samp\study_duration\study_span\eff_ext\eff_dur</t>
  </si>
  <si>
    <t>n_sites\samp_duration\t_Btwn_Samp\study_duration\study_span\eff_ext</t>
  </si>
  <si>
    <t>n_sites\samp_duration\t_btwn_samp\study_duration\eff_ext</t>
  </si>
  <si>
    <t>t_btwn_samp\samp_duration\eff_dur</t>
  </si>
  <si>
    <t>plot_res\sampled_area\samp_duration\t_btwn_samp\study_duration\eff_ext\eff_dur</t>
  </si>
  <si>
    <t>samp_duration\Study_duration\eff_ext</t>
  </si>
  <si>
    <t>plot_res\sampled_area\samp_duration\t_btwn_samp\eff_ext\eff_dur</t>
  </si>
  <si>
    <t>sampling duration; eff_ext; eff_dur</t>
  </si>
  <si>
    <t>plot resolution; sampling duration; eff_ext; eff_dur</t>
  </si>
  <si>
    <t>plot resolution; number of sites; sampling duration; time between sampling; study duration; eff_ext</t>
  </si>
  <si>
    <t>plot size; sampling duration; eff_dur</t>
  </si>
  <si>
    <t>sampling duration; study duration, study span; eff_dur</t>
  </si>
  <si>
    <t>plot resolution; sampling duration; study duration, study span; eff_ext</t>
  </si>
  <si>
    <t>sampling duration; study duration, study span; eff_ext; eff_dur</t>
  </si>
  <si>
    <t>sampling duration; study duration, study span; eff_ext</t>
  </si>
  <si>
    <t>plot size; eff_ext</t>
  </si>
  <si>
    <t>plot size; sampling duration; eff_ext; eff_dur</t>
  </si>
  <si>
    <t>sampling duration; time between samples; eff_ext</t>
  </si>
  <si>
    <t>plot size; sampling duration; time between sampling; study duration; study span; eff_dur</t>
  </si>
  <si>
    <t>plot size; study span; eff_dur</t>
  </si>
  <si>
    <t>plot size; sampling duration; study span; eff_dur</t>
  </si>
  <si>
    <t>plot size; sampling duration; eff_ext</t>
  </si>
  <si>
    <t>sampling duration; eff_ext</t>
  </si>
  <si>
    <t>plot size; sampling duration; time between samples; eff_ext</t>
  </si>
  <si>
    <t>plot resolution; sampling duration; eff_ext</t>
  </si>
  <si>
    <t>n_sites; sampling duration; study duration; study span; eff_ext; eff_dur</t>
  </si>
  <si>
    <t>sampling duration; study span; eff_ext</t>
  </si>
  <si>
    <r>
      <t xml:space="preserve">medow and GFM surveys for </t>
    </r>
    <r>
      <rPr>
        <i/>
        <sz val="10"/>
        <rFont val="Arial"/>
        <family val="2"/>
      </rPr>
      <t xml:space="preserve">M. jurtina </t>
    </r>
    <r>
      <rPr>
        <sz val="10"/>
        <color theme="1"/>
        <rFont val="Arial"/>
      </rPr>
      <t>movement</t>
    </r>
  </si>
  <si>
    <r>
      <rPr>
        <i/>
        <sz val="10"/>
        <rFont val="Arial"/>
        <family val="2"/>
      </rPr>
      <t xml:space="preserve">P. apollo </t>
    </r>
    <r>
      <rPr>
        <sz val="10"/>
        <color theme="1"/>
        <rFont val="Arial"/>
      </rPr>
      <t>count</t>
    </r>
  </si>
  <si>
    <t>Coding from earlier revisions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</si>
</sst>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0"/>
    <numFmt numFmtId="165" formatCode="0.0"/>
    <numFmt numFmtId="166" formatCode="0.0000000"/>
    <numFmt numFmtId="167" formatCode="0.000000"/>
    <numFmt numFmtId="168" formatCode="0.00000000"/>
    <numFmt numFmtId="169" formatCode="0.000"/>
    <numFmt numFmtId="170" formatCode="#,##0.000"/>
  </numFmts>
  <fonts count="39" x14ac:knownFonts="1">
    <font>
      <sz val="12"/>
      <color theme="1"/>
      <name val="Calibri"/>
      <family val="2"/>
      <scheme val="minor"/>
    </font>
    <font>
      <sz val="12"/>
      <color rgb="FF9C0006"/>
      <name val="Calibri"/>
      <family val="2"/>
      <scheme val="minor"/>
    </font>
    <font>
      <sz val="10"/>
      <color rgb="FF000000"/>
      <name val="Arial"/>
    </font>
    <font>
      <sz val="10"/>
      <name val="Arial"/>
      <family val="2"/>
    </font>
    <font>
      <u/>
      <sz val="10"/>
      <color rgb="FF0000FF"/>
      <name val="Arial"/>
    </font>
    <font>
      <sz val="10"/>
      <color rgb="FF3366FF"/>
      <name val="Arial"/>
    </font>
    <font>
      <sz val="10"/>
      <color rgb="FF333333"/>
      <name val="Arial"/>
    </font>
    <font>
      <sz val="10"/>
      <color rgb="FFFFFF00"/>
      <name val="Arial"/>
    </font>
    <font>
      <sz val="10"/>
      <color rgb="FFFF0000"/>
      <name val="Arial"/>
    </font>
    <font>
      <u/>
      <sz val="10"/>
      <color rgb="FF3366FF"/>
      <name val="Arial"/>
    </font>
    <font>
      <sz val="10"/>
      <color rgb="FF2E2E2E"/>
      <name val="Arial"/>
    </font>
    <font>
      <sz val="10"/>
      <color rgb="FF9C0006"/>
      <name val="Arial"/>
    </font>
    <font>
      <i/>
      <sz val="10"/>
      <color rgb="FF333333"/>
      <name val="Arial"/>
    </font>
    <font>
      <sz val="10"/>
      <color rgb="FF333132"/>
      <name val="Arial"/>
    </font>
    <font>
      <i/>
      <sz val="10"/>
      <color rgb="FF333132"/>
      <name val="Arial"/>
    </font>
    <font>
      <sz val="10"/>
      <color rgb="FF444444"/>
      <name val="Arial"/>
    </font>
    <font>
      <u/>
      <sz val="12"/>
      <color theme="10"/>
      <name val="Calibri"/>
      <family val="2"/>
      <scheme val="minor"/>
    </font>
    <font>
      <b/>
      <sz val="10"/>
      <color theme="1"/>
      <name val="Arial"/>
    </font>
    <font>
      <sz val="10"/>
      <color theme="1"/>
      <name val="Arial"/>
    </font>
    <font>
      <i/>
      <sz val="10"/>
      <name val="Arial"/>
      <family val="2"/>
    </font>
    <font>
      <b/>
      <sz val="9"/>
      <color indexed="81"/>
      <name val="Calibri"/>
      <family val="2"/>
    </font>
    <font>
      <sz val="9"/>
      <color indexed="81"/>
      <name val="Calibri"/>
      <family val="2"/>
    </font>
    <font>
      <b/>
      <sz val="9"/>
      <color indexed="81"/>
      <name val="Arial"/>
    </font>
    <font>
      <sz val="9"/>
      <color indexed="81"/>
      <name val="Arial"/>
    </font>
    <font>
      <b/>
      <sz val="9"/>
      <color indexed="81"/>
      <name val="Tahoma"/>
      <family val="2"/>
    </font>
    <font>
      <sz val="9"/>
      <color indexed="81"/>
      <name val="Tahoma"/>
      <family val="2"/>
    </font>
    <font>
      <i/>
      <sz val="9"/>
      <color indexed="81"/>
      <name val="Tahoma"/>
      <family val="2"/>
    </font>
    <font>
      <sz val="10"/>
      <color theme="3" tint="0.39997558519241921"/>
      <name val="Arial"/>
    </font>
    <font>
      <u/>
      <sz val="10"/>
      <color theme="10"/>
      <name val="Arial"/>
    </font>
    <font>
      <sz val="10"/>
      <color theme="6"/>
      <name val="Arial"/>
    </font>
    <font>
      <b/>
      <sz val="10"/>
      <color indexed="81"/>
      <name val="TimesNewRomanPSMT"/>
    </font>
    <font>
      <sz val="10"/>
      <color indexed="81"/>
      <name val="TimesNewRomanPSMT"/>
    </font>
    <font>
      <i/>
      <sz val="9"/>
      <color indexed="81"/>
      <name val="Arial"/>
    </font>
    <font>
      <strike/>
      <sz val="10"/>
      <color rgb="FF000000"/>
      <name val="Arial"/>
      <family val="2"/>
    </font>
    <font>
      <sz val="10"/>
      <color rgb="FF222222"/>
      <name val="Arial"/>
    </font>
    <font>
      <sz val="12"/>
      <color rgb="FF000000"/>
      <name val="Calibri"/>
    </font>
    <font>
      <u/>
      <sz val="12"/>
      <color theme="11"/>
      <name val="Calibri"/>
      <family val="2"/>
      <scheme val="minor"/>
    </font>
    <font>
      <i/>
      <sz val="10"/>
      <color indexed="81"/>
      <name val="TimesNewRomanPSMT"/>
    </font>
    <font>
      <b/>
      <sz val="10"/>
      <color rgb="FF000000"/>
      <name val="Arial"/>
    </font>
  </fonts>
  <fills count="45">
    <fill>
      <patternFill patternType="none"/>
    </fill>
    <fill>
      <patternFill patternType="gray125"/>
    </fill>
    <fill>
      <patternFill patternType="solid">
        <fgColor rgb="FFFFC7CE"/>
      </patternFill>
    </fill>
    <fill>
      <patternFill patternType="solid">
        <fgColor rgb="FFD9EAD3"/>
        <bgColor rgb="FFD9EAD3"/>
      </patternFill>
    </fill>
    <fill>
      <patternFill patternType="solid">
        <fgColor rgb="FFFF6600"/>
        <bgColor rgb="FFD9EAD3"/>
      </patternFill>
    </fill>
    <fill>
      <patternFill patternType="solid">
        <fgColor rgb="FFFFFF00"/>
        <bgColor rgb="FFFFFF00"/>
      </patternFill>
    </fill>
    <fill>
      <patternFill patternType="solid">
        <fgColor rgb="FFFF6600"/>
        <bgColor rgb="FFFFFF00"/>
      </patternFill>
    </fill>
    <fill>
      <patternFill patternType="solid">
        <fgColor rgb="FFFFFF00"/>
        <bgColor rgb="FF000000"/>
      </patternFill>
    </fill>
    <fill>
      <patternFill patternType="solid">
        <fgColor theme="9"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9"/>
        <bgColor indexed="64"/>
      </patternFill>
    </fill>
    <fill>
      <patternFill patternType="solid">
        <fgColor rgb="FFFF6600"/>
        <bgColor indexed="64"/>
      </patternFill>
    </fill>
    <fill>
      <patternFill patternType="solid">
        <fgColor rgb="FFFFCCFF"/>
        <bgColor indexed="64"/>
      </patternFill>
    </fill>
    <fill>
      <patternFill patternType="solid">
        <fgColor theme="6" tint="-0.249977111117893"/>
        <bgColor rgb="FFD9EAD3"/>
      </patternFill>
    </fill>
    <fill>
      <patternFill patternType="solid">
        <fgColor theme="6" tint="0.59999389629810485"/>
        <bgColor rgb="FFD9EAD3"/>
      </patternFill>
    </fill>
    <fill>
      <patternFill patternType="solid">
        <fgColor theme="8" tint="0.39997558519241921"/>
        <bgColor rgb="FFD9EAD3"/>
      </patternFill>
    </fill>
    <fill>
      <patternFill patternType="solid">
        <fgColor theme="3" tint="0.79998168889431442"/>
        <bgColor rgb="FFD9EAD3"/>
      </patternFill>
    </fill>
    <fill>
      <patternFill patternType="solid">
        <fgColor theme="9"/>
        <bgColor rgb="FFD9EAD3"/>
      </patternFill>
    </fill>
    <fill>
      <patternFill patternType="solid">
        <fgColor theme="7" tint="0.39997558519241921"/>
        <bgColor rgb="FFD9EAD3"/>
      </patternFill>
    </fill>
    <fill>
      <patternFill patternType="solid">
        <fgColor theme="1"/>
        <bgColor rgb="FFD9EAD3"/>
      </patternFill>
    </fill>
    <fill>
      <patternFill patternType="solid">
        <fgColor theme="3" tint="0.79998168889431442"/>
        <bgColor indexed="64"/>
      </patternFill>
    </fill>
    <fill>
      <patternFill patternType="solid">
        <fgColor theme="6" tint="-0.249977111117893"/>
        <bgColor rgb="FFFFFF00"/>
      </patternFill>
    </fill>
    <fill>
      <patternFill patternType="solid">
        <fgColor theme="4" tint="0.79998168889431442"/>
        <bgColor rgb="FFFFFF00"/>
      </patternFill>
    </fill>
    <fill>
      <patternFill patternType="solid">
        <fgColor theme="9" tint="-0.249977111117893"/>
        <bgColor rgb="FFFFFF00"/>
      </patternFill>
    </fill>
    <fill>
      <patternFill patternType="solid">
        <fgColor theme="3" tint="0.79998168889431442"/>
        <bgColor rgb="FFFFFF00"/>
      </patternFill>
    </fill>
    <fill>
      <patternFill patternType="solid">
        <fgColor theme="4" tint="0.79998168889431442"/>
        <bgColor indexed="64"/>
      </patternFill>
    </fill>
    <fill>
      <patternFill patternType="solid">
        <fgColor theme="4" tint="0.79998168889431442"/>
        <bgColor rgb="FFD9EAD3"/>
      </patternFill>
    </fill>
    <fill>
      <patternFill patternType="solid">
        <fgColor theme="5" tint="0.39997558519241921"/>
        <bgColor indexed="64"/>
      </patternFill>
    </fill>
    <fill>
      <patternFill patternType="solid">
        <fgColor rgb="FFFABF8F"/>
        <bgColor rgb="FFFABF8F"/>
      </patternFill>
    </fill>
    <fill>
      <patternFill patternType="solid">
        <fgColor rgb="FFFFFFFF"/>
        <bgColor rgb="FFFFFFFF"/>
      </patternFill>
    </fill>
    <fill>
      <patternFill patternType="solid">
        <fgColor rgb="FFB2A1C7"/>
        <bgColor rgb="FFB2A1C7"/>
      </patternFill>
    </fill>
    <fill>
      <patternFill patternType="solid">
        <fgColor rgb="FFE36C09"/>
        <bgColor rgb="FFE36C09"/>
      </patternFill>
    </fill>
    <fill>
      <patternFill patternType="solid">
        <fgColor rgb="FF000000"/>
        <bgColor rgb="FF000000"/>
      </patternFill>
    </fill>
    <fill>
      <patternFill patternType="solid">
        <fgColor rgb="FFB1A0C7"/>
        <bgColor rgb="FFB1A0C7"/>
      </patternFill>
    </fill>
    <fill>
      <patternFill patternType="solid">
        <fgColor theme="8" tint="-0.249977111117893"/>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8" tint="-0.249977111117893"/>
        <bgColor rgb="FFD9EAD3"/>
      </patternFill>
    </fill>
    <fill>
      <patternFill patternType="solid">
        <fgColor theme="8" tint="-0.249977111117893"/>
        <bgColor rgb="FFFFFF00"/>
      </patternFill>
    </fill>
    <fill>
      <patternFill patternType="solid">
        <fgColor rgb="FF31859B"/>
        <bgColor rgb="FF31859B"/>
      </patternFill>
    </fill>
    <fill>
      <patternFill patternType="solid">
        <fgColor rgb="FFCCCCCC"/>
        <bgColor rgb="FFCCCCCC"/>
      </patternFill>
    </fill>
  </fills>
  <borders count="23">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style="thin">
        <color rgb="FF000000"/>
      </top>
      <bottom style="medium">
        <color auto="1"/>
      </bottom>
      <diagonal/>
    </border>
    <border>
      <left/>
      <right/>
      <top/>
      <bottom style="medium">
        <color auto="1"/>
      </bottom>
      <diagonal/>
    </border>
  </borders>
  <cellStyleXfs count="123">
    <xf numFmtId="0" fontId="0" fillId="0" borderId="0"/>
    <xf numFmtId="0" fontId="1" fillId="2" borderId="0" applyNumberFormat="0" applyBorder="0" applyAlignment="0" applyProtection="0"/>
    <xf numFmtId="0" fontId="1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cellStyleXfs>
  <cellXfs count="324">
    <xf numFmtId="0" fontId="0" fillId="0" borderId="0" xfId="0"/>
    <xf numFmtId="0" fontId="3" fillId="3" borderId="0" xfId="0" applyFont="1" applyFill="1"/>
    <xf numFmtId="0" fontId="3" fillId="3" borderId="0" xfId="0" applyFont="1" applyFill="1" applyAlignment="1">
      <alignment horizontal="right"/>
    </xf>
    <xf numFmtId="0" fontId="3" fillId="3" borderId="2" xfId="0" applyFont="1" applyFill="1" applyBorder="1" applyAlignment="1">
      <alignment horizontal="right"/>
    </xf>
    <xf numFmtId="0" fontId="3" fillId="3" borderId="2" xfId="0" applyFont="1" applyFill="1" applyBorder="1"/>
    <xf numFmtId="0" fontId="4" fillId="3" borderId="2" xfId="0" applyFont="1" applyFill="1" applyBorder="1" applyAlignment="1">
      <alignment horizontal="left"/>
    </xf>
    <xf numFmtId="0" fontId="4" fillId="3" borderId="0" xfId="0" applyFont="1" applyFill="1" applyAlignment="1">
      <alignment horizontal="left"/>
    </xf>
    <xf numFmtId="0" fontId="3" fillId="3" borderId="5" xfId="0" applyFont="1" applyFill="1" applyBorder="1"/>
    <xf numFmtId="0" fontId="3" fillId="3" borderId="5" xfId="0" applyFont="1" applyFill="1" applyBorder="1" applyAlignment="1">
      <alignment horizontal="right"/>
    </xf>
    <xf numFmtId="0" fontId="3" fillId="0" borderId="0" xfId="0" applyFont="1"/>
    <xf numFmtId="0" fontId="3" fillId="3" borderId="6" xfId="0" applyFont="1" applyFill="1" applyBorder="1"/>
    <xf numFmtId="0" fontId="3" fillId="3" borderId="8" xfId="0" applyFont="1" applyFill="1" applyBorder="1"/>
    <xf numFmtId="0" fontId="3" fillId="3" borderId="10" xfId="0" applyFont="1" applyFill="1" applyBorder="1"/>
    <xf numFmtId="0" fontId="3" fillId="3" borderId="10" xfId="0" applyFont="1" applyFill="1" applyBorder="1" applyAlignment="1">
      <alignment horizontal="right"/>
    </xf>
    <xf numFmtId="0" fontId="3" fillId="3" borderId="11" xfId="0" applyFont="1" applyFill="1" applyBorder="1"/>
    <xf numFmtId="0" fontId="4" fillId="0" borderId="0" xfId="0" applyFont="1"/>
    <xf numFmtId="0" fontId="3" fillId="3" borderId="13" xfId="0" applyFont="1" applyFill="1" applyBorder="1"/>
    <xf numFmtId="0" fontId="3" fillId="3" borderId="14" xfId="0" applyFont="1" applyFill="1" applyBorder="1"/>
    <xf numFmtId="17" fontId="3" fillId="3" borderId="6" xfId="0" applyNumberFormat="1" applyFont="1" applyFill="1" applyBorder="1"/>
    <xf numFmtId="0" fontId="2" fillId="0" borderId="0" xfId="0" applyFont="1"/>
    <xf numFmtId="17" fontId="3" fillId="3" borderId="8" xfId="0" applyNumberFormat="1" applyFont="1" applyFill="1" applyBorder="1"/>
    <xf numFmtId="0" fontId="3" fillId="3" borderId="15" xfId="0" applyFont="1" applyFill="1" applyBorder="1"/>
    <xf numFmtId="0" fontId="3" fillId="3" borderId="16" xfId="0" applyFont="1" applyFill="1" applyBorder="1"/>
    <xf numFmtId="0" fontId="3" fillId="3" borderId="18" xfId="0" applyFont="1" applyFill="1" applyBorder="1"/>
    <xf numFmtId="0" fontId="3" fillId="3" borderId="22" xfId="0" applyFont="1" applyFill="1" applyBorder="1"/>
    <xf numFmtId="0" fontId="3" fillId="5" borderId="13" xfId="0" applyFont="1" applyFill="1" applyBorder="1"/>
    <xf numFmtId="0" fontId="3" fillId="5" borderId="0" xfId="0" applyFont="1" applyFill="1" applyAlignment="1">
      <alignment horizontal="right"/>
    </xf>
    <xf numFmtId="0" fontId="3" fillId="3" borderId="13" xfId="0" applyFont="1" applyFill="1" applyBorder="1" applyAlignment="1">
      <alignment horizontal="right"/>
    </xf>
    <xf numFmtId="0" fontId="3" fillId="5" borderId="13" xfId="0" applyFont="1" applyFill="1" applyBorder="1" applyAlignment="1">
      <alignment horizontal="right"/>
    </xf>
    <xf numFmtId="164" fontId="2" fillId="0" borderId="0" xfId="0" applyNumberFormat="1" applyFont="1"/>
    <xf numFmtId="0" fontId="17" fillId="0" borderId="0" xfId="0" applyFont="1" applyAlignment="1"/>
    <xf numFmtId="166" fontId="17" fillId="0" borderId="0" xfId="0" applyNumberFormat="1" applyFont="1" applyAlignment="1"/>
    <xf numFmtId="0" fontId="18" fillId="8" borderId="0" xfId="0" applyFont="1" applyFill="1" applyAlignment="1"/>
    <xf numFmtId="0" fontId="18" fillId="0" borderId="0" xfId="0" applyFont="1" applyFill="1" applyBorder="1"/>
    <xf numFmtId="0" fontId="3" fillId="0" borderId="0" xfId="0" applyFont="1" applyFill="1" applyBorder="1"/>
    <xf numFmtId="167" fontId="3" fillId="0" borderId="0" xfId="0" applyNumberFormat="1" applyFont="1" applyFill="1" applyBorder="1"/>
    <xf numFmtId="0" fontId="18" fillId="0" borderId="0" xfId="0" applyFont="1"/>
    <xf numFmtId="2" fontId="3" fillId="0" borderId="0" xfId="0" applyNumberFormat="1" applyFont="1" applyFill="1" applyBorder="1"/>
    <xf numFmtId="0" fontId="18" fillId="9" borderId="0" xfId="0" applyFont="1" applyFill="1"/>
    <xf numFmtId="0" fontId="18" fillId="7" borderId="0" xfId="0" applyFont="1" applyFill="1" applyBorder="1"/>
    <xf numFmtId="0" fontId="18" fillId="0" borderId="0" xfId="0" applyNumberFormat="1" applyFont="1" applyFill="1" applyBorder="1"/>
    <xf numFmtId="0" fontId="18" fillId="9" borderId="0" xfId="0" applyFont="1" applyFill="1" applyBorder="1"/>
    <xf numFmtId="0" fontId="3" fillId="9" borderId="0" xfId="0" applyFont="1" applyFill="1" applyBorder="1"/>
    <xf numFmtId="11" fontId="3" fillId="0" borderId="0" xfId="0" applyNumberFormat="1" applyFont="1" applyFill="1" applyBorder="1"/>
    <xf numFmtId="1" fontId="3" fillId="0" borderId="0" xfId="0" applyNumberFormat="1" applyFont="1" applyFill="1" applyBorder="1"/>
    <xf numFmtId="168" fontId="3" fillId="0" borderId="0" xfId="0" applyNumberFormat="1" applyFont="1" applyFill="1" applyBorder="1"/>
    <xf numFmtId="0" fontId="3" fillId="9" borderId="0" xfId="0" applyFont="1" applyFill="1" applyAlignment="1"/>
    <xf numFmtId="0" fontId="3" fillId="9" borderId="0" xfId="0" applyFont="1" applyFill="1"/>
    <xf numFmtId="1" fontId="3" fillId="9" borderId="0" xfId="0" applyNumberFormat="1" applyFont="1" applyFill="1" applyBorder="1"/>
    <xf numFmtId="0" fontId="7" fillId="10" borderId="0" xfId="0" applyFont="1" applyFill="1"/>
    <xf numFmtId="1" fontId="18" fillId="9" borderId="0" xfId="0" applyNumberFormat="1" applyFont="1" applyFill="1"/>
    <xf numFmtId="168" fontId="3" fillId="9" borderId="0" xfId="0" applyNumberFormat="1" applyFont="1" applyFill="1" applyBorder="1"/>
    <xf numFmtId="0" fontId="18" fillId="0" borderId="0" xfId="0" applyFont="1" applyAlignment="1">
      <alignment horizontal="right"/>
    </xf>
    <xf numFmtId="2" fontId="3" fillId="9" borderId="0" xfId="0" applyNumberFormat="1" applyFont="1" applyFill="1" applyBorder="1"/>
    <xf numFmtId="165" fontId="18" fillId="0" borderId="0" xfId="0" applyNumberFormat="1" applyFont="1"/>
    <xf numFmtId="169" fontId="18" fillId="0" borderId="0" xfId="0" applyNumberFormat="1" applyFont="1" applyFill="1"/>
    <xf numFmtId="2" fontId="18" fillId="0" borderId="0" xfId="0" applyNumberFormat="1" applyFont="1"/>
    <xf numFmtId="169" fontId="18" fillId="0" borderId="0" xfId="0" applyNumberFormat="1" applyFont="1"/>
    <xf numFmtId="0" fontId="18" fillId="11" borderId="0" xfId="0" applyFont="1" applyFill="1"/>
    <xf numFmtId="168" fontId="18" fillId="0" borderId="0" xfId="0" applyNumberFormat="1" applyFont="1" applyFill="1" applyBorder="1"/>
    <xf numFmtId="0" fontId="18" fillId="0" borderId="0" xfId="0" applyFont="1" applyFill="1"/>
    <xf numFmtId="2" fontId="18" fillId="0" borderId="0" xfId="0" applyNumberFormat="1" applyFont="1" applyFill="1" applyBorder="1"/>
    <xf numFmtId="1" fontId="18" fillId="0" borderId="0" xfId="0" applyNumberFormat="1" applyFont="1" applyFill="1" applyBorder="1"/>
    <xf numFmtId="0" fontId="8" fillId="12" borderId="0" xfId="0" applyFont="1" applyFill="1"/>
    <xf numFmtId="167" fontId="18" fillId="0" borderId="0" xfId="0" applyNumberFormat="1" applyFont="1" applyFill="1" applyBorder="1"/>
    <xf numFmtId="164" fontId="18" fillId="0" borderId="0" xfId="0" applyNumberFormat="1" applyFont="1" applyFill="1" applyBorder="1"/>
    <xf numFmtId="1" fontId="18" fillId="0" borderId="0" xfId="0" applyNumberFormat="1" applyFont="1"/>
    <xf numFmtId="0" fontId="18" fillId="0" borderId="0" xfId="0" applyFont="1" applyAlignment="1"/>
    <xf numFmtId="166" fontId="18" fillId="0" borderId="0" xfId="0" applyNumberFormat="1" applyFont="1"/>
    <xf numFmtId="166" fontId="18" fillId="0" borderId="0" xfId="0" applyNumberFormat="1" applyFont="1" applyFill="1" applyBorder="1"/>
    <xf numFmtId="0" fontId="8" fillId="12" borderId="0" xfId="0" applyFont="1" applyFill="1" applyBorder="1" applyAlignment="1"/>
    <xf numFmtId="0" fontId="8" fillId="12" borderId="0" xfId="0" applyFont="1" applyFill="1" applyAlignment="1"/>
    <xf numFmtId="0" fontId="8" fillId="12" borderId="0" xfId="0" applyFont="1" applyFill="1" applyBorder="1"/>
    <xf numFmtId="166" fontId="8" fillId="12" borderId="0" xfId="0" applyNumberFormat="1" applyFont="1" applyFill="1" applyBorder="1"/>
    <xf numFmtId="0" fontId="18" fillId="8" borderId="0" xfId="0" applyFont="1" applyFill="1" applyBorder="1" applyAlignment="1"/>
    <xf numFmtId="0" fontId="7" fillId="10" borderId="0" xfId="0" applyFont="1" applyFill="1" applyBorder="1"/>
    <xf numFmtId="0" fontId="3" fillId="13" borderId="0" xfId="0" applyFont="1" applyFill="1" applyBorder="1"/>
    <xf numFmtId="0" fontId="5" fillId="15" borderId="0" xfId="0" applyFont="1" applyFill="1" applyBorder="1"/>
    <xf numFmtId="1" fontId="5" fillId="15" borderId="0" xfId="0" applyNumberFormat="1" applyFont="1" applyFill="1" applyBorder="1"/>
    <xf numFmtId="0" fontId="5" fillId="9" borderId="0" xfId="0" applyFont="1" applyFill="1" applyBorder="1"/>
    <xf numFmtId="0" fontId="3" fillId="14" borderId="0" xfId="0" applyFont="1" applyFill="1" applyBorder="1"/>
    <xf numFmtId="0" fontId="3" fillId="0" borderId="0" xfId="0" applyNumberFormat="1" applyFont="1" applyFill="1" applyBorder="1"/>
    <xf numFmtId="0" fontId="18" fillId="13" borderId="0" xfId="0" applyFont="1" applyFill="1" applyBorder="1"/>
    <xf numFmtId="0" fontId="3" fillId="11" borderId="0" xfId="0" applyFont="1" applyFill="1" applyBorder="1"/>
    <xf numFmtId="0" fontId="3" fillId="0" borderId="0" xfId="0" applyFont="1" applyBorder="1"/>
    <xf numFmtId="0" fontId="7" fillId="13" borderId="0" xfId="0" applyFont="1" applyFill="1" applyBorder="1"/>
    <xf numFmtId="0" fontId="7" fillId="16" borderId="0" xfId="0" applyFont="1" applyFill="1" applyBorder="1"/>
    <xf numFmtId="1" fontId="18" fillId="0" borderId="0" xfId="0" applyNumberFormat="1" applyFont="1" applyBorder="1" applyAlignment="1"/>
    <xf numFmtId="0" fontId="3" fillId="3" borderId="0" xfId="0" applyFont="1" applyFill="1" applyAlignment="1"/>
    <xf numFmtId="0" fontId="18" fillId="3" borderId="0" xfId="0" applyFont="1" applyFill="1" applyAlignment="1">
      <alignment horizontal="left"/>
    </xf>
    <xf numFmtId="0" fontId="3" fillId="17" borderId="0" xfId="0" applyFont="1" applyFill="1" applyAlignment="1"/>
    <xf numFmtId="0" fontId="3" fillId="3" borderId="0" xfId="0" applyFont="1" applyFill="1" applyBorder="1"/>
    <xf numFmtId="0" fontId="4" fillId="3" borderId="0" xfId="0" applyFont="1" applyFill="1" applyAlignment="1"/>
    <xf numFmtId="0" fontId="3" fillId="3" borderId="1" xfId="0" applyFont="1" applyFill="1" applyBorder="1" applyAlignment="1"/>
    <xf numFmtId="0" fontId="18" fillId="15" borderId="0" xfId="0" applyFont="1" applyFill="1"/>
    <xf numFmtId="0" fontId="3" fillId="3" borderId="2" xfId="0" applyFont="1" applyFill="1" applyBorder="1" applyAlignment="1"/>
    <xf numFmtId="0" fontId="3" fillId="18" borderId="2" xfId="0" applyFont="1" applyFill="1" applyBorder="1" applyAlignment="1"/>
    <xf numFmtId="0" fontId="3" fillId="3" borderId="0" xfId="0" applyFont="1" applyFill="1" applyBorder="1" applyAlignment="1"/>
    <xf numFmtId="0" fontId="3" fillId="3" borderId="3" xfId="0" applyFont="1" applyFill="1" applyBorder="1" applyAlignment="1"/>
    <xf numFmtId="0" fontId="27" fillId="15" borderId="0" xfId="0" applyFont="1" applyFill="1"/>
    <xf numFmtId="0" fontId="3" fillId="18" borderId="0" xfId="0" applyFont="1" applyFill="1" applyAlignment="1"/>
    <xf numFmtId="0" fontId="3" fillId="3" borderId="4" xfId="0" applyFont="1" applyFill="1" applyBorder="1" applyAlignment="1"/>
    <xf numFmtId="0" fontId="3" fillId="3" borderId="5" xfId="0" applyFont="1" applyFill="1" applyBorder="1" applyAlignment="1"/>
    <xf numFmtId="0" fontId="27" fillId="4" borderId="5" xfId="0" applyFont="1" applyFill="1" applyBorder="1" applyAlignment="1"/>
    <xf numFmtId="0" fontId="3" fillId="3" borderId="0" xfId="0" applyFont="1" applyFill="1" applyBorder="1" applyAlignment="1">
      <alignment horizontal="right"/>
    </xf>
    <xf numFmtId="0" fontId="3" fillId="17" borderId="5" xfId="0" applyFont="1" applyFill="1" applyBorder="1" applyAlignment="1"/>
    <xf numFmtId="0" fontId="3" fillId="3" borderId="6" xfId="0" applyFont="1" applyFill="1" applyBorder="1" applyAlignment="1"/>
    <xf numFmtId="0" fontId="3" fillId="3" borderId="7" xfId="0" applyFont="1" applyFill="1" applyBorder="1" applyAlignment="1"/>
    <xf numFmtId="0" fontId="3" fillId="17" borderId="0" xfId="0" applyFont="1" applyFill="1" applyBorder="1" applyAlignment="1"/>
    <xf numFmtId="0" fontId="3" fillId="3" borderId="8" xfId="0" applyFont="1" applyFill="1" applyBorder="1" applyAlignment="1"/>
    <xf numFmtId="0" fontId="3" fillId="3" borderId="9" xfId="0" applyFont="1" applyFill="1" applyBorder="1" applyAlignment="1"/>
    <xf numFmtId="0" fontId="3" fillId="3" borderId="10" xfId="0" applyFont="1" applyFill="1" applyBorder="1" applyAlignment="1"/>
    <xf numFmtId="0" fontId="5" fillId="19" borderId="10" xfId="0" applyFont="1" applyFill="1" applyBorder="1" applyAlignment="1"/>
    <xf numFmtId="0" fontId="3" fillId="17" borderId="10" xfId="0" applyFont="1" applyFill="1" applyBorder="1" applyAlignment="1"/>
    <xf numFmtId="0" fontId="3" fillId="3" borderId="11" xfId="0" applyFont="1" applyFill="1" applyBorder="1" applyAlignment="1"/>
    <xf numFmtId="0" fontId="28" fillId="0" borderId="0" xfId="2" applyFont="1" applyAlignment="1"/>
    <xf numFmtId="0" fontId="6" fillId="3" borderId="5" xfId="0" applyFont="1" applyFill="1" applyBorder="1" applyAlignment="1"/>
    <xf numFmtId="0" fontId="6" fillId="3" borderId="0" xfId="0" applyFont="1" applyFill="1" applyBorder="1" applyAlignment="1"/>
    <xf numFmtId="0" fontId="27" fillId="4" borderId="10" xfId="0" applyFont="1" applyFill="1" applyBorder="1" applyAlignment="1"/>
    <xf numFmtId="0" fontId="6" fillId="3" borderId="10" xfId="0" applyFont="1" applyFill="1" applyBorder="1" applyAlignment="1"/>
    <xf numFmtId="0" fontId="27" fillId="4" borderId="0" xfId="0" applyFont="1" applyFill="1" applyAlignment="1"/>
    <xf numFmtId="0" fontId="3" fillId="3" borderId="12" xfId="0" applyFont="1" applyFill="1" applyBorder="1" applyAlignment="1"/>
    <xf numFmtId="0" fontId="3" fillId="3" borderId="13" xfId="0" applyFont="1" applyFill="1" applyBorder="1" applyAlignment="1"/>
    <xf numFmtId="0" fontId="27" fillId="4" borderId="13" xfId="0" applyFont="1" applyFill="1" applyBorder="1" applyAlignment="1"/>
    <xf numFmtId="0" fontId="5" fillId="20" borderId="2" xfId="0" applyFont="1" applyFill="1" applyBorder="1" applyAlignment="1"/>
    <xf numFmtId="0" fontId="27" fillId="4" borderId="7" xfId="0" applyFont="1" applyFill="1" applyBorder="1" applyAlignment="1"/>
    <xf numFmtId="0" fontId="27" fillId="4" borderId="0" xfId="0" applyFont="1" applyFill="1" applyBorder="1" applyAlignment="1"/>
    <xf numFmtId="0" fontId="27" fillId="4" borderId="0" xfId="0" applyFont="1" applyFill="1" applyBorder="1"/>
    <xf numFmtId="17" fontId="27" fillId="4" borderId="8" xfId="0" applyNumberFormat="1" applyFont="1" applyFill="1" applyBorder="1"/>
    <xf numFmtId="0" fontId="2" fillId="0" borderId="0" xfId="0" applyFont="1" applyBorder="1" applyAlignment="1"/>
    <xf numFmtId="0" fontId="27" fillId="21" borderId="5" xfId="0" applyFont="1" applyFill="1" applyBorder="1" applyAlignment="1"/>
    <xf numFmtId="0" fontId="27" fillId="4" borderId="6" xfId="0" applyFont="1" applyFill="1" applyBorder="1"/>
    <xf numFmtId="0" fontId="27" fillId="4" borderId="4" xfId="0" applyFont="1" applyFill="1" applyBorder="1" applyAlignment="1"/>
    <xf numFmtId="0" fontId="27" fillId="4" borderId="8" xfId="0" applyFont="1" applyFill="1" applyBorder="1"/>
    <xf numFmtId="0" fontId="7" fillId="22" borderId="2" xfId="0" applyFont="1" applyFill="1" applyBorder="1" applyAlignment="1"/>
    <xf numFmtId="0" fontId="7" fillId="22" borderId="10" xfId="0" applyFont="1" applyFill="1" applyBorder="1" applyAlignment="1"/>
    <xf numFmtId="0" fontId="3" fillId="17" borderId="13" xfId="0" applyFont="1" applyFill="1" applyBorder="1" applyAlignment="1"/>
    <xf numFmtId="0" fontId="5" fillId="20" borderId="2" xfId="0" applyFont="1" applyFill="1" applyBorder="1"/>
    <xf numFmtId="0" fontId="5" fillId="20" borderId="1" xfId="0" applyFont="1" applyFill="1" applyBorder="1" applyAlignment="1"/>
    <xf numFmtId="0" fontId="5" fillId="20" borderId="0" xfId="0" applyFont="1" applyFill="1" applyBorder="1" applyAlignment="1"/>
    <xf numFmtId="0" fontId="5" fillId="20" borderId="0" xfId="0" applyFont="1" applyFill="1" applyBorder="1"/>
    <xf numFmtId="0" fontId="8" fillId="23" borderId="0" xfId="0" applyFont="1" applyFill="1" applyBorder="1" applyAlignment="1"/>
    <xf numFmtId="0" fontId="5" fillId="20" borderId="5" xfId="0" applyFont="1" applyFill="1" applyBorder="1" applyAlignment="1"/>
    <xf numFmtId="0" fontId="5" fillId="20" borderId="10" xfId="0" applyFont="1" applyFill="1" applyBorder="1"/>
    <xf numFmtId="0" fontId="2" fillId="0" borderId="5" xfId="0" applyFont="1" applyBorder="1" applyAlignment="1"/>
    <xf numFmtId="0" fontId="27" fillId="4" borderId="9" xfId="0" applyFont="1" applyFill="1" applyBorder="1" applyAlignment="1"/>
    <xf numFmtId="0" fontId="5" fillId="20" borderId="10" xfId="0" applyFont="1" applyFill="1" applyBorder="1" applyAlignment="1"/>
    <xf numFmtId="0" fontId="5" fillId="24" borderId="10" xfId="0" applyFont="1" applyFill="1" applyBorder="1" applyAlignment="1"/>
    <xf numFmtId="0" fontId="5" fillId="20" borderId="3" xfId="0" applyFont="1" applyFill="1" applyBorder="1" applyAlignment="1"/>
    <xf numFmtId="0" fontId="5" fillId="20" borderId="14" xfId="0" applyFont="1" applyFill="1" applyBorder="1"/>
    <xf numFmtId="0" fontId="3" fillId="3" borderId="17" xfId="0" applyFont="1" applyFill="1" applyBorder="1" applyAlignment="1"/>
    <xf numFmtId="0" fontId="3" fillId="3" borderId="18" xfId="0" applyFont="1" applyFill="1" applyBorder="1" applyAlignment="1"/>
    <xf numFmtId="0" fontId="5" fillId="20" borderId="18" xfId="0" applyFont="1" applyFill="1" applyBorder="1" applyAlignment="1"/>
    <xf numFmtId="0" fontId="3" fillId="17" borderId="18" xfId="0" applyFont="1" applyFill="1" applyBorder="1" applyAlignment="1"/>
    <xf numFmtId="0" fontId="5" fillId="20" borderId="18" xfId="0" applyFont="1" applyFill="1" applyBorder="1"/>
    <xf numFmtId="0" fontId="9" fillId="20" borderId="18" xfId="2" applyFont="1" applyFill="1" applyBorder="1" applyAlignment="1"/>
    <xf numFmtId="0" fontId="5" fillId="24" borderId="0" xfId="0" applyFont="1" applyFill="1"/>
    <xf numFmtId="0" fontId="3" fillId="3" borderId="19" xfId="0" applyFont="1" applyFill="1" applyBorder="1" applyAlignment="1"/>
    <xf numFmtId="0" fontId="27" fillId="4" borderId="2" xfId="0" applyFont="1" applyFill="1" applyBorder="1" applyAlignment="1"/>
    <xf numFmtId="0" fontId="5" fillId="20" borderId="14" xfId="0" applyFont="1" applyFill="1" applyBorder="1" applyAlignment="1"/>
    <xf numFmtId="0" fontId="3" fillId="3" borderId="20" xfId="0" applyFont="1" applyFill="1" applyBorder="1" applyAlignment="1"/>
    <xf numFmtId="0" fontId="27" fillId="4" borderId="21" xfId="0" applyFont="1" applyFill="1" applyBorder="1" applyAlignment="1"/>
    <xf numFmtId="0" fontId="3" fillId="3" borderId="22" xfId="0" applyFont="1" applyFill="1" applyBorder="1" applyAlignment="1"/>
    <xf numFmtId="0" fontId="3" fillId="17" borderId="22" xfId="0" applyFont="1" applyFill="1" applyBorder="1" applyAlignment="1"/>
    <xf numFmtId="0" fontId="28" fillId="3" borderId="22" xfId="2" applyFont="1" applyFill="1" applyBorder="1" applyAlignment="1"/>
    <xf numFmtId="0" fontId="5" fillId="20" borderId="22" xfId="0" applyFont="1" applyFill="1" applyBorder="1" applyAlignment="1"/>
    <xf numFmtId="0" fontId="3" fillId="5" borderId="12" xfId="0" applyFont="1" applyFill="1" applyBorder="1" applyAlignment="1"/>
    <xf numFmtId="0" fontId="3" fillId="5" borderId="13" xfId="0" applyFont="1" applyFill="1" applyBorder="1" applyAlignment="1"/>
    <xf numFmtId="0" fontId="3" fillId="25" borderId="13" xfId="0" applyFont="1" applyFill="1" applyBorder="1" applyAlignment="1"/>
    <xf numFmtId="0" fontId="5" fillId="26" borderId="13" xfId="0" applyFont="1" applyFill="1" applyBorder="1" applyAlignment="1"/>
    <xf numFmtId="0" fontId="27" fillId="27" borderId="13" xfId="0" applyFont="1" applyFill="1" applyBorder="1" applyAlignment="1"/>
    <xf numFmtId="0" fontId="3" fillId="5" borderId="15" xfId="0" applyFont="1" applyFill="1" applyBorder="1" applyAlignment="1"/>
    <xf numFmtId="0" fontId="3" fillId="5" borderId="1" xfId="0" applyFont="1" applyFill="1" applyBorder="1" applyAlignment="1"/>
    <xf numFmtId="0" fontId="3" fillId="5" borderId="2" xfId="0" applyFont="1" applyFill="1" applyBorder="1" applyAlignment="1"/>
    <xf numFmtId="0" fontId="10" fillId="5" borderId="2" xfId="0" applyFont="1" applyFill="1" applyBorder="1" applyAlignment="1">
      <alignment horizontal="right"/>
    </xf>
    <xf numFmtId="3" fontId="5" fillId="28" borderId="2" xfId="0" applyNumberFormat="1" applyFont="1" applyFill="1" applyBorder="1" applyAlignment="1">
      <alignment horizontal="left"/>
    </xf>
    <xf numFmtId="0" fontId="3" fillId="5" borderId="2" xfId="0" applyFont="1" applyFill="1" applyBorder="1" applyAlignment="1">
      <alignment horizontal="right"/>
    </xf>
    <xf numFmtId="0" fontId="3" fillId="25" borderId="2" xfId="0" applyFont="1" applyFill="1" applyBorder="1" applyAlignment="1">
      <alignment horizontal="right"/>
    </xf>
    <xf numFmtId="0" fontId="5" fillId="26" borderId="2" xfId="0" applyFont="1" applyFill="1" applyBorder="1" applyAlignment="1"/>
    <xf numFmtId="0" fontId="5" fillId="28" borderId="2" xfId="0" applyFont="1" applyFill="1" applyBorder="1" applyAlignment="1"/>
    <xf numFmtId="0" fontId="5" fillId="26" borderId="16" xfId="0" applyFont="1" applyFill="1" applyBorder="1" applyAlignment="1">
      <alignment horizontal="center"/>
    </xf>
    <xf numFmtId="0" fontId="5" fillId="28" borderId="1" xfId="0" applyFont="1" applyFill="1" applyBorder="1" applyAlignment="1"/>
    <xf numFmtId="0" fontId="5" fillId="28" borderId="2" xfId="0" applyFont="1" applyFill="1" applyBorder="1" applyAlignment="1">
      <alignment horizontal="right"/>
    </xf>
    <xf numFmtId="3" fontId="5" fillId="28" borderId="0" xfId="0" applyNumberFormat="1" applyFont="1" applyFill="1" applyBorder="1" applyAlignment="1">
      <alignment horizontal="left"/>
    </xf>
    <xf numFmtId="0" fontId="5" fillId="28" borderId="0" xfId="0" applyFont="1" applyFill="1" applyBorder="1" applyAlignment="1">
      <alignment horizontal="right"/>
    </xf>
    <xf numFmtId="0" fontId="5" fillId="28" borderId="0" xfId="0" applyFont="1" applyFill="1" applyBorder="1" applyAlignment="1"/>
    <xf numFmtId="0" fontId="5" fillId="28" borderId="14" xfId="0" applyFont="1" applyFill="1" applyBorder="1" applyAlignment="1">
      <alignment horizontal="center"/>
    </xf>
    <xf numFmtId="0" fontId="28" fillId="3" borderId="0" xfId="2" applyFont="1" applyFill="1" applyBorder="1"/>
    <xf numFmtId="0" fontId="27" fillId="4" borderId="0" xfId="0" applyFont="1" applyFill="1" applyBorder="1" applyAlignment="1">
      <alignment horizontal="right"/>
    </xf>
    <xf numFmtId="0" fontId="5" fillId="20" borderId="0" xfId="0" applyFont="1" applyFill="1" applyBorder="1" applyAlignment="1">
      <alignment horizontal="right"/>
    </xf>
    <xf numFmtId="0" fontId="3" fillId="3" borderId="14" xfId="0" applyFont="1" applyFill="1" applyBorder="1" applyAlignment="1"/>
    <xf numFmtId="0" fontId="5" fillId="18" borderId="4" xfId="0" applyFont="1" applyFill="1" applyBorder="1" applyAlignment="1"/>
    <xf numFmtId="0" fontId="5" fillId="18" borderId="5" xfId="0" applyFont="1" applyFill="1" applyBorder="1" applyAlignment="1"/>
    <xf numFmtId="0" fontId="5" fillId="18" borderId="5" xfId="0" applyFont="1" applyFill="1" applyBorder="1" applyAlignment="1">
      <alignment horizontal="right"/>
    </xf>
    <xf numFmtId="0" fontId="5" fillId="24" borderId="5" xfId="0" applyFont="1" applyFill="1" applyBorder="1" applyAlignment="1">
      <alignment horizontal="right"/>
    </xf>
    <xf numFmtId="0" fontId="5" fillId="20" borderId="5" xfId="0" applyFont="1" applyFill="1" applyBorder="1" applyAlignment="1">
      <alignment horizontal="right"/>
    </xf>
    <xf numFmtId="0" fontId="5" fillId="18" borderId="6" xfId="0" applyFont="1" applyFill="1" applyBorder="1" applyAlignment="1"/>
    <xf numFmtId="0" fontId="5" fillId="20" borderId="4" xfId="0" applyFont="1" applyFill="1" applyBorder="1" applyAlignment="1"/>
    <xf numFmtId="0" fontId="5" fillId="20" borderId="8" xfId="0" applyFont="1" applyFill="1" applyBorder="1" applyAlignment="1"/>
    <xf numFmtId="0" fontId="5" fillId="20" borderId="10" xfId="0" applyFont="1" applyFill="1" applyBorder="1" applyAlignment="1">
      <alignment horizontal="right"/>
    </xf>
    <xf numFmtId="0" fontId="11" fillId="2" borderId="12" xfId="1" applyFont="1" applyBorder="1" applyAlignment="1"/>
    <xf numFmtId="0" fontId="11" fillId="2" borderId="13" xfId="1" applyFont="1" applyBorder="1" applyAlignment="1"/>
    <xf numFmtId="0" fontId="11" fillId="2" borderId="13" xfId="1" applyFont="1" applyBorder="1" applyAlignment="1">
      <alignment horizontal="right"/>
    </xf>
    <xf numFmtId="0" fontId="11" fillId="2" borderId="0" xfId="1" applyFont="1" applyAlignment="1">
      <alignment horizontal="center"/>
    </xf>
    <xf numFmtId="0" fontId="11" fillId="2" borderId="0" xfId="1" applyFont="1" applyAlignment="1"/>
    <xf numFmtId="0" fontId="5" fillId="29" borderId="13" xfId="1" applyFont="1" applyFill="1" applyBorder="1" applyAlignment="1"/>
    <xf numFmtId="0" fontId="11" fillId="2" borderId="15" xfId="1" applyFont="1" applyBorder="1" applyAlignment="1"/>
    <xf numFmtId="0" fontId="6" fillId="3" borderId="13" xfId="0" applyFont="1" applyFill="1" applyBorder="1" applyAlignment="1"/>
    <xf numFmtId="0" fontId="12" fillId="3" borderId="13" xfId="0" applyFont="1" applyFill="1" applyBorder="1" applyAlignment="1"/>
    <xf numFmtId="0" fontId="27" fillId="4" borderId="13" xfId="0" applyFont="1" applyFill="1" applyBorder="1" applyAlignment="1">
      <alignment horizontal="right"/>
    </xf>
    <xf numFmtId="0" fontId="3" fillId="17" borderId="13" xfId="0" applyFont="1" applyFill="1" applyBorder="1" applyAlignment="1">
      <alignment horizontal="right"/>
    </xf>
    <xf numFmtId="0" fontId="3" fillId="3" borderId="15" xfId="0" applyFont="1" applyFill="1" applyBorder="1" applyAlignment="1"/>
    <xf numFmtId="0" fontId="13" fillId="5" borderId="13" xfId="0" applyFont="1" applyFill="1" applyBorder="1" applyAlignment="1"/>
    <xf numFmtId="0" fontId="14" fillId="5" borderId="13" xfId="0" applyFont="1" applyFill="1" applyBorder="1" applyAlignment="1"/>
    <xf numFmtId="0" fontId="27" fillId="6" borderId="13" xfId="0" applyFont="1" applyFill="1" applyBorder="1" applyAlignment="1">
      <alignment horizontal="right"/>
    </xf>
    <xf numFmtId="0" fontId="5" fillId="20" borderId="13" xfId="0" applyFont="1" applyFill="1" applyBorder="1" applyAlignment="1">
      <alignment horizontal="right"/>
    </xf>
    <xf numFmtId="0" fontId="5" fillId="30" borderId="13" xfId="0" applyFont="1" applyFill="1" applyBorder="1" applyAlignment="1">
      <alignment horizontal="right"/>
    </xf>
    <xf numFmtId="0" fontId="6" fillId="3" borderId="0" xfId="0" applyFont="1" applyFill="1" applyAlignment="1"/>
    <xf numFmtId="0" fontId="3" fillId="17" borderId="0" xfId="0" applyFont="1" applyFill="1" applyAlignment="1">
      <alignment horizontal="right"/>
    </xf>
    <xf numFmtId="0" fontId="18" fillId="0" borderId="0" xfId="0" applyFont="1" applyFill="1" applyAlignment="1"/>
    <xf numFmtId="164" fontId="18" fillId="0" borderId="0" xfId="0" applyNumberFormat="1" applyFont="1" applyAlignment="1"/>
    <xf numFmtId="0" fontId="18" fillId="9" borderId="0" xfId="0" applyFont="1" applyFill="1" applyAlignment="1"/>
    <xf numFmtId="164" fontId="18" fillId="9" borderId="0" xfId="0" applyNumberFormat="1" applyFont="1" applyFill="1" applyAlignment="1"/>
    <xf numFmtId="0" fontId="7" fillId="10" borderId="0" xfId="0" applyFont="1" applyFill="1" applyAlignment="1"/>
    <xf numFmtId="0" fontId="29" fillId="8" borderId="0" xfId="0" applyFont="1" applyFill="1" applyAlignment="1"/>
    <xf numFmtId="0" fontId="29" fillId="0" borderId="0" xfId="0" applyFont="1" applyFill="1" applyAlignment="1"/>
    <xf numFmtId="0" fontId="29" fillId="9" borderId="0" xfId="0" applyFont="1" applyFill="1" applyAlignment="1"/>
    <xf numFmtId="164" fontId="29" fillId="0" borderId="0" xfId="0" applyNumberFormat="1" applyFont="1" applyFill="1" applyAlignment="1"/>
    <xf numFmtId="0" fontId="18" fillId="14" borderId="0" xfId="0" applyFont="1" applyFill="1" applyAlignment="1"/>
    <xf numFmtId="0" fontId="3" fillId="0" borderId="0" xfId="0" applyFont="1" applyFill="1" applyBorder="1" applyAlignment="1"/>
    <xf numFmtId="0" fontId="15" fillId="0" borderId="0" xfId="0" applyFont="1" applyAlignment="1"/>
    <xf numFmtId="165" fontId="18" fillId="0" borderId="0" xfId="0" applyNumberFormat="1" applyFont="1" applyAlignment="1"/>
    <xf numFmtId="0" fontId="3" fillId="9" borderId="0" xfId="0" applyFont="1" applyFill="1" applyBorder="1" applyAlignment="1"/>
    <xf numFmtId="0" fontId="18" fillId="0" borderId="0" xfId="0" applyFont="1" applyFill="1" applyBorder="1" applyAlignment="1"/>
    <xf numFmtId="0" fontId="29" fillId="0" borderId="0" xfId="0" applyFont="1" applyAlignment="1"/>
    <xf numFmtId="4" fontId="7" fillId="10" borderId="0" xfId="0" applyNumberFormat="1" applyFont="1" applyFill="1" applyAlignment="1"/>
    <xf numFmtId="1" fontId="29" fillId="0" borderId="0" xfId="0" applyNumberFormat="1" applyFont="1" applyAlignment="1"/>
    <xf numFmtId="0" fontId="7" fillId="10" borderId="0" xfId="0" applyFont="1" applyFill="1" applyBorder="1" applyAlignment="1"/>
    <xf numFmtId="0" fontId="29" fillId="0" borderId="0" xfId="0" applyFont="1" applyFill="1" applyBorder="1" applyAlignment="1"/>
    <xf numFmtId="164" fontId="18" fillId="14" borderId="0" xfId="0" applyNumberFormat="1" applyFont="1" applyFill="1" applyAlignment="1"/>
    <xf numFmtId="164" fontId="18" fillId="0" borderId="0" xfId="0" applyNumberFormat="1" applyFont="1" applyFill="1" applyAlignment="1"/>
    <xf numFmtId="11" fontId="18" fillId="0" borderId="0" xfId="0" applyNumberFormat="1" applyFont="1" applyAlignment="1"/>
    <xf numFmtId="0" fontId="18" fillId="31" borderId="0" xfId="0" applyFont="1" applyFill="1" applyAlignment="1"/>
    <xf numFmtId="0" fontId="2" fillId="32" borderId="0" xfId="0" applyFont="1" applyFill="1" applyBorder="1"/>
    <xf numFmtId="164" fontId="3" fillId="0" borderId="0" xfId="0" applyNumberFormat="1" applyFont="1"/>
    <xf numFmtId="0" fontId="6" fillId="33" borderId="0" xfId="0" applyFont="1" applyFill="1" applyBorder="1"/>
    <xf numFmtId="0" fontId="3" fillId="0" borderId="0" xfId="0" applyFont="1" applyAlignment="1">
      <alignment horizontal="right"/>
    </xf>
    <xf numFmtId="0" fontId="3" fillId="33" borderId="0" xfId="0" applyFont="1" applyFill="1" applyBorder="1"/>
    <xf numFmtId="1" fontId="3" fillId="0" borderId="0" xfId="0" applyNumberFormat="1" applyFont="1"/>
    <xf numFmtId="0" fontId="7" fillId="34" borderId="0" xfId="0" applyFont="1" applyFill="1" applyBorder="1"/>
    <xf numFmtId="0" fontId="3" fillId="5" borderId="0" xfId="0" applyFont="1" applyFill="1" applyBorder="1"/>
    <xf numFmtId="170" fontId="3" fillId="0" borderId="0" xfId="0" applyNumberFormat="1" applyFont="1"/>
    <xf numFmtId="1" fontId="2" fillId="0" borderId="0" xfId="0" applyNumberFormat="1" applyFont="1"/>
    <xf numFmtId="0" fontId="2" fillId="35" borderId="0" xfId="0" applyFont="1" applyFill="1" applyBorder="1"/>
    <xf numFmtId="0" fontId="3" fillId="32" borderId="0" xfId="0" applyFont="1" applyFill="1" applyBorder="1"/>
    <xf numFmtId="164" fontId="7" fillId="34" borderId="0" xfId="0" applyNumberFormat="1" applyFont="1" applyFill="1" applyBorder="1"/>
    <xf numFmtId="0" fontId="8" fillId="36" borderId="0" xfId="0" applyFont="1" applyFill="1" applyBorder="1"/>
    <xf numFmtId="0" fontId="7" fillId="37" borderId="0" xfId="0" applyFont="1" applyFill="1" applyBorder="1"/>
    <xf numFmtId="1" fontId="7" fillId="34" borderId="0" xfId="0" applyNumberFormat="1" applyFont="1" applyFill="1" applyBorder="1"/>
    <xf numFmtId="0" fontId="34" fillId="0" borderId="0" xfId="0" applyFont="1"/>
    <xf numFmtId="2" fontId="7" fillId="34" borderId="0" xfId="0" applyNumberFormat="1" applyFont="1" applyFill="1" applyBorder="1"/>
    <xf numFmtId="0" fontId="2" fillId="5" borderId="0" xfId="0" applyFont="1" applyFill="1" applyBorder="1"/>
    <xf numFmtId="169" fontId="7" fillId="34" borderId="0" xfId="0" applyNumberFormat="1" applyFont="1" applyFill="1" applyBorder="1"/>
    <xf numFmtId="0" fontId="7" fillId="23" borderId="0" xfId="0" applyFont="1" applyFill="1" applyBorder="1" applyAlignment="1"/>
    <xf numFmtId="0" fontId="7" fillId="23" borderId="5" xfId="0" applyFont="1" applyFill="1" applyBorder="1" applyAlignment="1"/>
    <xf numFmtId="0" fontId="3" fillId="38" borderId="0" xfId="0" applyFont="1" applyFill="1" applyBorder="1"/>
    <xf numFmtId="0" fontId="18" fillId="38" borderId="0" xfId="0" applyFont="1" applyFill="1"/>
    <xf numFmtId="0" fontId="7" fillId="38" borderId="0" xfId="0" applyFont="1" applyFill="1" applyBorder="1"/>
    <xf numFmtId="0" fontId="7" fillId="38" borderId="0" xfId="0" applyFont="1" applyFill="1"/>
    <xf numFmtId="165" fontId="7" fillId="38" borderId="0" xfId="0" applyNumberFormat="1" applyFont="1" applyFill="1"/>
    <xf numFmtId="169" fontId="7" fillId="38" borderId="0" xfId="0" applyNumberFormat="1" applyFont="1" applyFill="1"/>
    <xf numFmtId="164" fontId="7" fillId="38" borderId="0" xfId="0" applyNumberFormat="1" applyFont="1" applyFill="1" applyBorder="1"/>
    <xf numFmtId="166" fontId="7" fillId="38" borderId="0" xfId="0" applyNumberFormat="1" applyFont="1" applyFill="1"/>
    <xf numFmtId="2" fontId="7" fillId="38" borderId="0" xfId="0" applyNumberFormat="1" applyFont="1" applyFill="1" applyBorder="1"/>
    <xf numFmtId="167" fontId="7" fillId="38" borderId="0" xfId="0" applyNumberFormat="1" applyFont="1" applyFill="1" applyBorder="1"/>
    <xf numFmtId="0" fontId="3" fillId="38" borderId="0" xfId="0" applyNumberFormat="1" applyFont="1" applyFill="1" applyBorder="1"/>
    <xf numFmtId="0" fontId="3" fillId="0" borderId="0" xfId="0" applyFont="1" applyFill="1"/>
    <xf numFmtId="0" fontId="7" fillId="41" borderId="0" xfId="0" applyFont="1" applyFill="1" applyBorder="1"/>
    <xf numFmtId="0" fontId="7" fillId="41" borderId="5" xfId="0" applyFont="1" applyFill="1" applyBorder="1" applyAlignment="1"/>
    <xf numFmtId="0" fontId="7" fillId="41" borderId="0" xfId="0" applyFont="1" applyFill="1" applyBorder="1" applyAlignment="1"/>
    <xf numFmtId="0" fontId="7" fillId="41" borderId="10" xfId="0" applyFont="1" applyFill="1" applyBorder="1" applyAlignment="1"/>
    <xf numFmtId="0" fontId="7" fillId="41" borderId="0" xfId="0" applyFont="1" applyFill="1" applyAlignment="1"/>
    <xf numFmtId="0" fontId="7" fillId="41" borderId="13" xfId="0" applyFont="1" applyFill="1" applyBorder="1" applyAlignment="1"/>
    <xf numFmtId="0" fontId="7" fillId="41" borderId="2" xfId="0" applyFont="1" applyFill="1" applyBorder="1" applyAlignment="1"/>
    <xf numFmtId="0" fontId="7" fillId="41" borderId="10" xfId="0" applyFont="1" applyFill="1" applyBorder="1"/>
    <xf numFmtId="0" fontId="7" fillId="41" borderId="18" xfId="0" applyFont="1" applyFill="1" applyBorder="1" applyAlignment="1"/>
    <xf numFmtId="0" fontId="7" fillId="41" borderId="22" xfId="0" applyFont="1" applyFill="1" applyBorder="1" applyAlignment="1"/>
    <xf numFmtId="0" fontId="7" fillId="42" borderId="13" xfId="0" applyFont="1" applyFill="1" applyBorder="1" applyAlignment="1"/>
    <xf numFmtId="0" fontId="7" fillId="41" borderId="0" xfId="0" applyFont="1" applyFill="1" applyBorder="1" applyAlignment="1">
      <alignment horizontal="right"/>
    </xf>
    <xf numFmtId="0" fontId="7" fillId="41" borderId="5" xfId="0" applyFont="1" applyFill="1" applyBorder="1" applyAlignment="1">
      <alignment horizontal="right"/>
    </xf>
    <xf numFmtId="0" fontId="7" fillId="41" borderId="10" xfId="0" applyFont="1" applyFill="1" applyBorder="1" applyAlignment="1">
      <alignment horizontal="right"/>
    </xf>
    <xf numFmtId="0" fontId="7" fillId="38" borderId="13" xfId="1" applyFont="1" applyFill="1" applyBorder="1" applyAlignment="1"/>
    <xf numFmtId="0" fontId="7" fillId="41" borderId="13" xfId="0" applyFont="1" applyFill="1" applyBorder="1" applyAlignment="1">
      <alignment horizontal="right"/>
    </xf>
    <xf numFmtId="0" fontId="7" fillId="41" borderId="0" xfId="0" applyFont="1" applyFill="1" applyAlignment="1">
      <alignment horizontal="right"/>
    </xf>
    <xf numFmtId="0" fontId="7" fillId="38" borderId="0" xfId="0" applyFont="1" applyFill="1" applyAlignment="1"/>
    <xf numFmtId="0" fontId="7" fillId="38" borderId="0" xfId="0" applyFont="1" applyFill="1" applyBorder="1" applyAlignment="1"/>
    <xf numFmtId="1" fontId="18" fillId="0" borderId="0" xfId="0" applyNumberFormat="1" applyFont="1" applyAlignment="1"/>
    <xf numFmtId="0" fontId="7" fillId="43" borderId="0" xfId="0" applyFont="1" applyFill="1"/>
    <xf numFmtId="0" fontId="7" fillId="43" borderId="0" xfId="0" applyFont="1" applyFill="1" applyAlignment="1"/>
    <xf numFmtId="0" fontId="3" fillId="44" borderId="0" xfId="0" applyFont="1" applyFill="1" applyBorder="1"/>
    <xf numFmtId="0" fontId="2" fillId="44" borderId="0" xfId="0" applyFont="1" applyFill="1" applyBorder="1"/>
    <xf numFmtId="0" fontId="3" fillId="44" borderId="0" xfId="0" applyFont="1" applyFill="1"/>
    <xf numFmtId="0" fontId="2" fillId="44" borderId="0" xfId="0" applyFont="1" applyFill="1"/>
    <xf numFmtId="164" fontId="3" fillId="44" borderId="0" xfId="0" applyNumberFormat="1" applyFont="1" applyFill="1"/>
    <xf numFmtId="164" fontId="2" fillId="44" borderId="0" xfId="0" applyNumberFormat="1" applyFont="1" applyFill="1"/>
    <xf numFmtId="0" fontId="7" fillId="43" borderId="0" xfId="0" applyFont="1" applyFill="1" applyBorder="1"/>
    <xf numFmtId="1" fontId="7" fillId="43" borderId="0" xfId="0" applyNumberFormat="1" applyFont="1" applyFill="1"/>
    <xf numFmtId="164" fontId="7" fillId="43" borderId="0" xfId="0" applyNumberFormat="1" applyFont="1" applyFill="1"/>
    <xf numFmtId="0" fontId="7" fillId="38" borderId="13" xfId="1" applyFont="1" applyFill="1" applyBorder="1" applyAlignment="1">
      <alignment horizontal="right"/>
    </xf>
    <xf numFmtId="0" fontId="18" fillId="14" borderId="0" xfId="0" applyFont="1" applyFill="1" applyBorder="1"/>
    <xf numFmtId="1" fontId="18" fillId="14" borderId="0" xfId="0" applyNumberFormat="1" applyFont="1" applyFill="1" applyBorder="1"/>
    <xf numFmtId="0" fontId="18" fillId="38" borderId="0" xfId="0" applyFont="1" applyFill="1" applyBorder="1"/>
    <xf numFmtId="1" fontId="7" fillId="38" borderId="0" xfId="0" applyNumberFormat="1" applyFont="1" applyFill="1" applyBorder="1"/>
    <xf numFmtId="0" fontId="18" fillId="11" borderId="0" xfId="0" applyFont="1" applyFill="1" applyBorder="1"/>
    <xf numFmtId="0" fontId="28" fillId="12" borderId="0" xfId="2" applyFont="1" applyFill="1" applyBorder="1"/>
    <xf numFmtId="0" fontId="18" fillId="0" borderId="0" xfId="0" applyFont="1" applyBorder="1"/>
    <xf numFmtId="1" fontId="8" fillId="12" borderId="0" xfId="0" applyNumberFormat="1" applyFont="1" applyFill="1" applyBorder="1"/>
    <xf numFmtId="0" fontId="7" fillId="40" borderId="0" xfId="0" applyFont="1" applyFill="1" applyBorder="1"/>
    <xf numFmtId="1" fontId="18" fillId="0" borderId="0" xfId="0" applyNumberFormat="1" applyFont="1" applyBorder="1"/>
    <xf numFmtId="1" fontId="18" fillId="38" borderId="0" xfId="0" applyNumberFormat="1" applyFont="1" applyFill="1" applyBorder="1"/>
    <xf numFmtId="0" fontId="11" fillId="2" borderId="0" xfId="1" applyFont="1" applyBorder="1" applyAlignment="1">
      <alignment horizontal="right"/>
    </xf>
    <xf numFmtId="0" fontId="3" fillId="5" borderId="0" xfId="0" applyFont="1" applyFill="1" applyBorder="1" applyAlignment="1"/>
    <xf numFmtId="0" fontId="7" fillId="39" borderId="0" xfId="0" applyFont="1" applyFill="1"/>
    <xf numFmtId="0" fontId="7" fillId="40" borderId="0" xfId="0" applyFont="1" applyFill="1"/>
  </cellXfs>
  <cellStyles count="123">
    <cellStyle name="Bad" xfId="1" builtinId="27"/>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Hyperlink" xfId="2"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71</xdr:row>
      <xdr:rowOff>0</xdr:rowOff>
    </xdr:from>
    <xdr:to>
      <xdr:col>13</xdr:col>
      <xdr:colOff>666750</xdr:colOff>
      <xdr:row>138</xdr:row>
      <xdr:rowOff>0</xdr:rowOff>
    </xdr:to>
    <xdr:sp macro="" textlink="">
      <xdr:nvSpPr>
        <xdr:cNvPr id="2" name="AutoShape 3"/>
        <xdr:cNvSpPr>
          <a:spLocks noChangeArrowheads="1"/>
        </xdr:cNvSpPr>
      </xdr:nvSpPr>
      <xdr:spPr bwMode="auto">
        <a:xfrm>
          <a:off x="0" y="12801600"/>
          <a:ext cx="14878050" cy="11201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138</xdr:row>
      <xdr:rowOff>0</xdr:rowOff>
    </xdr:to>
    <xdr:sp macro="" textlink="">
      <xdr:nvSpPr>
        <xdr:cNvPr id="3" name="AutoShape 3"/>
        <xdr:cNvSpPr>
          <a:spLocks noChangeArrowheads="1"/>
        </xdr:cNvSpPr>
      </xdr:nvSpPr>
      <xdr:spPr bwMode="auto">
        <a:xfrm>
          <a:off x="0" y="12801600"/>
          <a:ext cx="14878050" cy="11201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138</xdr:row>
      <xdr:rowOff>0</xdr:rowOff>
    </xdr:to>
    <xdr:sp macro="" textlink="">
      <xdr:nvSpPr>
        <xdr:cNvPr id="4" name="AutoShape 3"/>
        <xdr:cNvSpPr>
          <a:spLocks noChangeArrowheads="1"/>
        </xdr:cNvSpPr>
      </xdr:nvSpPr>
      <xdr:spPr bwMode="auto">
        <a:xfrm>
          <a:off x="0" y="12801600"/>
          <a:ext cx="14878050" cy="11201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115</xdr:row>
      <xdr:rowOff>0</xdr:rowOff>
    </xdr:to>
    <xdr:sp macro="" textlink="">
      <xdr:nvSpPr>
        <xdr:cNvPr id="5" name="AutoShape 3"/>
        <xdr:cNvSpPr>
          <a:spLocks noChangeArrowheads="1"/>
        </xdr:cNvSpPr>
      </xdr:nvSpPr>
      <xdr:spPr bwMode="auto">
        <a:xfrm>
          <a:off x="0" y="12801600"/>
          <a:ext cx="14878050" cy="7112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115</xdr:row>
      <xdr:rowOff>0</xdr:rowOff>
    </xdr:to>
    <xdr:sp macro="" textlink="">
      <xdr:nvSpPr>
        <xdr:cNvPr id="6" name="AutoShape 3"/>
        <xdr:cNvSpPr>
          <a:spLocks noChangeArrowheads="1"/>
        </xdr:cNvSpPr>
      </xdr:nvSpPr>
      <xdr:spPr bwMode="auto">
        <a:xfrm>
          <a:off x="0" y="12801600"/>
          <a:ext cx="14878050" cy="7112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115</xdr:row>
      <xdr:rowOff>0</xdr:rowOff>
    </xdr:to>
    <xdr:sp macro="" textlink="">
      <xdr:nvSpPr>
        <xdr:cNvPr id="7" name="AutoShape 3"/>
        <xdr:cNvSpPr>
          <a:spLocks noChangeArrowheads="1"/>
        </xdr:cNvSpPr>
      </xdr:nvSpPr>
      <xdr:spPr bwMode="auto">
        <a:xfrm>
          <a:off x="0" y="12801600"/>
          <a:ext cx="14878050" cy="7112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115</xdr:row>
      <xdr:rowOff>104775</xdr:rowOff>
    </xdr:to>
    <xdr:sp macro="" textlink="">
      <xdr:nvSpPr>
        <xdr:cNvPr id="8" name="AutoShape 3"/>
        <xdr:cNvSpPr>
          <a:spLocks noChangeArrowheads="1"/>
        </xdr:cNvSpPr>
      </xdr:nvSpPr>
      <xdr:spPr bwMode="auto">
        <a:xfrm>
          <a:off x="0" y="12801600"/>
          <a:ext cx="14878050" cy="72167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115</xdr:row>
      <xdr:rowOff>104775</xdr:rowOff>
    </xdr:to>
    <xdr:sp macro="" textlink="">
      <xdr:nvSpPr>
        <xdr:cNvPr id="9" name="AutoShape 3"/>
        <xdr:cNvSpPr>
          <a:spLocks noChangeArrowheads="1"/>
        </xdr:cNvSpPr>
      </xdr:nvSpPr>
      <xdr:spPr bwMode="auto">
        <a:xfrm>
          <a:off x="0" y="12801600"/>
          <a:ext cx="14878050" cy="72167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138</xdr:row>
      <xdr:rowOff>0</xdr:rowOff>
    </xdr:to>
    <xdr:sp macro="" textlink="">
      <xdr:nvSpPr>
        <xdr:cNvPr id="10" name="AutoShape 3"/>
        <xdr:cNvSpPr>
          <a:spLocks noChangeArrowheads="1"/>
        </xdr:cNvSpPr>
      </xdr:nvSpPr>
      <xdr:spPr bwMode="auto">
        <a:xfrm>
          <a:off x="0" y="12801600"/>
          <a:ext cx="14878050" cy="11201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138</xdr:row>
      <xdr:rowOff>0</xdr:rowOff>
    </xdr:to>
    <xdr:sp macro="" textlink="">
      <xdr:nvSpPr>
        <xdr:cNvPr id="11" name="AutoShape 3"/>
        <xdr:cNvSpPr>
          <a:spLocks noChangeArrowheads="1"/>
        </xdr:cNvSpPr>
      </xdr:nvSpPr>
      <xdr:spPr bwMode="auto">
        <a:xfrm>
          <a:off x="0" y="12801600"/>
          <a:ext cx="14878050" cy="11201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138</xdr:row>
      <xdr:rowOff>0</xdr:rowOff>
    </xdr:to>
    <xdr:sp macro="" textlink="">
      <xdr:nvSpPr>
        <xdr:cNvPr id="12" name="AutoShape 3"/>
        <xdr:cNvSpPr>
          <a:spLocks noChangeArrowheads="1"/>
        </xdr:cNvSpPr>
      </xdr:nvSpPr>
      <xdr:spPr bwMode="auto">
        <a:xfrm>
          <a:off x="0" y="12801600"/>
          <a:ext cx="14878050" cy="11201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138</xdr:row>
      <xdr:rowOff>0</xdr:rowOff>
    </xdr:to>
    <xdr:sp macro="" textlink="">
      <xdr:nvSpPr>
        <xdr:cNvPr id="13" name="AutoShape 3"/>
        <xdr:cNvSpPr>
          <a:spLocks noChangeArrowheads="1"/>
        </xdr:cNvSpPr>
      </xdr:nvSpPr>
      <xdr:spPr bwMode="auto">
        <a:xfrm>
          <a:off x="0" y="12801600"/>
          <a:ext cx="14878050" cy="11201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138</xdr:row>
      <xdr:rowOff>0</xdr:rowOff>
    </xdr:to>
    <xdr:sp macro="" textlink="">
      <xdr:nvSpPr>
        <xdr:cNvPr id="14" name="AutoShape 3"/>
        <xdr:cNvSpPr>
          <a:spLocks noChangeArrowheads="1"/>
        </xdr:cNvSpPr>
      </xdr:nvSpPr>
      <xdr:spPr bwMode="auto">
        <a:xfrm>
          <a:off x="0" y="12801600"/>
          <a:ext cx="14878050" cy="11201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71</xdr:row>
      <xdr:rowOff>0</xdr:rowOff>
    </xdr:from>
    <xdr:to>
      <xdr:col>13</xdr:col>
      <xdr:colOff>666750</xdr:colOff>
      <xdr:row>120</xdr:row>
      <xdr:rowOff>104775</xdr:rowOff>
    </xdr:to>
    <xdr:sp macro="" textlink="">
      <xdr:nvSpPr>
        <xdr:cNvPr id="15" name="AutoShape 3"/>
        <xdr:cNvSpPr>
          <a:spLocks noChangeArrowheads="1"/>
        </xdr:cNvSpPr>
      </xdr:nvSpPr>
      <xdr:spPr bwMode="auto">
        <a:xfrm>
          <a:off x="0" y="12801600"/>
          <a:ext cx="14878050" cy="81057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128</xdr:row>
      <xdr:rowOff>104775</xdr:rowOff>
    </xdr:to>
    <xdr:sp macro="" textlink="">
      <xdr:nvSpPr>
        <xdr:cNvPr id="16" name="AutoShape 3"/>
        <xdr:cNvSpPr>
          <a:spLocks noChangeArrowheads="1"/>
        </xdr:cNvSpPr>
      </xdr:nvSpPr>
      <xdr:spPr bwMode="auto">
        <a:xfrm>
          <a:off x="1638300" y="12801600"/>
          <a:ext cx="14128750" cy="9528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137</xdr:row>
      <xdr:rowOff>104775</xdr:rowOff>
    </xdr:to>
    <xdr:sp macro="" textlink="">
      <xdr:nvSpPr>
        <xdr:cNvPr id="17" name="AutoShape 3"/>
        <xdr:cNvSpPr>
          <a:spLocks noChangeArrowheads="1"/>
        </xdr:cNvSpPr>
      </xdr:nvSpPr>
      <xdr:spPr bwMode="auto">
        <a:xfrm>
          <a:off x="1638300" y="12801600"/>
          <a:ext cx="14128750" cy="11128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137</xdr:row>
      <xdr:rowOff>104775</xdr:rowOff>
    </xdr:to>
    <xdr:sp macro="" textlink="">
      <xdr:nvSpPr>
        <xdr:cNvPr id="18" name="AutoShape 3"/>
        <xdr:cNvSpPr>
          <a:spLocks noChangeArrowheads="1"/>
        </xdr:cNvSpPr>
      </xdr:nvSpPr>
      <xdr:spPr bwMode="auto">
        <a:xfrm>
          <a:off x="1638300" y="12801600"/>
          <a:ext cx="14128750" cy="11128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102</xdr:row>
      <xdr:rowOff>0</xdr:rowOff>
    </xdr:to>
    <xdr:sp macro="" textlink="">
      <xdr:nvSpPr>
        <xdr:cNvPr id="19" name="AutoShape 3"/>
        <xdr:cNvSpPr>
          <a:spLocks noChangeArrowheads="1"/>
        </xdr:cNvSpPr>
      </xdr:nvSpPr>
      <xdr:spPr bwMode="auto">
        <a:xfrm>
          <a:off x="1638300" y="12801600"/>
          <a:ext cx="14128750" cy="4800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102</xdr:row>
      <xdr:rowOff>0</xdr:rowOff>
    </xdr:to>
    <xdr:sp macro="" textlink="">
      <xdr:nvSpPr>
        <xdr:cNvPr id="20" name="AutoShape 3"/>
        <xdr:cNvSpPr>
          <a:spLocks noChangeArrowheads="1"/>
        </xdr:cNvSpPr>
      </xdr:nvSpPr>
      <xdr:spPr bwMode="auto">
        <a:xfrm>
          <a:off x="1638300" y="12801600"/>
          <a:ext cx="14128750" cy="4800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102</xdr:row>
      <xdr:rowOff>0</xdr:rowOff>
    </xdr:to>
    <xdr:sp macro="" textlink="">
      <xdr:nvSpPr>
        <xdr:cNvPr id="21" name="AutoShape 3"/>
        <xdr:cNvSpPr>
          <a:spLocks noChangeArrowheads="1"/>
        </xdr:cNvSpPr>
      </xdr:nvSpPr>
      <xdr:spPr bwMode="auto">
        <a:xfrm>
          <a:off x="1638300" y="12801600"/>
          <a:ext cx="14128750" cy="4800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102</xdr:row>
      <xdr:rowOff>104775</xdr:rowOff>
    </xdr:to>
    <xdr:sp macro="" textlink="">
      <xdr:nvSpPr>
        <xdr:cNvPr id="22" name="AutoShape 3"/>
        <xdr:cNvSpPr>
          <a:spLocks noChangeArrowheads="1"/>
        </xdr:cNvSpPr>
      </xdr:nvSpPr>
      <xdr:spPr bwMode="auto">
        <a:xfrm>
          <a:off x="1638300" y="12801600"/>
          <a:ext cx="14128750" cy="4905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102</xdr:row>
      <xdr:rowOff>104775</xdr:rowOff>
    </xdr:to>
    <xdr:sp macro="" textlink="">
      <xdr:nvSpPr>
        <xdr:cNvPr id="23" name="AutoShape 3"/>
        <xdr:cNvSpPr>
          <a:spLocks noChangeArrowheads="1"/>
        </xdr:cNvSpPr>
      </xdr:nvSpPr>
      <xdr:spPr bwMode="auto">
        <a:xfrm>
          <a:off x="1638300" y="12801600"/>
          <a:ext cx="14128750" cy="4905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131</xdr:row>
      <xdr:rowOff>104775</xdr:rowOff>
    </xdr:to>
    <xdr:sp macro="" textlink="">
      <xdr:nvSpPr>
        <xdr:cNvPr id="24" name="AutoShape 3"/>
        <xdr:cNvSpPr>
          <a:spLocks noChangeArrowheads="1"/>
        </xdr:cNvSpPr>
      </xdr:nvSpPr>
      <xdr:spPr bwMode="auto">
        <a:xfrm>
          <a:off x="1638300" y="12801600"/>
          <a:ext cx="14128750" cy="10061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131</xdr:row>
      <xdr:rowOff>104775</xdr:rowOff>
    </xdr:to>
    <xdr:sp macro="" textlink="">
      <xdr:nvSpPr>
        <xdr:cNvPr id="25" name="AutoShape 3"/>
        <xdr:cNvSpPr>
          <a:spLocks noChangeArrowheads="1"/>
        </xdr:cNvSpPr>
      </xdr:nvSpPr>
      <xdr:spPr bwMode="auto">
        <a:xfrm>
          <a:off x="1638300" y="12801600"/>
          <a:ext cx="14128750" cy="10061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131</xdr:row>
      <xdr:rowOff>104775</xdr:rowOff>
    </xdr:to>
    <xdr:sp macro="" textlink="">
      <xdr:nvSpPr>
        <xdr:cNvPr id="26" name="AutoShape 3"/>
        <xdr:cNvSpPr>
          <a:spLocks noChangeArrowheads="1"/>
        </xdr:cNvSpPr>
      </xdr:nvSpPr>
      <xdr:spPr bwMode="auto">
        <a:xfrm>
          <a:off x="1638300" y="12801600"/>
          <a:ext cx="14128750" cy="10061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128</xdr:row>
      <xdr:rowOff>104775</xdr:rowOff>
    </xdr:to>
    <xdr:sp macro="" textlink="">
      <xdr:nvSpPr>
        <xdr:cNvPr id="27" name="AutoShape 3"/>
        <xdr:cNvSpPr>
          <a:spLocks noChangeArrowheads="1"/>
        </xdr:cNvSpPr>
      </xdr:nvSpPr>
      <xdr:spPr bwMode="auto">
        <a:xfrm>
          <a:off x="1638300" y="12801600"/>
          <a:ext cx="14128750" cy="9528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127</xdr:row>
      <xdr:rowOff>104775</xdr:rowOff>
    </xdr:to>
    <xdr:sp macro="" textlink="">
      <xdr:nvSpPr>
        <xdr:cNvPr id="28" name="AutoShape 3"/>
        <xdr:cNvSpPr>
          <a:spLocks noChangeArrowheads="1"/>
        </xdr:cNvSpPr>
      </xdr:nvSpPr>
      <xdr:spPr bwMode="auto">
        <a:xfrm>
          <a:off x="1638300" y="12801600"/>
          <a:ext cx="14128750" cy="9350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71</xdr:row>
      <xdr:rowOff>0</xdr:rowOff>
    </xdr:from>
    <xdr:to>
      <xdr:col>14</xdr:col>
      <xdr:colOff>666750</xdr:colOff>
      <xdr:row>108</xdr:row>
      <xdr:rowOff>104775</xdr:rowOff>
    </xdr:to>
    <xdr:sp macro="" textlink="">
      <xdr:nvSpPr>
        <xdr:cNvPr id="29" name="AutoShape 3"/>
        <xdr:cNvSpPr>
          <a:spLocks noChangeArrowheads="1"/>
        </xdr:cNvSpPr>
      </xdr:nvSpPr>
      <xdr:spPr bwMode="auto">
        <a:xfrm>
          <a:off x="1638300" y="12801600"/>
          <a:ext cx="14128750" cy="597217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jstor.org/stable/2408916" TargetMode="External"/><Relationship Id="rId4" Type="http://schemas.openxmlformats.org/officeDocument/2006/relationships/hyperlink" Target="http://cdiac.ornl.gov/oceans/ndp_085/" TargetMode="External"/><Relationship Id="rId5" Type="http://schemas.openxmlformats.org/officeDocument/2006/relationships/hyperlink" Target="http://dx.doi.org/10.1890/080192" TargetMode="External"/><Relationship Id="rId6" Type="http://schemas.openxmlformats.org/officeDocument/2006/relationships/hyperlink" Target="http://dx.doi.org/10.1525/auk.2009.09140" TargetMode="External"/><Relationship Id="rId7" Type="http://schemas.openxmlformats.org/officeDocument/2006/relationships/drawing" Target="../drawings/drawing1.xml"/><Relationship Id="rId8" Type="http://schemas.openxmlformats.org/officeDocument/2006/relationships/vmlDrawing" Target="../drawings/vmlDrawing1.vml"/><Relationship Id="rId9" Type="http://schemas.openxmlformats.org/officeDocument/2006/relationships/comments" Target="../comments1.xml"/><Relationship Id="rId1" Type="http://schemas.openxmlformats.org/officeDocument/2006/relationships/hyperlink" Target="http://www.bioone.org/doi/pdf/10.2108/zsj.19.703" TargetMode="External"/><Relationship Id="rId2" Type="http://schemas.openxmlformats.org/officeDocument/2006/relationships/hyperlink" Target="http://www.jstor.org/stable/240891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51"/>
  <sheetViews>
    <sheetView workbookViewId="0">
      <pane xSplit="2" ySplit="1" topLeftCell="E185" activePane="bottomRight" state="frozenSplit"/>
      <selection activeCell="Q1" sqref="Q1"/>
      <selection pane="topRight" activeCell="C1" sqref="C1"/>
      <selection pane="bottomLeft" activeCell="A246" sqref="A246:W351"/>
      <selection pane="bottomRight" activeCell="J178" sqref="J178"/>
    </sheetView>
  </sheetViews>
  <sheetFormatPr baseColWidth="10" defaultRowHeight="12" x14ac:dyDescent="0"/>
  <cols>
    <col min="1" max="1" width="8" style="36" customWidth="1"/>
    <col min="2" max="2" width="7.83203125" style="36" customWidth="1"/>
    <col min="3" max="3" width="17.5" style="36" customWidth="1"/>
    <col min="4" max="4" width="33" style="36" customWidth="1"/>
    <col min="5" max="5" width="11" style="36" bestFit="1" customWidth="1"/>
    <col min="6" max="6" width="10.83203125" style="36"/>
    <col min="7" max="7" width="20.1640625" style="36" customWidth="1"/>
    <col min="8" max="8" width="16.5" style="36" customWidth="1"/>
    <col min="9" max="9" width="12.1640625" style="36" bestFit="1" customWidth="1"/>
    <col min="10" max="10" width="12" style="36" customWidth="1"/>
    <col min="11" max="11" width="13.33203125" style="36" customWidth="1"/>
    <col min="12" max="12" width="13.1640625" style="36" bestFit="1" customWidth="1"/>
    <col min="13" max="13" width="12.5" style="36" bestFit="1" customWidth="1"/>
    <col min="14" max="14" width="11" style="36" bestFit="1" customWidth="1"/>
    <col min="15" max="15" width="12.33203125" style="36" bestFit="1" customWidth="1"/>
    <col min="16" max="16" width="12.5" style="36" bestFit="1" customWidth="1"/>
    <col min="17" max="20" width="11" style="36" bestFit="1" customWidth="1"/>
    <col min="21" max="21" width="10.83203125" style="36"/>
    <col min="22" max="22" width="21.1640625" style="36" customWidth="1"/>
    <col min="23" max="23" width="11" style="36" bestFit="1" customWidth="1"/>
    <col min="24" max="16384" width="10.83203125" style="36"/>
  </cols>
  <sheetData>
    <row r="1" spans="1:23">
      <c r="A1" s="30" t="s">
        <v>268</v>
      </c>
      <c r="B1" s="30" t="s">
        <v>269</v>
      </c>
      <c r="C1" s="30" t="s">
        <v>270</v>
      </c>
      <c r="D1" s="30" t="s">
        <v>271</v>
      </c>
      <c r="E1" s="30" t="s">
        <v>272</v>
      </c>
      <c r="F1" s="30" t="s">
        <v>273</v>
      </c>
      <c r="G1" s="30" t="s">
        <v>274</v>
      </c>
      <c r="H1" s="30" t="s">
        <v>275</v>
      </c>
      <c r="I1" s="31" t="s">
        <v>276</v>
      </c>
      <c r="J1" s="30" t="s">
        <v>277</v>
      </c>
      <c r="K1" s="30" t="s">
        <v>896</v>
      </c>
      <c r="L1" s="30" t="s">
        <v>895</v>
      </c>
      <c r="M1" s="30" t="s">
        <v>897</v>
      </c>
      <c r="N1" s="30" t="s">
        <v>280</v>
      </c>
      <c r="O1" s="30" t="s">
        <v>898</v>
      </c>
      <c r="P1" s="30" t="s">
        <v>899</v>
      </c>
      <c r="Q1" s="30" t="s">
        <v>281</v>
      </c>
      <c r="R1" s="30" t="s">
        <v>282</v>
      </c>
      <c r="S1" s="30" t="s">
        <v>283</v>
      </c>
      <c r="T1" s="30" t="s">
        <v>284</v>
      </c>
      <c r="U1" s="30" t="s">
        <v>285</v>
      </c>
      <c r="V1" s="30" t="s">
        <v>286</v>
      </c>
      <c r="W1" s="30" t="s">
        <v>287</v>
      </c>
    </row>
    <row r="2" spans="1:23">
      <c r="A2" s="32" t="s">
        <v>288</v>
      </c>
      <c r="B2" s="32" t="s">
        <v>288</v>
      </c>
      <c r="C2" s="33" t="s">
        <v>27</v>
      </c>
      <c r="D2" s="34" t="s">
        <v>289</v>
      </c>
      <c r="E2" s="34">
        <v>2013</v>
      </c>
      <c r="F2" s="33" t="s">
        <v>290</v>
      </c>
      <c r="G2" s="33" t="s">
        <v>291</v>
      </c>
      <c r="H2" s="33" t="s">
        <v>292</v>
      </c>
      <c r="I2" s="34">
        <f>0.6^2</f>
        <v>0.36</v>
      </c>
      <c r="J2" s="34">
        <f>4*6+4</f>
        <v>28</v>
      </c>
      <c r="K2" s="34">
        <v>4516</v>
      </c>
      <c r="L2" s="35">
        <f t="shared" ref="L2:L22" si="0">(I2*J2)/10000</f>
        <v>1.008E-3</v>
      </c>
      <c r="M2" s="34">
        <f>20/(60*24)</f>
        <v>1.3888888888888888E-2</v>
      </c>
      <c r="N2" s="34">
        <f>(14+21)/2</f>
        <v>17.5</v>
      </c>
      <c r="O2" s="36">
        <f>(152/N2)*M2*3</f>
        <v>0.36190476190476184</v>
      </c>
      <c r="P2" s="34">
        <f>365*3</f>
        <v>1095</v>
      </c>
      <c r="Q2" s="33">
        <v>0</v>
      </c>
      <c r="R2" s="34">
        <v>0</v>
      </c>
      <c r="S2" s="34">
        <v>2</v>
      </c>
      <c r="T2" s="34">
        <v>0</v>
      </c>
      <c r="U2" s="34"/>
      <c r="V2" s="34" t="s">
        <v>278</v>
      </c>
      <c r="W2" s="33" t="s">
        <v>293</v>
      </c>
    </row>
    <row r="3" spans="1:23">
      <c r="A3" s="32" t="s">
        <v>288</v>
      </c>
      <c r="B3" s="32" t="s">
        <v>288</v>
      </c>
      <c r="C3" s="33" t="s">
        <v>27</v>
      </c>
      <c r="D3" s="34" t="s">
        <v>289</v>
      </c>
      <c r="E3" s="34">
        <v>2013</v>
      </c>
      <c r="F3" s="33" t="s">
        <v>290</v>
      </c>
      <c r="G3" s="33" t="s">
        <v>291</v>
      </c>
      <c r="H3" s="33" t="s">
        <v>292</v>
      </c>
      <c r="I3" s="34">
        <f>PI()*0.05^2</f>
        <v>7.8539816339744835E-3</v>
      </c>
      <c r="J3" s="34">
        <f>4*6+4</f>
        <v>28</v>
      </c>
      <c r="K3" s="34">
        <v>4516</v>
      </c>
      <c r="L3" s="35">
        <f t="shared" si="0"/>
        <v>2.1991148575128556E-5</v>
      </c>
      <c r="M3" s="34">
        <f>20/(60*24)</f>
        <v>1.3888888888888888E-2</v>
      </c>
      <c r="N3" s="34">
        <f>(14+21)/2</f>
        <v>17.5</v>
      </c>
      <c r="O3" s="36">
        <f>(152/N3)*M3*3</f>
        <v>0.36190476190476184</v>
      </c>
      <c r="P3" s="34">
        <f>365*3</f>
        <v>1095</v>
      </c>
      <c r="Q3" s="33">
        <v>0</v>
      </c>
      <c r="R3" s="34">
        <v>0</v>
      </c>
      <c r="S3" s="34">
        <v>1</v>
      </c>
      <c r="T3" s="34">
        <v>0</v>
      </c>
      <c r="U3" s="34"/>
      <c r="V3" s="33" t="s">
        <v>294</v>
      </c>
      <c r="W3" s="33" t="s">
        <v>295</v>
      </c>
    </row>
    <row r="4" spans="1:23">
      <c r="A4" s="32" t="s">
        <v>288</v>
      </c>
      <c r="B4" s="32" t="s">
        <v>288</v>
      </c>
      <c r="C4" s="33" t="s">
        <v>27</v>
      </c>
      <c r="D4" s="34" t="s">
        <v>289</v>
      </c>
      <c r="E4" s="34">
        <v>2013</v>
      </c>
      <c r="F4" s="33" t="s">
        <v>290</v>
      </c>
      <c r="G4" s="33" t="s">
        <v>291</v>
      </c>
      <c r="H4" s="33" t="s">
        <v>292</v>
      </c>
      <c r="I4" s="34">
        <f>PI()*0.005^2</f>
        <v>7.8539816339744827E-5</v>
      </c>
      <c r="J4" s="34">
        <f>4*6+4</f>
        <v>28</v>
      </c>
      <c r="K4" s="34">
        <v>4516</v>
      </c>
      <c r="L4" s="35">
        <f t="shared" si="0"/>
        <v>2.1991148575128554E-7</v>
      </c>
      <c r="M4" s="34">
        <f>20/(60*24)</f>
        <v>1.3888888888888888E-2</v>
      </c>
      <c r="N4" s="34">
        <f>(14+21)/2</f>
        <v>17.5</v>
      </c>
      <c r="O4" s="36">
        <f>(152/N4)*M4*3</f>
        <v>0.36190476190476184</v>
      </c>
      <c r="P4" s="34">
        <f>365*3</f>
        <v>1095</v>
      </c>
      <c r="Q4" s="33">
        <v>0</v>
      </c>
      <c r="R4" s="34">
        <v>0</v>
      </c>
      <c r="S4" s="34">
        <v>1</v>
      </c>
      <c r="T4" s="34">
        <v>0</v>
      </c>
      <c r="U4" s="34"/>
      <c r="V4" s="33" t="s">
        <v>294</v>
      </c>
      <c r="W4" s="33" t="s">
        <v>296</v>
      </c>
    </row>
    <row r="5" spans="1:23">
      <c r="A5" s="32" t="s">
        <v>288</v>
      </c>
      <c r="B5" s="32" t="s">
        <v>288</v>
      </c>
      <c r="C5" s="33" t="s">
        <v>27</v>
      </c>
      <c r="D5" s="34" t="s">
        <v>289</v>
      </c>
      <c r="E5" s="34">
        <v>2013</v>
      </c>
      <c r="F5" s="33" t="s">
        <v>290</v>
      </c>
      <c r="G5" s="33" t="s">
        <v>291</v>
      </c>
      <c r="H5" s="33" t="s">
        <v>292</v>
      </c>
      <c r="I5" s="34">
        <f>I4</f>
        <v>7.8539816339744827E-5</v>
      </c>
      <c r="J5" s="34">
        <f>2*3</f>
        <v>6</v>
      </c>
      <c r="K5" s="34">
        <v>81</v>
      </c>
      <c r="L5" s="35">
        <f t="shared" si="0"/>
        <v>4.71238898038469E-8</v>
      </c>
      <c r="M5" s="34">
        <f>(1/60)/(60*24)</f>
        <v>1.1574074074074073E-5</v>
      </c>
      <c r="N5" s="34">
        <f>30/(60*24)</f>
        <v>2.0833333333333332E-2</v>
      </c>
      <c r="O5" s="36">
        <f>(152/N5)*M5*3</f>
        <v>0.25333333333333335</v>
      </c>
      <c r="P5" s="34">
        <f>365*3</f>
        <v>1095</v>
      </c>
      <c r="Q5" s="34">
        <v>0</v>
      </c>
      <c r="R5" s="34">
        <v>0</v>
      </c>
      <c r="S5" s="34">
        <v>0</v>
      </c>
      <c r="T5" s="34">
        <v>0</v>
      </c>
      <c r="U5" s="34"/>
      <c r="V5" s="33" t="s">
        <v>297</v>
      </c>
      <c r="W5" s="33" t="s">
        <v>298</v>
      </c>
    </row>
    <row r="6" spans="1:23">
      <c r="A6" s="32" t="s">
        <v>288</v>
      </c>
      <c r="B6" s="32" t="s">
        <v>288</v>
      </c>
      <c r="C6" s="33" t="s">
        <v>27</v>
      </c>
      <c r="D6" s="34" t="s">
        <v>289</v>
      </c>
      <c r="E6" s="34">
        <v>2013</v>
      </c>
      <c r="F6" s="33" t="s">
        <v>290</v>
      </c>
      <c r="G6" s="33" t="s">
        <v>291</v>
      </c>
      <c r="H6" s="33" t="s">
        <v>292</v>
      </c>
      <c r="I6" s="34">
        <f>PI()*0.05^2</f>
        <v>7.8539816339744835E-3</v>
      </c>
      <c r="J6" s="34">
        <f>(5*8*5)+4*5</f>
        <v>220</v>
      </c>
      <c r="K6" s="34">
        <v>4516</v>
      </c>
      <c r="L6" s="35">
        <f t="shared" si="0"/>
        <v>1.7278759594743865E-4</v>
      </c>
      <c r="M6" s="34">
        <f>4*7</f>
        <v>28</v>
      </c>
      <c r="N6" s="37">
        <f>AVERAGE(DATE(2010, 10, 1)-DATE(2010, 6, 1), DATE(2011, 6, 1)-DATE(2010, 10, 1))</f>
        <v>182.5</v>
      </c>
      <c r="O6" s="36">
        <f>M6*3</f>
        <v>84</v>
      </c>
      <c r="P6" s="34">
        <f>365*3</f>
        <v>1095</v>
      </c>
      <c r="Q6" s="34">
        <v>3</v>
      </c>
      <c r="R6" s="34">
        <v>0</v>
      </c>
      <c r="S6" s="34">
        <v>1</v>
      </c>
      <c r="T6" s="34">
        <v>2</v>
      </c>
      <c r="U6" s="34"/>
      <c r="V6" s="33" t="s">
        <v>299</v>
      </c>
      <c r="W6" s="33" t="s">
        <v>300</v>
      </c>
    </row>
    <row r="7" spans="1:23">
      <c r="A7" s="32" t="s">
        <v>288</v>
      </c>
      <c r="B7" s="32" t="s">
        <v>288</v>
      </c>
      <c r="C7" s="33" t="s">
        <v>301</v>
      </c>
      <c r="D7" s="34" t="s">
        <v>302</v>
      </c>
      <c r="E7" s="34">
        <v>2014</v>
      </c>
      <c r="F7" s="38" t="s">
        <v>303</v>
      </c>
      <c r="G7" s="33" t="s">
        <v>304</v>
      </c>
      <c r="H7" s="33" t="s">
        <v>305</v>
      </c>
      <c r="I7" s="34">
        <f>PI()*0.03^2</f>
        <v>2.8274333882308137E-3</v>
      </c>
      <c r="J7" s="39">
        <v>36</v>
      </c>
      <c r="K7" s="39">
        <v>200</v>
      </c>
      <c r="L7" s="35">
        <f t="shared" si="0"/>
        <v>1.0178760197630929E-5</v>
      </c>
      <c r="M7" s="40">
        <v>5.7870400000000001E-5</v>
      </c>
      <c r="N7" s="33">
        <v>6.9444400000000001E-4</v>
      </c>
      <c r="O7" s="39">
        <f>130*M7</f>
        <v>7.523152E-3</v>
      </c>
      <c r="P7" s="34">
        <f>DATE(2008, 7, 14)-DATE(2007, 6, 2)</f>
        <v>408</v>
      </c>
      <c r="Q7" s="34">
        <v>2</v>
      </c>
      <c r="R7" s="34">
        <v>0</v>
      </c>
      <c r="S7" s="34">
        <v>2</v>
      </c>
      <c r="T7" s="34">
        <v>1</v>
      </c>
      <c r="U7" s="34"/>
      <c r="V7" s="33" t="s">
        <v>306</v>
      </c>
      <c r="W7" s="33" t="s">
        <v>307</v>
      </c>
    </row>
    <row r="8" spans="1:23">
      <c r="A8" s="32" t="s">
        <v>288</v>
      </c>
      <c r="B8" s="32" t="s">
        <v>288</v>
      </c>
      <c r="C8" s="33" t="s">
        <v>301</v>
      </c>
      <c r="D8" s="34" t="s">
        <v>302</v>
      </c>
      <c r="E8" s="34">
        <v>2014</v>
      </c>
      <c r="F8" s="41" t="s">
        <v>290</v>
      </c>
      <c r="G8" s="33" t="s">
        <v>304</v>
      </c>
      <c r="H8" s="33" t="s">
        <v>305</v>
      </c>
      <c r="I8" s="34">
        <f>PI()*0.03^2</f>
        <v>2.8274333882308137E-3</v>
      </c>
      <c r="J8" s="34">
        <v>108</v>
      </c>
      <c r="K8" s="34">
        <v>200</v>
      </c>
      <c r="L8" s="35">
        <f t="shared" si="0"/>
        <v>3.0536280592892786E-5</v>
      </c>
      <c r="M8" s="34">
        <f>60/(60*60*24)</f>
        <v>6.9444444444444447E-4</v>
      </c>
      <c r="N8" s="34">
        <v>0</v>
      </c>
      <c r="O8" s="42">
        <f>M8</f>
        <v>6.9444444444444447E-4</v>
      </c>
      <c r="P8" s="34">
        <v>1</v>
      </c>
      <c r="Q8" s="34">
        <v>0</v>
      </c>
      <c r="R8" s="34">
        <v>0</v>
      </c>
      <c r="S8" s="34">
        <v>1</v>
      </c>
      <c r="T8" s="34">
        <v>1</v>
      </c>
      <c r="U8" s="34"/>
      <c r="V8" s="33" t="s">
        <v>308</v>
      </c>
      <c r="W8" s="33" t="s">
        <v>309</v>
      </c>
    </row>
    <row r="9" spans="1:23">
      <c r="A9" s="32" t="s">
        <v>288</v>
      </c>
      <c r="B9" s="32" t="s">
        <v>288</v>
      </c>
      <c r="C9" s="33" t="s">
        <v>2</v>
      </c>
      <c r="D9" s="33" t="s">
        <v>310</v>
      </c>
      <c r="E9" s="34">
        <v>2005</v>
      </c>
      <c r="F9" s="33" t="s">
        <v>290</v>
      </c>
      <c r="G9" s="33" t="s">
        <v>311</v>
      </c>
      <c r="H9" s="33" t="s">
        <v>312</v>
      </c>
      <c r="I9" s="34">
        <f>2*0.2</f>
        <v>0.4</v>
      </c>
      <c r="J9" s="34">
        <v>329</v>
      </c>
      <c r="K9" s="34">
        <v>3708</v>
      </c>
      <c r="L9" s="35">
        <f t="shared" si="0"/>
        <v>1.316E-2</v>
      </c>
      <c r="M9" s="34">
        <f>12/24</f>
        <v>0.5</v>
      </c>
      <c r="N9" s="34">
        <v>0</v>
      </c>
      <c r="O9" s="34">
        <f>12/24</f>
        <v>0.5</v>
      </c>
      <c r="P9" s="267">
        <f>O9</f>
        <v>0.5</v>
      </c>
      <c r="Q9" s="34">
        <v>0</v>
      </c>
      <c r="R9" s="34">
        <v>0</v>
      </c>
      <c r="S9" s="34">
        <v>2</v>
      </c>
      <c r="T9" s="34">
        <v>0</v>
      </c>
      <c r="U9" s="34"/>
      <c r="V9" s="33" t="s">
        <v>313</v>
      </c>
      <c r="W9" s="33" t="s">
        <v>314</v>
      </c>
    </row>
    <row r="10" spans="1:23">
      <c r="A10" s="32" t="s">
        <v>288</v>
      </c>
      <c r="B10" s="32" t="s">
        <v>288</v>
      </c>
      <c r="C10" s="33" t="s">
        <v>2</v>
      </c>
      <c r="D10" s="33" t="s">
        <v>310</v>
      </c>
      <c r="E10" s="34">
        <v>2005</v>
      </c>
      <c r="F10" s="33" t="s">
        <v>290</v>
      </c>
      <c r="G10" s="33" t="s">
        <v>311</v>
      </c>
      <c r="H10" s="33" t="s">
        <v>312</v>
      </c>
      <c r="I10" s="34">
        <f>2*0.2</f>
        <v>0.4</v>
      </c>
      <c r="J10" s="34">
        <v>36</v>
      </c>
      <c r="K10" s="34">
        <v>3708</v>
      </c>
      <c r="L10" s="35">
        <f t="shared" si="0"/>
        <v>1.4400000000000001E-3</v>
      </c>
      <c r="M10" s="34">
        <f>12/24</f>
        <v>0.5</v>
      </c>
      <c r="N10" s="34">
        <v>365</v>
      </c>
      <c r="O10" s="34">
        <f>12/24*2</f>
        <v>1</v>
      </c>
      <c r="P10" s="34">
        <f>365*2</f>
        <v>730</v>
      </c>
      <c r="Q10" s="34">
        <v>0</v>
      </c>
      <c r="R10" s="34">
        <v>0</v>
      </c>
      <c r="S10" s="34">
        <v>2</v>
      </c>
      <c r="T10" s="34">
        <v>0</v>
      </c>
      <c r="U10" s="34"/>
      <c r="V10" s="33" t="s">
        <v>313</v>
      </c>
      <c r="W10" s="33" t="s">
        <v>315</v>
      </c>
    </row>
    <row r="11" spans="1:23">
      <c r="A11" s="32" t="s">
        <v>288</v>
      </c>
      <c r="B11" s="32" t="s">
        <v>288</v>
      </c>
      <c r="C11" s="33" t="s">
        <v>2</v>
      </c>
      <c r="D11" s="33" t="s">
        <v>310</v>
      </c>
      <c r="E11" s="34">
        <v>2005</v>
      </c>
      <c r="F11" s="33" t="s">
        <v>290</v>
      </c>
      <c r="G11" s="33" t="s">
        <v>311</v>
      </c>
      <c r="H11" s="33" t="s">
        <v>312</v>
      </c>
      <c r="I11" s="34">
        <f>2*0.2</f>
        <v>0.4</v>
      </c>
      <c r="J11" s="34">
        <v>15</v>
      </c>
      <c r="K11" s="34">
        <v>3708</v>
      </c>
      <c r="L11" s="35">
        <f t="shared" si="0"/>
        <v>5.9999999999999995E-4</v>
      </c>
      <c r="M11" s="34">
        <f>12/24</f>
        <v>0.5</v>
      </c>
      <c r="N11" s="34">
        <v>15</v>
      </c>
      <c r="O11" s="34">
        <f>12/24*2</f>
        <v>1</v>
      </c>
      <c r="P11" s="267">
        <f>N11</f>
        <v>15</v>
      </c>
      <c r="Q11" s="34">
        <v>0</v>
      </c>
      <c r="R11" s="34">
        <v>0</v>
      </c>
      <c r="S11" s="34">
        <v>2</v>
      </c>
      <c r="T11" s="34">
        <v>0</v>
      </c>
      <c r="U11" s="34"/>
      <c r="V11" s="33" t="s">
        <v>313</v>
      </c>
      <c r="W11" s="33" t="s">
        <v>316</v>
      </c>
    </row>
    <row r="12" spans="1:23">
      <c r="A12" s="32" t="s">
        <v>288</v>
      </c>
      <c r="B12" s="32" t="s">
        <v>288</v>
      </c>
      <c r="C12" s="33" t="s">
        <v>317</v>
      </c>
      <c r="D12" s="34" t="s">
        <v>318</v>
      </c>
      <c r="E12" s="34">
        <v>2008</v>
      </c>
      <c r="F12" s="33" t="s">
        <v>290</v>
      </c>
      <c r="G12" s="33" t="s">
        <v>120</v>
      </c>
      <c r="H12" s="33" t="s">
        <v>319</v>
      </c>
      <c r="I12" s="34">
        <f>0.5*0.2</f>
        <v>0.1</v>
      </c>
      <c r="J12" s="34">
        <v>1269</v>
      </c>
      <c r="K12" s="34">
        <f>131*100</f>
        <v>13100</v>
      </c>
      <c r="L12" s="35">
        <f t="shared" si="0"/>
        <v>1.269E-2</v>
      </c>
      <c r="M12" s="34">
        <v>1</v>
      </c>
      <c r="N12" s="34">
        <v>0</v>
      </c>
      <c r="O12" s="34">
        <f>M12</f>
        <v>1</v>
      </c>
      <c r="P12" s="267">
        <f>O12</f>
        <v>1</v>
      </c>
      <c r="Q12" s="34">
        <v>2</v>
      </c>
      <c r="R12" s="34">
        <v>0</v>
      </c>
      <c r="S12" s="34">
        <v>1</v>
      </c>
      <c r="T12" s="34">
        <v>2</v>
      </c>
      <c r="U12" s="34"/>
      <c r="V12" s="33" t="s">
        <v>320</v>
      </c>
      <c r="W12" s="33" t="s">
        <v>321</v>
      </c>
    </row>
    <row r="13" spans="1:23">
      <c r="A13" s="32" t="s">
        <v>288</v>
      </c>
      <c r="B13" s="32" t="s">
        <v>288</v>
      </c>
      <c r="C13" s="33" t="s">
        <v>322</v>
      </c>
      <c r="D13" s="34" t="s">
        <v>323</v>
      </c>
      <c r="E13" s="34">
        <v>2008</v>
      </c>
      <c r="F13" s="33" t="s">
        <v>290</v>
      </c>
      <c r="G13" s="33" t="s">
        <v>324</v>
      </c>
      <c r="H13" s="33" t="s">
        <v>325</v>
      </c>
      <c r="I13" s="34">
        <f>PI()*0.25^2</f>
        <v>0.19634954084936207</v>
      </c>
      <c r="J13" s="34">
        <v>1</v>
      </c>
      <c r="K13" s="35">
        <f>L13</f>
        <v>1.9634954084936207E-5</v>
      </c>
      <c r="L13" s="35">
        <f t="shared" si="0"/>
        <v>1.9634954084936207E-5</v>
      </c>
      <c r="M13" s="267">
        <v>30</v>
      </c>
      <c r="N13" s="267">
        <v>30</v>
      </c>
      <c r="O13" s="33">
        <v>4015</v>
      </c>
      <c r="P13" s="34">
        <f>11*365</f>
        <v>4015</v>
      </c>
      <c r="Q13" s="34">
        <v>0</v>
      </c>
      <c r="R13" s="34">
        <v>0</v>
      </c>
      <c r="S13" s="34">
        <v>2</v>
      </c>
      <c r="T13" s="34">
        <v>0</v>
      </c>
      <c r="U13" s="36" t="s">
        <v>326</v>
      </c>
      <c r="V13" s="33" t="s">
        <v>327</v>
      </c>
      <c r="W13" s="33" t="s">
        <v>328</v>
      </c>
    </row>
    <row r="14" spans="1:23">
      <c r="A14" s="32" t="s">
        <v>288</v>
      </c>
      <c r="B14" s="32" t="s">
        <v>288</v>
      </c>
      <c r="C14" s="33" t="s">
        <v>322</v>
      </c>
      <c r="D14" s="34" t="s">
        <v>323</v>
      </c>
      <c r="E14" s="34">
        <v>2008</v>
      </c>
      <c r="F14" s="33" t="s">
        <v>290</v>
      </c>
      <c r="G14" s="33" t="s">
        <v>324</v>
      </c>
      <c r="H14" s="33" t="s">
        <v>325</v>
      </c>
      <c r="I14" s="43">
        <v>512000000</v>
      </c>
      <c r="J14" s="34">
        <v>1</v>
      </c>
      <c r="K14" s="44">
        <f>L14</f>
        <v>51200</v>
      </c>
      <c r="L14" s="44">
        <f t="shared" si="0"/>
        <v>51200</v>
      </c>
      <c r="M14" s="34">
        <f>1/(3600*24)</f>
        <v>1.1574074074074073E-5</v>
      </c>
      <c r="N14" s="34">
        <f>(15/60)/24</f>
        <v>1.0416666666666666E-2</v>
      </c>
      <c r="O14" s="34">
        <f>((24*4)*365*11) / (24*3600)</f>
        <v>4.4611111111111112</v>
      </c>
      <c r="P14" s="34">
        <f>11*365</f>
        <v>4015</v>
      </c>
      <c r="Q14" s="34">
        <v>0</v>
      </c>
      <c r="R14" s="34">
        <v>0</v>
      </c>
      <c r="S14" s="34">
        <v>1</v>
      </c>
      <c r="T14" s="34">
        <v>0</v>
      </c>
      <c r="U14" s="34"/>
      <c r="V14" s="33" t="s">
        <v>329</v>
      </c>
      <c r="W14" s="33" t="s">
        <v>330</v>
      </c>
    </row>
    <row r="15" spans="1:23">
      <c r="A15" s="32" t="s">
        <v>288</v>
      </c>
      <c r="B15" s="32" t="s">
        <v>288</v>
      </c>
      <c r="C15" s="33" t="s">
        <v>322</v>
      </c>
      <c r="D15" s="34" t="s">
        <v>323</v>
      </c>
      <c r="E15" s="34">
        <v>2008</v>
      </c>
      <c r="F15" s="33" t="s">
        <v>290</v>
      </c>
      <c r="G15" s="33" t="s">
        <v>324</v>
      </c>
      <c r="H15" s="33" t="s">
        <v>325</v>
      </c>
      <c r="I15" s="34">
        <f>PI()*0.025^2</f>
        <v>1.9634954084936209E-3</v>
      </c>
      <c r="J15" s="34">
        <v>1</v>
      </c>
      <c r="K15" s="34">
        <v>51200</v>
      </c>
      <c r="L15" s="45">
        <f t="shared" si="0"/>
        <v>1.9634954084936208E-7</v>
      </c>
      <c r="M15" s="34">
        <f>1/(3600*24)</f>
        <v>1.1574074074074073E-5</v>
      </c>
      <c r="N15" s="34">
        <v>1</v>
      </c>
      <c r="O15" s="34">
        <f>(365*11) / (24*3600)</f>
        <v>4.6469907407407404E-2</v>
      </c>
      <c r="P15" s="34">
        <f>11*365</f>
        <v>4015</v>
      </c>
      <c r="Q15" s="34">
        <v>0</v>
      </c>
      <c r="R15" s="34">
        <v>0</v>
      </c>
      <c r="S15" s="34">
        <v>2</v>
      </c>
      <c r="T15" s="34">
        <v>0</v>
      </c>
      <c r="U15" s="34"/>
      <c r="V15" s="33" t="s">
        <v>331</v>
      </c>
      <c r="W15" s="33" t="s">
        <v>332</v>
      </c>
    </row>
    <row r="16" spans="1:23">
      <c r="A16" s="32" t="s">
        <v>288</v>
      </c>
      <c r="B16" s="32" t="s">
        <v>288</v>
      </c>
      <c r="C16" s="36" t="s">
        <v>333</v>
      </c>
      <c r="D16" s="36" t="s">
        <v>334</v>
      </c>
      <c r="E16" s="36">
        <v>2009</v>
      </c>
      <c r="F16" s="36" t="s">
        <v>290</v>
      </c>
      <c r="G16" s="36" t="s">
        <v>335</v>
      </c>
      <c r="H16" s="36" t="s">
        <v>336</v>
      </c>
      <c r="I16" s="36">
        <f>0.2^2</f>
        <v>4.0000000000000008E-2</v>
      </c>
      <c r="J16" s="36">
        <f>28</f>
        <v>28</v>
      </c>
      <c r="K16" s="36">
        <v>13867</v>
      </c>
      <c r="L16" s="45">
        <f t="shared" si="0"/>
        <v>1.1200000000000001E-4</v>
      </c>
      <c r="M16" s="36">
        <f>1/(60*24)</f>
        <v>6.9444444444444447E-4</v>
      </c>
      <c r="N16" s="36">
        <v>0</v>
      </c>
      <c r="O16" s="36">
        <f>1/(60*24)</f>
        <v>6.9444444444444447E-4</v>
      </c>
      <c r="P16" s="268">
        <f>O16</f>
        <v>6.9444444444444447E-4</v>
      </c>
      <c r="Q16" s="36">
        <v>1</v>
      </c>
      <c r="R16" s="36">
        <v>1</v>
      </c>
      <c r="S16" s="36">
        <v>1</v>
      </c>
      <c r="T16" s="36">
        <v>1</v>
      </c>
      <c r="V16" s="36" t="s">
        <v>337</v>
      </c>
      <c r="W16" s="36" t="s">
        <v>338</v>
      </c>
    </row>
    <row r="17" spans="1:23">
      <c r="A17" s="32" t="s">
        <v>288</v>
      </c>
      <c r="B17" s="32" t="s">
        <v>288</v>
      </c>
      <c r="C17" s="36" t="s">
        <v>333</v>
      </c>
      <c r="D17" s="36" t="s">
        <v>334</v>
      </c>
      <c r="E17" s="36">
        <v>2009</v>
      </c>
      <c r="F17" s="36" t="s">
        <v>290</v>
      </c>
      <c r="G17" s="36" t="s">
        <v>335</v>
      </c>
      <c r="H17" s="36" t="s">
        <v>336</v>
      </c>
      <c r="I17" s="36">
        <f>10*1</f>
        <v>10</v>
      </c>
      <c r="J17" s="36">
        <v>36</v>
      </c>
      <c r="K17" s="36">
        <v>13867</v>
      </c>
      <c r="L17" s="45">
        <f t="shared" si="0"/>
        <v>3.5999999999999997E-2</v>
      </c>
      <c r="M17" s="36">
        <f>120/(60*24)</f>
        <v>8.3333333333333329E-2</v>
      </c>
      <c r="N17" s="36">
        <v>0</v>
      </c>
      <c r="O17" s="36">
        <f>120/(60*24)</f>
        <v>8.3333333333333329E-2</v>
      </c>
      <c r="P17" s="268">
        <f>O17</f>
        <v>8.3333333333333329E-2</v>
      </c>
      <c r="Q17" s="36">
        <v>1</v>
      </c>
      <c r="R17" s="36">
        <v>1</v>
      </c>
      <c r="S17" s="36">
        <v>0</v>
      </c>
      <c r="T17" s="36">
        <v>1</v>
      </c>
      <c r="V17" s="36" t="s">
        <v>339</v>
      </c>
      <c r="W17" s="36" t="s">
        <v>340</v>
      </c>
    </row>
    <row r="18" spans="1:23">
      <c r="A18" s="32" t="s">
        <v>288</v>
      </c>
      <c r="B18" s="32" t="s">
        <v>288</v>
      </c>
      <c r="C18" s="36" t="s">
        <v>333</v>
      </c>
      <c r="D18" s="36" t="s">
        <v>334</v>
      </c>
      <c r="E18" s="36">
        <v>2009</v>
      </c>
      <c r="F18" s="36" t="s">
        <v>290</v>
      </c>
      <c r="G18" s="36" t="s">
        <v>335</v>
      </c>
      <c r="H18" s="36" t="s">
        <v>336</v>
      </c>
      <c r="I18" s="36">
        <f>0.5*1</f>
        <v>0.5</v>
      </c>
      <c r="J18" s="36">
        <v>36</v>
      </c>
      <c r="K18" s="36">
        <v>13867</v>
      </c>
      <c r="L18" s="45">
        <f t="shared" si="0"/>
        <v>1.8E-3</v>
      </c>
      <c r="M18" s="36">
        <f>5/(60*24)</f>
        <v>3.472222222222222E-3</v>
      </c>
      <c r="N18" s="36">
        <v>0</v>
      </c>
      <c r="O18" s="36">
        <f>M18</f>
        <v>3.472222222222222E-3</v>
      </c>
      <c r="P18" s="268">
        <f>O18</f>
        <v>3.472222222222222E-3</v>
      </c>
      <c r="Q18" s="36">
        <v>1</v>
      </c>
      <c r="R18" s="36">
        <v>1</v>
      </c>
      <c r="S18" s="36">
        <v>0</v>
      </c>
      <c r="T18" s="36">
        <v>1</v>
      </c>
      <c r="V18" s="36" t="s">
        <v>339</v>
      </c>
      <c r="W18" s="36" t="s">
        <v>341</v>
      </c>
    </row>
    <row r="19" spans="1:23">
      <c r="A19" s="32" t="s">
        <v>288</v>
      </c>
      <c r="B19" s="32" t="s">
        <v>288</v>
      </c>
      <c r="C19" s="36" t="s">
        <v>333</v>
      </c>
      <c r="D19" s="36" t="s">
        <v>334</v>
      </c>
      <c r="E19" s="36">
        <v>2009</v>
      </c>
      <c r="F19" s="36" t="s">
        <v>290</v>
      </c>
      <c r="G19" s="36" t="s">
        <v>335</v>
      </c>
      <c r="H19" s="36" t="s">
        <v>336</v>
      </c>
      <c r="I19" s="34">
        <f>PI()*0.05^2</f>
        <v>7.8539816339744835E-3</v>
      </c>
      <c r="J19" s="36">
        <f>3*18</f>
        <v>54</v>
      </c>
      <c r="K19" s="36">
        <v>13867</v>
      </c>
      <c r="L19" s="45">
        <f t="shared" si="0"/>
        <v>4.2411500823462215E-5</v>
      </c>
      <c r="M19" s="36">
        <f>10/(60*24)</f>
        <v>6.9444444444444441E-3</v>
      </c>
      <c r="N19" s="36">
        <v>0</v>
      </c>
      <c r="O19" s="36">
        <f>10/(60*24)</f>
        <v>6.9444444444444441E-3</v>
      </c>
      <c r="P19" s="268">
        <f>O19</f>
        <v>6.9444444444444441E-3</v>
      </c>
      <c r="Q19" s="36">
        <v>0</v>
      </c>
      <c r="R19" s="36">
        <v>0</v>
      </c>
      <c r="S19" s="36">
        <v>2</v>
      </c>
      <c r="T19" s="36">
        <v>0</v>
      </c>
      <c r="V19" s="36" t="s">
        <v>339</v>
      </c>
      <c r="W19" s="36" t="s">
        <v>342</v>
      </c>
    </row>
    <row r="20" spans="1:23">
      <c r="A20" s="46" t="s">
        <v>288</v>
      </c>
      <c r="B20" s="46" t="s">
        <v>288</v>
      </c>
      <c r="C20" s="47" t="s">
        <v>343</v>
      </c>
      <c r="D20" s="47" t="s">
        <v>344</v>
      </c>
      <c r="E20" s="47">
        <v>2010</v>
      </c>
      <c r="F20" s="47" t="s">
        <v>290</v>
      </c>
      <c r="G20" s="47" t="s">
        <v>345</v>
      </c>
      <c r="H20" s="47" t="s">
        <v>346</v>
      </c>
      <c r="I20" s="42">
        <f>20*10000</f>
        <v>200000</v>
      </c>
      <c r="J20" s="47">
        <v>80</v>
      </c>
      <c r="K20" s="47">
        <v>54131</v>
      </c>
      <c r="L20" s="48">
        <f t="shared" si="0"/>
        <v>1600</v>
      </c>
      <c r="M20" s="47">
        <f>2/24</f>
        <v>8.3333333333333329E-2</v>
      </c>
      <c r="N20" s="47">
        <v>0</v>
      </c>
      <c r="O20" s="47">
        <v>180</v>
      </c>
      <c r="P20" s="47">
        <v>180</v>
      </c>
      <c r="Q20" s="47">
        <v>0</v>
      </c>
      <c r="R20" s="47">
        <v>0</v>
      </c>
      <c r="S20" s="47">
        <v>2</v>
      </c>
      <c r="T20" s="47">
        <v>0</v>
      </c>
      <c r="U20" s="47" t="s">
        <v>347</v>
      </c>
      <c r="V20" s="47" t="s">
        <v>348</v>
      </c>
      <c r="W20" s="47"/>
    </row>
    <row r="21" spans="1:23">
      <c r="A21" s="32" t="s">
        <v>288</v>
      </c>
      <c r="B21" s="32" t="s">
        <v>288</v>
      </c>
      <c r="C21" s="36" t="s">
        <v>343</v>
      </c>
      <c r="D21" s="49" t="s">
        <v>344</v>
      </c>
      <c r="E21" s="36">
        <v>2010</v>
      </c>
      <c r="F21" s="36" t="s">
        <v>290</v>
      </c>
      <c r="G21" s="36" t="s">
        <v>345</v>
      </c>
      <c r="H21" s="36" t="s">
        <v>346</v>
      </c>
      <c r="I21" s="34">
        <f>PI()*0.05^2*10</f>
        <v>7.8539816339744828E-2</v>
      </c>
      <c r="J21" s="36">
        <f>3*5</f>
        <v>15</v>
      </c>
      <c r="K21" s="36">
        <v>54131</v>
      </c>
      <c r="L21" s="45">
        <f t="shared" si="0"/>
        <v>1.1780972450961724E-4</v>
      </c>
      <c r="M21" s="36">
        <f>10/(60*24) *10</f>
        <v>6.9444444444444448E-2</v>
      </c>
      <c r="N21" s="36">
        <v>0</v>
      </c>
      <c r="O21" s="36">
        <f>M21</f>
        <v>6.9444444444444448E-2</v>
      </c>
      <c r="P21" s="268">
        <f>O21</f>
        <v>6.9444444444444448E-2</v>
      </c>
      <c r="Q21" s="36">
        <v>0</v>
      </c>
      <c r="R21" s="36">
        <v>0</v>
      </c>
      <c r="S21" s="36">
        <v>2</v>
      </c>
      <c r="T21" s="36">
        <v>0</v>
      </c>
      <c r="V21" s="36" t="s">
        <v>349</v>
      </c>
      <c r="W21" s="36" t="s">
        <v>350</v>
      </c>
    </row>
    <row r="22" spans="1:23">
      <c r="A22" s="32" t="s">
        <v>288</v>
      </c>
      <c r="B22" s="32" t="s">
        <v>288</v>
      </c>
      <c r="C22" s="36" t="s">
        <v>343</v>
      </c>
      <c r="D22" s="49" t="s">
        <v>344</v>
      </c>
      <c r="E22" s="36">
        <v>2010</v>
      </c>
      <c r="F22" s="36" t="s">
        <v>290</v>
      </c>
      <c r="G22" s="36" t="s">
        <v>345</v>
      </c>
      <c r="H22" s="36" t="s">
        <v>346</v>
      </c>
      <c r="I22" s="34">
        <f>PI()*0.25^2</f>
        <v>0.19634954084936207</v>
      </c>
      <c r="J22" s="36">
        <v>14</v>
      </c>
      <c r="K22" s="36">
        <v>54131</v>
      </c>
      <c r="L22" s="45">
        <f t="shared" si="0"/>
        <v>2.7488935718910691E-4</v>
      </c>
      <c r="M22" s="36">
        <f>180</f>
        <v>180</v>
      </c>
      <c r="N22" s="268">
        <v>1</v>
      </c>
      <c r="O22" s="36">
        <f>180</f>
        <v>180</v>
      </c>
      <c r="P22" s="36">
        <f>180</f>
        <v>180</v>
      </c>
      <c r="Q22" s="36">
        <v>0</v>
      </c>
      <c r="R22" s="36">
        <v>0</v>
      </c>
      <c r="S22" s="36">
        <v>2</v>
      </c>
      <c r="T22" s="36">
        <v>0</v>
      </c>
      <c r="V22" s="36" t="s">
        <v>934</v>
      </c>
      <c r="W22" s="36" t="s">
        <v>351</v>
      </c>
    </row>
    <row r="23" spans="1:23">
      <c r="A23" s="32" t="s">
        <v>288</v>
      </c>
      <c r="B23" s="32" t="s">
        <v>288</v>
      </c>
      <c r="C23" s="36" t="s">
        <v>27</v>
      </c>
      <c r="D23" s="36" t="s">
        <v>352</v>
      </c>
      <c r="E23" s="36">
        <v>2007</v>
      </c>
      <c r="F23" s="36" t="s">
        <v>290</v>
      </c>
      <c r="G23" s="36" t="s">
        <v>353</v>
      </c>
      <c r="H23" s="36" t="s">
        <v>354</v>
      </c>
      <c r="I23" s="38">
        <f>SUM(0.2^2 *2/3, 1^2 *1/3)</f>
        <v>0.36</v>
      </c>
      <c r="J23" s="50">
        <v>426</v>
      </c>
      <c r="K23" s="50">
        <v>14608</v>
      </c>
      <c r="L23" s="51">
        <f>(J23*I23)/10000</f>
        <v>1.5335999999999999E-2</v>
      </c>
      <c r="M23" s="36">
        <f>5/(60*24)</f>
        <v>3.472222222222222E-3</v>
      </c>
      <c r="N23" s="36">
        <v>0</v>
      </c>
      <c r="O23" s="36">
        <f>M23</f>
        <v>3.472222222222222E-3</v>
      </c>
      <c r="P23" s="268">
        <f>O23</f>
        <v>3.472222222222222E-3</v>
      </c>
      <c r="Q23" s="36">
        <v>0</v>
      </c>
      <c r="R23" s="36">
        <v>1</v>
      </c>
      <c r="S23" s="36">
        <v>0</v>
      </c>
      <c r="T23" s="36">
        <v>0</v>
      </c>
      <c r="U23" s="36" t="s">
        <v>355</v>
      </c>
      <c r="V23" s="38" t="s">
        <v>356</v>
      </c>
      <c r="W23" s="36" t="s">
        <v>357</v>
      </c>
    </row>
    <row r="24" spans="1:23">
      <c r="A24" s="32" t="s">
        <v>288</v>
      </c>
      <c r="B24" s="32" t="s">
        <v>288</v>
      </c>
      <c r="C24" s="36" t="s">
        <v>27</v>
      </c>
      <c r="D24" s="36" t="s">
        <v>352</v>
      </c>
      <c r="E24" s="36">
        <v>2007</v>
      </c>
      <c r="F24" s="36" t="s">
        <v>290</v>
      </c>
      <c r="G24" s="36" t="s">
        <v>353</v>
      </c>
      <c r="H24" s="36" t="s">
        <v>354</v>
      </c>
      <c r="I24" s="52">
        <f>ROUND(1/120 * 4, 3)</f>
        <v>3.3000000000000002E-2</v>
      </c>
      <c r="J24" s="36">
        <f>(1677+1722+1632+819+695+1051) / 2.5</f>
        <v>3038.4</v>
      </c>
      <c r="K24" s="36">
        <v>14608</v>
      </c>
      <c r="L24" s="51">
        <f t="shared" ref="L24:L46" si="1">(I24*J24)/10000</f>
        <v>1.0026720000000001E-2</v>
      </c>
      <c r="M24" s="36">
        <f>5/(3600*24)</f>
        <v>5.7870370370370373E-5</v>
      </c>
      <c r="N24" s="36">
        <v>0</v>
      </c>
      <c r="O24" s="36">
        <f>M24</f>
        <v>5.7870370370370373E-5</v>
      </c>
      <c r="P24" s="268">
        <f>O24</f>
        <v>5.7870370370370373E-5</v>
      </c>
      <c r="Q24" s="36">
        <v>0</v>
      </c>
      <c r="R24" s="36">
        <v>2</v>
      </c>
      <c r="S24" s="36">
        <v>0</v>
      </c>
      <c r="T24" s="36">
        <v>0</v>
      </c>
      <c r="U24" s="36" t="s">
        <v>355</v>
      </c>
      <c r="V24" s="36" t="s">
        <v>358</v>
      </c>
      <c r="W24" s="36" t="s">
        <v>359</v>
      </c>
    </row>
    <row r="25" spans="1:23">
      <c r="A25" s="32" t="s">
        <v>288</v>
      </c>
      <c r="B25" s="32" t="s">
        <v>288</v>
      </c>
      <c r="C25" s="36" t="s">
        <v>360</v>
      </c>
      <c r="D25" s="36" t="s">
        <v>361</v>
      </c>
      <c r="E25" s="36">
        <v>2013</v>
      </c>
      <c r="F25" s="36" t="s">
        <v>290</v>
      </c>
      <c r="G25" s="36" t="s">
        <v>362</v>
      </c>
      <c r="H25" s="36" t="s">
        <v>363</v>
      </c>
      <c r="I25" s="36">
        <f>1^2</f>
        <v>1</v>
      </c>
      <c r="J25" s="36">
        <f>100*3</f>
        <v>300</v>
      </c>
      <c r="K25" s="36">
        <f>100+42+28</f>
        <v>170</v>
      </c>
      <c r="L25" s="53">
        <f t="shared" si="1"/>
        <v>0.03</v>
      </c>
      <c r="M25" s="34">
        <f>5/(60*24)</f>
        <v>3.472222222222222E-3</v>
      </c>
      <c r="N25" s="36">
        <f>365*2</f>
        <v>730</v>
      </c>
      <c r="O25" s="36">
        <f>M25*2</f>
        <v>6.9444444444444441E-3</v>
      </c>
      <c r="P25" s="36">
        <f>365*3</f>
        <v>1095</v>
      </c>
      <c r="Q25" s="36">
        <v>3</v>
      </c>
      <c r="R25" s="36">
        <v>0</v>
      </c>
      <c r="S25" s="36">
        <v>0</v>
      </c>
      <c r="T25" s="36">
        <v>3</v>
      </c>
      <c r="V25" s="36" t="s">
        <v>339</v>
      </c>
      <c r="W25" s="36" t="s">
        <v>364</v>
      </c>
    </row>
    <row r="26" spans="1:23">
      <c r="A26" s="32" t="s">
        <v>288</v>
      </c>
      <c r="B26" s="32" t="s">
        <v>288</v>
      </c>
      <c r="C26" s="36" t="s">
        <v>360</v>
      </c>
      <c r="D26" s="36" t="s">
        <v>361</v>
      </c>
      <c r="E26" s="36">
        <v>2013</v>
      </c>
      <c r="F26" s="36" t="s">
        <v>290</v>
      </c>
      <c r="G26" s="36" t="s">
        <v>362</v>
      </c>
      <c r="H26" s="36" t="s">
        <v>363</v>
      </c>
      <c r="I26" s="36">
        <f>PI()*0.1^2</f>
        <v>3.1415926535897934E-2</v>
      </c>
      <c r="J26" s="36">
        <v>12</v>
      </c>
      <c r="K26" s="36">
        <v>65</v>
      </c>
      <c r="L26" s="45">
        <f t="shared" si="1"/>
        <v>3.7699111843077523E-5</v>
      </c>
      <c r="M26" s="54">
        <f>((DATEDIF("18/4/2005", "7/5/2005", "d")/6) + (DATEDIF("25/3/2006", "23/5/2006", "d")/7)) / 2</f>
        <v>5.7976190476190474</v>
      </c>
      <c r="N26" s="36">
        <f>1/(60*24)</f>
        <v>6.9444444444444447E-4</v>
      </c>
      <c r="O26" s="55">
        <f>M26*6+M26*7</f>
        <v>75.36904761904762</v>
      </c>
      <c r="P26" s="36">
        <f>DATEDIF("18/4/2005", "23/5/2006", "d")</f>
        <v>400</v>
      </c>
      <c r="Q26" s="36">
        <v>0</v>
      </c>
      <c r="R26" s="36">
        <v>0</v>
      </c>
      <c r="S26" s="36">
        <v>2</v>
      </c>
      <c r="T26" s="36">
        <v>0</v>
      </c>
      <c r="U26" s="36" t="s">
        <v>365</v>
      </c>
      <c r="V26" s="36" t="s">
        <v>327</v>
      </c>
      <c r="W26" s="36" t="s">
        <v>366</v>
      </c>
    </row>
    <row r="27" spans="1:23">
      <c r="A27" s="32" t="s">
        <v>288</v>
      </c>
      <c r="B27" s="32" t="s">
        <v>288</v>
      </c>
      <c r="C27" s="36" t="s">
        <v>360</v>
      </c>
      <c r="D27" s="36" t="s">
        <v>361</v>
      </c>
      <c r="E27" s="36">
        <v>2013</v>
      </c>
      <c r="F27" s="36" t="s">
        <v>290</v>
      </c>
      <c r="G27" s="36" t="s">
        <v>362</v>
      </c>
      <c r="H27" s="36" t="s">
        <v>363</v>
      </c>
      <c r="I27" s="36">
        <v>0.5</v>
      </c>
      <c r="J27" s="36">
        <f>28*3</f>
        <v>84</v>
      </c>
      <c r="K27" s="36">
        <f>100+42+28</f>
        <v>170</v>
      </c>
      <c r="L27" s="45">
        <f t="shared" si="1"/>
        <v>4.1999999999999997E-3</v>
      </c>
      <c r="M27" s="34">
        <f>5/(60*24)</f>
        <v>3.472222222222222E-3</v>
      </c>
      <c r="N27" s="36">
        <v>0</v>
      </c>
      <c r="O27" s="36">
        <f>M27</f>
        <v>3.472222222222222E-3</v>
      </c>
      <c r="P27" s="268">
        <f>O27</f>
        <v>3.472222222222222E-3</v>
      </c>
      <c r="Q27" s="36">
        <v>1</v>
      </c>
      <c r="R27" s="36">
        <v>0</v>
      </c>
      <c r="S27" s="36">
        <v>1</v>
      </c>
      <c r="T27" s="36">
        <v>1</v>
      </c>
      <c r="U27" s="36" t="s">
        <v>367</v>
      </c>
      <c r="V27" s="36" t="s">
        <v>368</v>
      </c>
      <c r="W27" s="36" t="s">
        <v>369</v>
      </c>
    </row>
    <row r="28" spans="1:23">
      <c r="A28" s="32" t="s">
        <v>288</v>
      </c>
      <c r="B28" s="32" t="s">
        <v>288</v>
      </c>
      <c r="C28" s="36" t="s">
        <v>360</v>
      </c>
      <c r="D28" s="36" t="s">
        <v>361</v>
      </c>
      <c r="E28" s="36">
        <v>2013</v>
      </c>
      <c r="F28" s="36" t="s">
        <v>290</v>
      </c>
      <c r="G28" s="36" t="s">
        <v>362</v>
      </c>
      <c r="H28" s="36" t="s">
        <v>363</v>
      </c>
      <c r="I28" s="36">
        <f>AVERAGE(0.7^2, 0.5^2)</f>
        <v>0.37</v>
      </c>
      <c r="J28" s="36">
        <v>6</v>
      </c>
      <c r="K28" s="36">
        <f>35+40</f>
        <v>75</v>
      </c>
      <c r="L28" s="45">
        <f t="shared" si="1"/>
        <v>2.2199999999999998E-4</v>
      </c>
      <c r="M28" s="34">
        <f>5*(3/60/24)</f>
        <v>1.0416666666666666E-2</v>
      </c>
      <c r="N28" s="56">
        <f>3/24</f>
        <v>0.125</v>
      </c>
      <c r="O28" s="57">
        <f>DATEDIF("5/6/2004", "2/10/2004", "d")*8*M28 + DATEDIF("15/5/2005", "15/9/2005", "d")*8*M28</f>
        <v>20.166666666666664</v>
      </c>
      <c r="P28" s="36">
        <f>DATEDIF("5/6/2004", "15/9/2005", "D")</f>
        <v>467</v>
      </c>
      <c r="Q28" s="36">
        <v>0</v>
      </c>
      <c r="R28" s="36">
        <v>0</v>
      </c>
      <c r="S28" s="36">
        <v>1</v>
      </c>
      <c r="T28" s="36">
        <v>0</v>
      </c>
      <c r="U28" s="36" t="s">
        <v>370</v>
      </c>
      <c r="V28" s="36" t="s">
        <v>329</v>
      </c>
      <c r="W28" s="36" t="s">
        <v>371</v>
      </c>
    </row>
    <row r="29" spans="1:23">
      <c r="A29" s="32" t="s">
        <v>288</v>
      </c>
      <c r="B29" s="32" t="s">
        <v>288</v>
      </c>
      <c r="C29" s="36" t="s">
        <v>360</v>
      </c>
      <c r="D29" s="36" t="s">
        <v>361</v>
      </c>
      <c r="E29" s="36">
        <v>2013</v>
      </c>
      <c r="F29" s="36" t="s">
        <v>290</v>
      </c>
      <c r="G29" s="36" t="s">
        <v>362</v>
      </c>
      <c r="H29" s="36" t="s">
        <v>363</v>
      </c>
      <c r="I29" s="36">
        <f>0.5^2</f>
        <v>0.25</v>
      </c>
      <c r="J29" s="36">
        <v>6</v>
      </c>
      <c r="K29" s="36">
        <f>25+33</f>
        <v>58</v>
      </c>
      <c r="L29" s="45">
        <f t="shared" si="1"/>
        <v>1.4999999999999999E-4</v>
      </c>
      <c r="M29" s="34">
        <f>6/60/24</f>
        <v>4.1666666666666666E-3</v>
      </c>
      <c r="N29" s="56">
        <f>72/(24*60)</f>
        <v>0.05</v>
      </c>
      <c r="O29" s="57">
        <f>DATEDIF("24/8/2004", "3/10/2004", "d")*(1/N29)*M29</f>
        <v>3.3333333333333335</v>
      </c>
      <c r="P29" s="36">
        <f>DATEDIF("24/8/2004", "3/10/2004", "D")</f>
        <v>40</v>
      </c>
      <c r="Q29" s="36">
        <v>0</v>
      </c>
      <c r="R29" s="36">
        <v>0</v>
      </c>
      <c r="S29" s="36">
        <v>1</v>
      </c>
      <c r="T29" s="36">
        <v>0</v>
      </c>
      <c r="U29" s="36" t="s">
        <v>370</v>
      </c>
      <c r="V29" s="36" t="s">
        <v>372</v>
      </c>
      <c r="W29" s="36" t="s">
        <v>371</v>
      </c>
    </row>
    <row r="30" spans="1:23">
      <c r="A30" s="32" t="s">
        <v>288</v>
      </c>
      <c r="B30" s="32" t="s">
        <v>288</v>
      </c>
      <c r="C30" s="36" t="s">
        <v>360</v>
      </c>
      <c r="D30" s="36" t="s">
        <v>361</v>
      </c>
      <c r="E30" s="36">
        <v>2013</v>
      </c>
      <c r="F30" s="36" t="s">
        <v>290</v>
      </c>
      <c r="G30" s="36" t="s">
        <v>362</v>
      </c>
      <c r="H30" s="36" t="s">
        <v>363</v>
      </c>
      <c r="I30" s="58">
        <f>1^2</f>
        <v>1</v>
      </c>
      <c r="J30" s="58">
        <f>5+6+7</f>
        <v>18</v>
      </c>
      <c r="K30" s="36">
        <f>100+42+28</f>
        <v>170</v>
      </c>
      <c r="L30" s="45">
        <f t="shared" si="1"/>
        <v>1.8E-3</v>
      </c>
      <c r="M30" s="34">
        <f>10/(60*24)</f>
        <v>6.9444444444444441E-3</v>
      </c>
      <c r="N30" s="54">
        <f>(DATEDIF("15/9/2004","15/5/2005", "d") +DATEDIF("15/9/2005","15/5/2006", "d"))/2</f>
        <v>242</v>
      </c>
      <c r="O30" s="36">
        <f>M30*(5+6+7)</f>
        <v>0.125</v>
      </c>
      <c r="P30" s="36">
        <f>DATEDIF("15/5/2004","15/9/2006", "d")</f>
        <v>853</v>
      </c>
      <c r="Q30" s="36">
        <v>0</v>
      </c>
      <c r="R30" s="36">
        <v>1</v>
      </c>
      <c r="S30" s="36">
        <v>1</v>
      </c>
      <c r="T30" s="36">
        <v>0</v>
      </c>
      <c r="U30" s="36" t="s">
        <v>373</v>
      </c>
      <c r="V30" s="36" t="s">
        <v>374</v>
      </c>
      <c r="W30" s="36" t="s">
        <v>375</v>
      </c>
    </row>
    <row r="31" spans="1:23">
      <c r="A31" s="32" t="s">
        <v>288</v>
      </c>
      <c r="B31" s="32" t="s">
        <v>288</v>
      </c>
      <c r="C31" s="36" t="s">
        <v>360</v>
      </c>
      <c r="D31" s="36" t="s">
        <v>361</v>
      </c>
      <c r="E31" s="36">
        <v>2013</v>
      </c>
      <c r="F31" s="36" t="s">
        <v>290</v>
      </c>
      <c r="G31" s="36" t="s">
        <v>362</v>
      </c>
      <c r="H31" s="36" t="s">
        <v>363</v>
      </c>
      <c r="I31" s="34">
        <f>PI()*0.0425^2</f>
        <v>5.6745017305465653E-3</v>
      </c>
      <c r="J31" s="36">
        <f>3+7+5</f>
        <v>15</v>
      </c>
      <c r="K31" s="36">
        <f>100+42+28</f>
        <v>170</v>
      </c>
      <c r="L31" s="59">
        <f t="shared" si="1"/>
        <v>8.5117525958198471E-6</v>
      </c>
      <c r="M31" s="34">
        <f>10/(60*24)</f>
        <v>6.9444444444444441E-3</v>
      </c>
      <c r="N31" s="54">
        <f>(DATEDIF("16/9/2004","11/5/2005", "d") +DATEDIF("22/9/2005","15/5/2006", "d"))/2</f>
        <v>236</v>
      </c>
      <c r="O31" s="36">
        <f>M31*(3+7+6)</f>
        <v>0.1111111111111111</v>
      </c>
      <c r="P31" s="36">
        <f>DATEDIF("15/5/2004","15/9/2006", "d")</f>
        <v>853</v>
      </c>
      <c r="Q31" s="36">
        <v>0</v>
      </c>
      <c r="R31" s="36">
        <v>2</v>
      </c>
      <c r="S31" s="36">
        <v>1</v>
      </c>
      <c r="T31" s="36">
        <v>0</v>
      </c>
      <c r="U31" s="36" t="s">
        <v>373</v>
      </c>
      <c r="V31" s="36" t="s">
        <v>376</v>
      </c>
      <c r="W31" s="36" t="s">
        <v>377</v>
      </c>
    </row>
    <row r="32" spans="1:23">
      <c r="A32" s="32" t="s">
        <v>288</v>
      </c>
      <c r="B32" s="32" t="s">
        <v>288</v>
      </c>
      <c r="C32" s="36" t="s">
        <v>360</v>
      </c>
      <c r="D32" s="36" t="s">
        <v>361</v>
      </c>
      <c r="E32" s="36">
        <v>2013</v>
      </c>
      <c r="F32" s="36" t="s">
        <v>290</v>
      </c>
      <c r="G32" s="36" t="s">
        <v>362</v>
      </c>
      <c r="H32" s="36" t="s">
        <v>363</v>
      </c>
      <c r="I32" s="36">
        <f>PI()*0.02^2</f>
        <v>1.2566370614359172E-3</v>
      </c>
      <c r="J32" s="36">
        <f>7+5</f>
        <v>12</v>
      </c>
      <c r="K32" s="36">
        <f>100+42+28</f>
        <v>170</v>
      </c>
      <c r="L32" s="59">
        <f t="shared" si="1"/>
        <v>1.5079644737231008E-6</v>
      </c>
      <c r="M32" s="36">
        <f>1/24</f>
        <v>4.1666666666666664E-2</v>
      </c>
      <c r="N32" s="54">
        <f>AVERAGE(DATEDIF("16/9/2005", "11/5/2006", "d"), 23, 21, 22, 23, 21, DATEDIF("22/9/2005", "15/5/2006", "d"), 25, 27, 31, 31, 31)</f>
        <v>60.583333333333336</v>
      </c>
      <c r="O32" s="36">
        <f>(7+5)*M32</f>
        <v>0.5</v>
      </c>
      <c r="P32" s="36">
        <f>DATEDIF("22/9/2004","12/9/2006", "d")</f>
        <v>720</v>
      </c>
      <c r="Q32" s="36">
        <v>0</v>
      </c>
      <c r="R32" s="36">
        <v>2</v>
      </c>
      <c r="S32" s="36">
        <v>2</v>
      </c>
      <c r="T32" s="36">
        <v>0</v>
      </c>
      <c r="U32" s="36" t="s">
        <v>373</v>
      </c>
      <c r="V32" s="36" t="s">
        <v>378</v>
      </c>
      <c r="W32" s="36" t="s">
        <v>379</v>
      </c>
    </row>
    <row r="33" spans="1:23">
      <c r="A33" s="32" t="s">
        <v>288</v>
      </c>
      <c r="B33" s="32" t="s">
        <v>288</v>
      </c>
      <c r="C33" s="36" t="s">
        <v>360</v>
      </c>
      <c r="D33" s="36" t="s">
        <v>361</v>
      </c>
      <c r="E33" s="36">
        <v>2013</v>
      </c>
      <c r="F33" s="36" t="s">
        <v>290</v>
      </c>
      <c r="G33" s="36" t="s">
        <v>362</v>
      </c>
      <c r="H33" s="36" t="s">
        <v>363</v>
      </c>
      <c r="I33" s="34">
        <f>PI()*0.0425^2</f>
        <v>5.6745017305465653E-3</v>
      </c>
      <c r="J33" s="36">
        <v>100</v>
      </c>
      <c r="K33" s="36">
        <f>100+42+28</f>
        <v>170</v>
      </c>
      <c r="L33" s="59">
        <f t="shared" si="1"/>
        <v>5.6745017305465647E-5</v>
      </c>
      <c r="M33" s="34">
        <f>10/(60*24)</f>
        <v>6.9444444444444441E-3</v>
      </c>
      <c r="N33" s="36">
        <v>0</v>
      </c>
      <c r="O33" s="36">
        <f t="shared" ref="O33:O38" si="2">M33</f>
        <v>6.9444444444444441E-3</v>
      </c>
      <c r="P33" s="268">
        <f t="shared" ref="P33:P38" si="3">O33</f>
        <v>6.9444444444444441E-3</v>
      </c>
      <c r="Q33" s="36">
        <v>0</v>
      </c>
      <c r="R33" s="36">
        <v>2</v>
      </c>
      <c r="S33" s="36">
        <v>2</v>
      </c>
      <c r="T33" s="36">
        <v>0</v>
      </c>
      <c r="V33" s="36" t="s">
        <v>380</v>
      </c>
      <c r="W33" s="36" t="s">
        <v>381</v>
      </c>
    </row>
    <row r="34" spans="1:23">
      <c r="A34" s="32" t="s">
        <v>288</v>
      </c>
      <c r="B34" s="32" t="s">
        <v>288</v>
      </c>
      <c r="C34" s="36" t="s">
        <v>360</v>
      </c>
      <c r="D34" s="36" t="s">
        <v>361</v>
      </c>
      <c r="E34" s="36">
        <v>2013</v>
      </c>
      <c r="F34" s="36" t="s">
        <v>290</v>
      </c>
      <c r="G34" s="36" t="s">
        <v>362</v>
      </c>
      <c r="H34" s="36" t="s">
        <v>363</v>
      </c>
      <c r="I34" s="36">
        <f>1^2</f>
        <v>1</v>
      </c>
      <c r="J34" s="36">
        <v>9</v>
      </c>
      <c r="K34" s="36">
        <f>100+42+28</f>
        <v>170</v>
      </c>
      <c r="L34" s="59">
        <f t="shared" si="1"/>
        <v>8.9999999999999998E-4</v>
      </c>
      <c r="M34" s="36">
        <f>2/24</f>
        <v>8.3333333333333329E-2</v>
      </c>
      <c r="N34" s="36">
        <v>0</v>
      </c>
      <c r="O34" s="36">
        <f t="shared" si="2"/>
        <v>8.3333333333333329E-2</v>
      </c>
      <c r="P34" s="268">
        <f t="shared" si="3"/>
        <v>8.3333333333333329E-2</v>
      </c>
      <c r="Q34" s="36">
        <v>0</v>
      </c>
      <c r="R34" s="36">
        <v>1</v>
      </c>
      <c r="S34" s="36">
        <v>2</v>
      </c>
      <c r="T34" s="36">
        <v>0</v>
      </c>
      <c r="V34" s="36" t="s">
        <v>380</v>
      </c>
      <c r="W34" s="36" t="s">
        <v>382</v>
      </c>
    </row>
    <row r="35" spans="1:23">
      <c r="A35" s="32" t="s">
        <v>288</v>
      </c>
      <c r="B35" s="32" t="s">
        <v>288</v>
      </c>
      <c r="C35" s="60" t="s">
        <v>383</v>
      </c>
      <c r="D35" s="60" t="s">
        <v>384</v>
      </c>
      <c r="E35" s="60">
        <v>2005</v>
      </c>
      <c r="F35" s="60" t="s">
        <v>290</v>
      </c>
      <c r="G35" s="60" t="s">
        <v>385</v>
      </c>
      <c r="H35" s="60" t="s">
        <v>386</v>
      </c>
      <c r="I35" s="60">
        <f>10^2</f>
        <v>100</v>
      </c>
      <c r="J35" s="60">
        <f>10*20</f>
        <v>200</v>
      </c>
      <c r="K35" s="60">
        <f>(20000*200)/10000</f>
        <v>400</v>
      </c>
      <c r="L35" s="61">
        <f t="shared" si="1"/>
        <v>2</v>
      </c>
      <c r="M35" s="60">
        <f>30/(60*24)</f>
        <v>2.0833333333333332E-2</v>
      </c>
      <c r="N35" s="60">
        <v>0</v>
      </c>
      <c r="O35" s="60">
        <f t="shared" si="2"/>
        <v>2.0833333333333332E-2</v>
      </c>
      <c r="P35" s="268">
        <f t="shared" si="3"/>
        <v>2.0833333333333332E-2</v>
      </c>
      <c r="Q35" s="60">
        <v>3</v>
      </c>
      <c r="R35" s="60">
        <v>1</v>
      </c>
      <c r="S35" s="60">
        <v>0</v>
      </c>
      <c r="T35" s="60">
        <v>2</v>
      </c>
      <c r="U35" s="60"/>
      <c r="V35" s="60" t="s">
        <v>368</v>
      </c>
      <c r="W35" s="60" t="s">
        <v>387</v>
      </c>
    </row>
    <row r="36" spans="1:23">
      <c r="A36" s="32" t="s">
        <v>288</v>
      </c>
      <c r="B36" s="32" t="s">
        <v>288</v>
      </c>
      <c r="C36" s="60" t="s">
        <v>383</v>
      </c>
      <c r="D36" s="60" t="s">
        <v>384</v>
      </c>
      <c r="E36" s="60">
        <v>2005</v>
      </c>
      <c r="F36" s="60" t="s">
        <v>290</v>
      </c>
      <c r="G36" s="60" t="s">
        <v>385</v>
      </c>
      <c r="H36" s="60" t="s">
        <v>386</v>
      </c>
      <c r="I36" s="34">
        <f>PI()*0.0425^2</f>
        <v>5.6745017305465653E-3</v>
      </c>
      <c r="J36" s="36">
        <f>3*10*20</f>
        <v>600</v>
      </c>
      <c r="K36" s="60">
        <f>(20000*200)/10000</f>
        <v>400</v>
      </c>
      <c r="L36" s="61">
        <f t="shared" si="1"/>
        <v>3.4047010383279392E-4</v>
      </c>
      <c r="M36" s="60">
        <f>30/(60*24)</f>
        <v>2.0833333333333332E-2</v>
      </c>
      <c r="N36" s="36">
        <v>0</v>
      </c>
      <c r="O36" s="60">
        <f t="shared" si="2"/>
        <v>2.0833333333333332E-2</v>
      </c>
      <c r="P36" s="268">
        <f t="shared" si="3"/>
        <v>2.0833333333333332E-2</v>
      </c>
      <c r="Q36" s="36">
        <v>0</v>
      </c>
      <c r="R36" s="36">
        <v>2</v>
      </c>
      <c r="S36" s="36">
        <v>0</v>
      </c>
      <c r="T36" s="36">
        <v>0</v>
      </c>
      <c r="V36" s="36" t="s">
        <v>368</v>
      </c>
      <c r="W36" s="36" t="s">
        <v>388</v>
      </c>
    </row>
    <row r="37" spans="1:23">
      <c r="A37" s="32" t="s">
        <v>288</v>
      </c>
      <c r="B37" s="32" t="s">
        <v>288</v>
      </c>
      <c r="C37" s="60" t="s">
        <v>383</v>
      </c>
      <c r="D37" s="60" t="s">
        <v>384</v>
      </c>
      <c r="E37" s="60">
        <v>2005</v>
      </c>
      <c r="F37" s="60" t="s">
        <v>290</v>
      </c>
      <c r="G37" s="36" t="s">
        <v>389</v>
      </c>
      <c r="H37" s="60" t="s">
        <v>386</v>
      </c>
      <c r="I37" s="36">
        <f>2^2</f>
        <v>4</v>
      </c>
      <c r="J37" s="36">
        <f>40*2</f>
        <v>80</v>
      </c>
      <c r="K37" s="36">
        <f>(150*20+140*20)/10000</f>
        <v>0.57999999999999996</v>
      </c>
      <c r="L37" s="61">
        <f t="shared" si="1"/>
        <v>3.2000000000000001E-2</v>
      </c>
      <c r="M37" s="36">
        <f>25/(60*24)</f>
        <v>1.7361111111111112E-2</v>
      </c>
      <c r="N37" s="36">
        <v>0</v>
      </c>
      <c r="O37" s="36">
        <f t="shared" si="2"/>
        <v>1.7361111111111112E-2</v>
      </c>
      <c r="P37" s="268">
        <f t="shared" si="3"/>
        <v>1.7361111111111112E-2</v>
      </c>
      <c r="Q37" s="36">
        <v>3</v>
      </c>
      <c r="R37" s="36">
        <v>0</v>
      </c>
      <c r="S37" s="36">
        <v>0</v>
      </c>
      <c r="T37" s="36">
        <v>2</v>
      </c>
      <c r="U37" s="36" t="s">
        <v>390</v>
      </c>
      <c r="V37" s="36" t="s">
        <v>308</v>
      </c>
      <c r="W37" s="36" t="s">
        <v>391</v>
      </c>
    </row>
    <row r="38" spans="1:23">
      <c r="A38" s="32" t="s">
        <v>288</v>
      </c>
      <c r="B38" s="32" t="s">
        <v>288</v>
      </c>
      <c r="C38" s="60" t="s">
        <v>383</v>
      </c>
      <c r="D38" s="60" t="s">
        <v>384</v>
      </c>
      <c r="E38" s="60">
        <v>2005</v>
      </c>
      <c r="F38" s="60" t="s">
        <v>290</v>
      </c>
      <c r="G38" s="36" t="s">
        <v>389</v>
      </c>
      <c r="H38" s="60" t="s">
        <v>386</v>
      </c>
      <c r="I38" s="34">
        <f>PI()*0.01^2</f>
        <v>3.1415926535897931E-4</v>
      </c>
      <c r="J38" s="36">
        <f>40*2</f>
        <v>80</v>
      </c>
      <c r="K38" s="36">
        <f>(150*20+140*20)/10000</f>
        <v>0.57999999999999996</v>
      </c>
      <c r="L38" s="61">
        <f t="shared" si="1"/>
        <v>2.5132741228718342E-6</v>
      </c>
      <c r="M38" s="36">
        <f>25/(60*24)</f>
        <v>1.7361111111111112E-2</v>
      </c>
      <c r="N38" s="36">
        <v>0</v>
      </c>
      <c r="O38" s="36">
        <f t="shared" si="2"/>
        <v>1.7361111111111112E-2</v>
      </c>
      <c r="P38" s="268">
        <f t="shared" si="3"/>
        <v>1.7361111111111112E-2</v>
      </c>
      <c r="Q38" s="36">
        <v>0</v>
      </c>
      <c r="R38" s="36">
        <v>2</v>
      </c>
      <c r="S38" s="36">
        <v>0</v>
      </c>
      <c r="T38" s="36">
        <v>0</v>
      </c>
      <c r="U38" s="36" t="s">
        <v>390</v>
      </c>
      <c r="V38" s="36" t="s">
        <v>308</v>
      </c>
      <c r="W38" s="36" t="s">
        <v>392</v>
      </c>
    </row>
    <row r="39" spans="1:23">
      <c r="A39" s="32" t="s">
        <v>288</v>
      </c>
      <c r="B39" s="32" t="s">
        <v>288</v>
      </c>
      <c r="C39" s="60" t="s">
        <v>393</v>
      </c>
      <c r="D39" s="36" t="s">
        <v>394</v>
      </c>
      <c r="E39" s="60">
        <v>2012</v>
      </c>
      <c r="F39" s="60" t="s">
        <v>290</v>
      </c>
      <c r="G39" s="60" t="s">
        <v>395</v>
      </c>
      <c r="H39" s="60" t="s">
        <v>396</v>
      </c>
      <c r="I39" s="36">
        <f>1^2</f>
        <v>1</v>
      </c>
      <c r="J39" s="36">
        <f>20*25</f>
        <v>500</v>
      </c>
      <c r="K39" s="36">
        <v>43512</v>
      </c>
      <c r="L39" s="61">
        <f t="shared" si="1"/>
        <v>0.05</v>
      </c>
      <c r="M39" s="36">
        <f>10</f>
        <v>10</v>
      </c>
      <c r="N39" s="36">
        <v>10</v>
      </c>
      <c r="O39" s="36">
        <f>DATEDIF("15/3/2004", "31/5/2004", "d") * 4</f>
        <v>308</v>
      </c>
      <c r="P39" s="36">
        <f>DATEDIF("15/3/2004", "31/5/2007", "D")</f>
        <v>1172</v>
      </c>
      <c r="Q39" s="36">
        <v>0</v>
      </c>
      <c r="R39" s="36">
        <v>1</v>
      </c>
      <c r="S39" s="36">
        <v>0</v>
      </c>
      <c r="T39" s="36">
        <v>0</v>
      </c>
      <c r="U39" s="36" t="s">
        <v>397</v>
      </c>
      <c r="V39" s="36" t="s">
        <v>358</v>
      </c>
      <c r="W39" s="36" t="s">
        <v>398</v>
      </c>
    </row>
    <row r="40" spans="1:23">
      <c r="A40" s="32" t="s">
        <v>288</v>
      </c>
      <c r="B40" s="32" t="s">
        <v>288</v>
      </c>
      <c r="C40" s="60" t="s">
        <v>87</v>
      </c>
      <c r="D40" s="36" t="s">
        <v>399</v>
      </c>
      <c r="E40" s="60">
        <v>2013</v>
      </c>
      <c r="F40" s="60" t="s">
        <v>290</v>
      </c>
      <c r="G40" s="36" t="s">
        <v>400</v>
      </c>
      <c r="H40" s="60" t="s">
        <v>401</v>
      </c>
      <c r="I40" s="36">
        <f>(PI()*(0.3/2)^2)*7</f>
        <v>0.49480084294039245</v>
      </c>
      <c r="J40" s="36">
        <v>1</v>
      </c>
      <c r="K40" s="36">
        <v>1</v>
      </c>
      <c r="L40" s="61">
        <f t="shared" si="1"/>
        <v>4.9480084294039245E-5</v>
      </c>
      <c r="M40" s="36">
        <f>60/(60*24)</f>
        <v>4.1666666666666664E-2</v>
      </c>
      <c r="N40" s="54">
        <f>(365*3+5*30) / 36</f>
        <v>34.583333333333336</v>
      </c>
      <c r="O40" s="36">
        <f>M40*36</f>
        <v>1.5</v>
      </c>
      <c r="P40" s="36">
        <f>DATEDIF("1/1/2009", "31/5/2012", "d")</f>
        <v>1246</v>
      </c>
      <c r="Q40" s="36">
        <v>0</v>
      </c>
      <c r="R40" s="36">
        <v>0</v>
      </c>
      <c r="S40" s="36">
        <v>2</v>
      </c>
      <c r="T40" s="36">
        <v>0</v>
      </c>
      <c r="V40" s="36" t="s">
        <v>402</v>
      </c>
      <c r="W40" s="36" t="s">
        <v>403</v>
      </c>
    </row>
    <row r="41" spans="1:23">
      <c r="A41" s="32" t="s">
        <v>288</v>
      </c>
      <c r="B41" s="32" t="s">
        <v>288</v>
      </c>
      <c r="C41" s="60" t="s">
        <v>87</v>
      </c>
      <c r="D41" s="36" t="s">
        <v>404</v>
      </c>
      <c r="E41" s="60">
        <v>2014</v>
      </c>
      <c r="F41" s="60" t="s">
        <v>290</v>
      </c>
      <c r="G41" s="60" t="s">
        <v>405</v>
      </c>
      <c r="H41" s="60" t="s">
        <v>406</v>
      </c>
      <c r="I41" s="36">
        <f>PI()*0.5^2</f>
        <v>0.78539816339744828</v>
      </c>
      <c r="J41" s="36">
        <v>160</v>
      </c>
      <c r="K41" s="36">
        <f>(6500*1000*50)/10000</f>
        <v>32500</v>
      </c>
      <c r="L41" s="61">
        <f t="shared" si="1"/>
        <v>1.2566370614359173E-2</v>
      </c>
      <c r="M41" s="36">
        <f>120/(60*24)</f>
        <v>8.3333333333333329E-2</v>
      </c>
      <c r="N41" s="36">
        <v>0</v>
      </c>
      <c r="O41" s="36">
        <f>M41</f>
        <v>8.3333333333333329E-2</v>
      </c>
      <c r="P41" s="268">
        <f>O41</f>
        <v>8.3333333333333329E-2</v>
      </c>
      <c r="Q41" s="36">
        <v>2</v>
      </c>
      <c r="R41" s="36">
        <v>2</v>
      </c>
      <c r="S41" s="36">
        <v>2</v>
      </c>
      <c r="T41" s="36">
        <v>1</v>
      </c>
      <c r="V41" s="36" t="s">
        <v>407</v>
      </c>
      <c r="W41" s="36" t="s">
        <v>408</v>
      </c>
    </row>
    <row r="42" spans="1:23">
      <c r="A42" s="32" t="s">
        <v>288</v>
      </c>
      <c r="B42" s="32" t="s">
        <v>288</v>
      </c>
      <c r="C42" s="60" t="s">
        <v>87</v>
      </c>
      <c r="D42" s="36" t="s">
        <v>404</v>
      </c>
      <c r="E42" s="60">
        <v>2014</v>
      </c>
      <c r="F42" s="60" t="s">
        <v>290</v>
      </c>
      <c r="G42" s="60" t="s">
        <v>405</v>
      </c>
      <c r="H42" s="60" t="s">
        <v>406</v>
      </c>
      <c r="I42" s="36">
        <f>PI()*0.05^2</f>
        <v>7.8539816339744835E-3</v>
      </c>
      <c r="J42" s="268">
        <v>21</v>
      </c>
      <c r="K42" s="36">
        <f>(6500*1000*50)/10000</f>
        <v>32500</v>
      </c>
      <c r="L42" s="61">
        <f t="shared" si="1"/>
        <v>1.6493361431346416E-5</v>
      </c>
      <c r="M42" s="36">
        <f>1/(60*60*24)</f>
        <v>1.1574074074074073E-5</v>
      </c>
      <c r="N42" s="36">
        <f>10/(60*24)</f>
        <v>6.9444444444444441E-3</v>
      </c>
      <c r="O42" s="268">
        <f>((DATEDIF("28/12/2011", "25/1/2012", "d")/21)*(24*60))/10*M42</f>
        <v>2.2222222222222222E-3</v>
      </c>
      <c r="P42" s="268">
        <f>DATEDIF("28/12/2011", "25/1/2012", "d")/21</f>
        <v>1.3333333333333333</v>
      </c>
      <c r="Q42" s="36">
        <v>0</v>
      </c>
      <c r="R42" s="36">
        <v>0</v>
      </c>
      <c r="S42" s="36">
        <v>1</v>
      </c>
      <c r="T42" s="36">
        <v>0</v>
      </c>
      <c r="V42" s="36" t="s">
        <v>409</v>
      </c>
      <c r="W42" s="36" t="s">
        <v>410</v>
      </c>
    </row>
    <row r="43" spans="1:23">
      <c r="A43" s="32" t="s">
        <v>288</v>
      </c>
      <c r="B43" s="32" t="s">
        <v>288</v>
      </c>
      <c r="C43" s="60" t="s">
        <v>87</v>
      </c>
      <c r="D43" s="36" t="s">
        <v>404</v>
      </c>
      <c r="E43" s="60">
        <v>2014</v>
      </c>
      <c r="F43" s="60" t="s">
        <v>55</v>
      </c>
      <c r="G43" s="60" t="s">
        <v>405</v>
      </c>
      <c r="H43" s="60" t="s">
        <v>406</v>
      </c>
      <c r="I43" s="36">
        <v>640050</v>
      </c>
      <c r="J43" s="36">
        <f>759817+36418242</f>
        <v>37178059</v>
      </c>
      <c r="K43" s="62">
        <f>L43</f>
        <v>2379581666.2950001</v>
      </c>
      <c r="L43" s="62">
        <f t="shared" si="1"/>
        <v>2379581666.2950001</v>
      </c>
      <c r="M43" s="36">
        <f>1/(60*60*24)</f>
        <v>1.1574074074074073E-5</v>
      </c>
      <c r="N43" s="36">
        <v>1</v>
      </c>
      <c r="O43" s="36">
        <f>DATEDIF("1/9/2011","29/2/2012","d")*M43</f>
        <v>2.0949074074074073E-3</v>
      </c>
      <c r="P43" s="36">
        <f>DATEDIF("1/9/2011","29/2/2012","d")</f>
        <v>181</v>
      </c>
      <c r="Q43" s="36">
        <v>0</v>
      </c>
      <c r="R43" s="36">
        <v>0</v>
      </c>
      <c r="S43" s="36">
        <v>2</v>
      </c>
      <c r="T43" s="36">
        <v>0</v>
      </c>
      <c r="V43" s="36" t="s">
        <v>935</v>
      </c>
      <c r="W43" s="36" t="s">
        <v>411</v>
      </c>
    </row>
    <row r="44" spans="1:23">
      <c r="A44" s="32" t="s">
        <v>288</v>
      </c>
      <c r="B44" s="32" t="s">
        <v>288</v>
      </c>
      <c r="C44" s="60" t="s">
        <v>87</v>
      </c>
      <c r="D44" s="36" t="s">
        <v>404</v>
      </c>
      <c r="E44" s="60">
        <v>2014</v>
      </c>
      <c r="F44" s="60" t="s">
        <v>290</v>
      </c>
      <c r="G44" s="60" t="s">
        <v>405</v>
      </c>
      <c r="H44" s="60" t="s">
        <v>406</v>
      </c>
      <c r="I44" s="36">
        <f>PI()*0.05^2</f>
        <v>7.8539816339744835E-3</v>
      </c>
      <c r="J44" s="63">
        <v>29</v>
      </c>
      <c r="K44" s="36">
        <f>(6500*1000*50)/10000</f>
        <v>32500</v>
      </c>
      <c r="L44" s="64">
        <f t="shared" si="1"/>
        <v>2.2776546738526001E-5</v>
      </c>
      <c r="M44" s="268">
        <f>120/(60*60*24)</f>
        <v>1.3888888888888889E-3</v>
      </c>
      <c r="N44" s="269">
        <v>0</v>
      </c>
      <c r="O44" s="268">
        <f>M44</f>
        <v>1.3888888888888889E-3</v>
      </c>
      <c r="P44" s="268">
        <f>O44</f>
        <v>1.3888888888888889E-3</v>
      </c>
      <c r="Q44" s="36">
        <v>0</v>
      </c>
      <c r="R44" s="36">
        <v>0</v>
      </c>
      <c r="S44" s="36">
        <v>1</v>
      </c>
      <c r="T44" s="36">
        <v>0</v>
      </c>
      <c r="V44" s="36" t="s">
        <v>412</v>
      </c>
      <c r="W44" s="36" t="s">
        <v>413</v>
      </c>
    </row>
    <row r="45" spans="1:23">
      <c r="A45" s="32" t="s">
        <v>288</v>
      </c>
      <c r="B45" s="32" t="s">
        <v>288</v>
      </c>
      <c r="C45" s="60" t="s">
        <v>414</v>
      </c>
      <c r="D45" s="36" t="s">
        <v>415</v>
      </c>
      <c r="E45" s="60">
        <v>2006</v>
      </c>
      <c r="F45" s="60" t="s">
        <v>290</v>
      </c>
      <c r="G45" s="60" t="s">
        <v>263</v>
      </c>
      <c r="H45" s="60" t="s">
        <v>416</v>
      </c>
      <c r="I45" s="36">
        <f>PI()*0.075^2</f>
        <v>1.7671458676442587E-2</v>
      </c>
      <c r="J45" s="36">
        <v>37</v>
      </c>
      <c r="K45" s="36" t="s">
        <v>417</v>
      </c>
      <c r="L45" s="64">
        <f t="shared" si="1"/>
        <v>6.5384397102837574E-5</v>
      </c>
      <c r="M45" s="36">
        <f>5/(60*24)</f>
        <v>3.472222222222222E-3</v>
      </c>
      <c r="N45" s="36">
        <v>1</v>
      </c>
      <c r="O45" s="36">
        <f>M45*60</f>
        <v>0.20833333333333331</v>
      </c>
      <c r="P45" s="36">
        <f>DATEDIF("1/4/2001", "15/5/2002", "d")</f>
        <v>409</v>
      </c>
      <c r="Q45" s="36">
        <v>0</v>
      </c>
      <c r="R45" s="36">
        <v>1</v>
      </c>
      <c r="S45" s="36">
        <v>0</v>
      </c>
      <c r="T45" s="36">
        <v>1</v>
      </c>
      <c r="V45" s="36" t="s">
        <v>418</v>
      </c>
      <c r="W45" s="36" t="s">
        <v>419</v>
      </c>
    </row>
    <row r="46" spans="1:23">
      <c r="A46" s="32" t="s">
        <v>288</v>
      </c>
      <c r="B46" s="32" t="s">
        <v>288</v>
      </c>
      <c r="C46" s="60" t="s">
        <v>414</v>
      </c>
      <c r="D46" s="36" t="s">
        <v>415</v>
      </c>
      <c r="E46" s="60">
        <v>2006</v>
      </c>
      <c r="F46" s="60" t="s">
        <v>290</v>
      </c>
      <c r="G46" s="60" t="s">
        <v>263</v>
      </c>
      <c r="H46" s="60" t="s">
        <v>416</v>
      </c>
      <c r="I46" s="36">
        <f>PI()*0.025^2</f>
        <v>1.9634954084936209E-3</v>
      </c>
      <c r="J46" s="36">
        <v>158</v>
      </c>
      <c r="K46" s="36" t="s">
        <v>417</v>
      </c>
      <c r="L46" s="64">
        <f t="shared" si="1"/>
        <v>3.1023227454199211E-5</v>
      </c>
      <c r="M46" s="36">
        <f>10/(60*24)</f>
        <v>6.9444444444444441E-3</v>
      </c>
      <c r="N46" s="36">
        <f>AVERAGE(3, 5)</f>
        <v>4</v>
      </c>
      <c r="O46" s="36">
        <f>3*M46</f>
        <v>2.0833333333333332E-2</v>
      </c>
      <c r="P46" s="36">
        <f>DATEDIF("1/4/2001", "15/5/2002", "d")</f>
        <v>409</v>
      </c>
      <c r="Q46" s="36">
        <v>0</v>
      </c>
      <c r="R46" s="36">
        <v>2</v>
      </c>
      <c r="S46" s="36">
        <v>0</v>
      </c>
      <c r="T46" s="36">
        <v>1</v>
      </c>
      <c r="V46" s="36" t="s">
        <v>418</v>
      </c>
    </row>
    <row r="47" spans="1:23">
      <c r="A47" s="32" t="s">
        <v>288</v>
      </c>
      <c r="B47" s="32" t="s">
        <v>288</v>
      </c>
      <c r="C47" s="60" t="s">
        <v>343</v>
      </c>
      <c r="D47" s="36" t="s">
        <v>420</v>
      </c>
      <c r="E47" s="60">
        <v>2009</v>
      </c>
      <c r="F47" s="60" t="s">
        <v>290</v>
      </c>
      <c r="G47" s="60" t="s">
        <v>421</v>
      </c>
      <c r="H47" s="60" t="s">
        <v>422</v>
      </c>
      <c r="I47" s="36">
        <f>PI()*0.005^2</f>
        <v>7.8539816339744827E-5</v>
      </c>
      <c r="J47" s="36">
        <f>5*3+1*3+4*3</f>
        <v>30</v>
      </c>
      <c r="K47" s="36">
        <f>1663+450</f>
        <v>2113</v>
      </c>
      <c r="L47" s="61">
        <f>I47*J47</f>
        <v>2.3561944901923449E-3</v>
      </c>
      <c r="M47" s="36">
        <f>1/(60*24)</f>
        <v>6.9444444444444447E-4</v>
      </c>
      <c r="N47" s="36">
        <v>0</v>
      </c>
      <c r="O47" s="36">
        <f>M47</f>
        <v>6.9444444444444447E-4</v>
      </c>
      <c r="P47" s="268">
        <f>O47</f>
        <v>6.9444444444444447E-4</v>
      </c>
      <c r="Q47" s="36">
        <v>0</v>
      </c>
      <c r="R47" s="36">
        <v>1</v>
      </c>
      <c r="S47" s="36">
        <v>1</v>
      </c>
      <c r="T47" s="36">
        <v>0</v>
      </c>
      <c r="V47" s="36" t="s">
        <v>423</v>
      </c>
      <c r="W47" s="36" t="s">
        <v>424</v>
      </c>
    </row>
    <row r="48" spans="1:23">
      <c r="A48" s="32" t="s">
        <v>288</v>
      </c>
      <c r="B48" s="32" t="s">
        <v>288</v>
      </c>
      <c r="C48" s="60" t="s">
        <v>425</v>
      </c>
      <c r="D48" s="60" t="s">
        <v>426</v>
      </c>
      <c r="E48" s="60">
        <v>2010</v>
      </c>
      <c r="F48" s="60" t="s">
        <v>290</v>
      </c>
      <c r="G48" s="60" t="s">
        <v>427</v>
      </c>
      <c r="H48" s="60" t="s">
        <v>428</v>
      </c>
      <c r="I48" s="60">
        <f>201</f>
        <v>201</v>
      </c>
      <c r="J48" s="60">
        <v>5</v>
      </c>
      <c r="K48" s="55">
        <f>(PI()*100^2)/10000</f>
        <v>3.1415926535897931</v>
      </c>
      <c r="L48" s="65">
        <f t="shared" ref="L48:L57" si="4">(I48*J48)/10000</f>
        <v>0.10050000000000001</v>
      </c>
      <c r="M48" s="60">
        <f>60/(24*60)</f>
        <v>4.1666666666666664E-2</v>
      </c>
      <c r="N48" s="60">
        <f>365</f>
        <v>365</v>
      </c>
      <c r="O48" s="60">
        <f>M48*3</f>
        <v>0.125</v>
      </c>
      <c r="P48" s="60">
        <f>DATEDIF("1/7/2005", "1/7/2007", "d")</f>
        <v>730</v>
      </c>
      <c r="Q48" s="60">
        <v>1</v>
      </c>
      <c r="R48" s="60">
        <v>2</v>
      </c>
      <c r="S48" s="60">
        <v>0</v>
      </c>
      <c r="T48" s="60">
        <v>1</v>
      </c>
      <c r="U48" s="60" t="s">
        <v>429</v>
      </c>
      <c r="V48" s="60" t="s">
        <v>430</v>
      </c>
      <c r="W48" s="60" t="s">
        <v>431</v>
      </c>
    </row>
    <row r="49" spans="1:23">
      <c r="A49" s="32" t="s">
        <v>288</v>
      </c>
      <c r="B49" s="32" t="s">
        <v>288</v>
      </c>
      <c r="C49" s="60" t="s">
        <v>425</v>
      </c>
      <c r="D49" s="36" t="s">
        <v>426</v>
      </c>
      <c r="E49" s="60">
        <v>2010</v>
      </c>
      <c r="F49" s="38" t="s">
        <v>303</v>
      </c>
      <c r="G49" s="60" t="s">
        <v>427</v>
      </c>
      <c r="H49" s="60" t="s">
        <v>428</v>
      </c>
      <c r="I49" s="34">
        <f>PI()*0.005^2</f>
        <v>7.8539816339744827E-5</v>
      </c>
      <c r="J49" s="36">
        <v>1</v>
      </c>
      <c r="K49" s="55">
        <f>(PI()*80^2)/10000</f>
        <v>2.0106192982974678</v>
      </c>
      <c r="L49" s="65">
        <f t="shared" si="4"/>
        <v>7.8539816339744827E-9</v>
      </c>
      <c r="M49" s="36">
        <f>1/(60*60*24)</f>
        <v>1.1574074074074073E-5</v>
      </c>
      <c r="N49" s="36">
        <f>10/(60*60*24)</f>
        <v>1.1574074074074075E-4</v>
      </c>
      <c r="O49" s="38">
        <f>(((265*3)*(24*3600))*0.1) / (24*3600)</f>
        <v>79.5</v>
      </c>
      <c r="P49" s="60">
        <f>365*3</f>
        <v>1095</v>
      </c>
      <c r="Q49" s="36">
        <v>0</v>
      </c>
      <c r="R49" s="36">
        <v>0</v>
      </c>
      <c r="S49" s="36">
        <v>2</v>
      </c>
      <c r="T49" s="36">
        <v>0</v>
      </c>
      <c r="U49" s="60" t="s">
        <v>429</v>
      </c>
      <c r="V49" s="36" t="s">
        <v>432</v>
      </c>
      <c r="W49" s="36" t="s">
        <v>433</v>
      </c>
    </row>
    <row r="50" spans="1:23">
      <c r="A50" s="32" t="s">
        <v>288</v>
      </c>
      <c r="B50" s="32" t="s">
        <v>288</v>
      </c>
      <c r="C50" s="60" t="s">
        <v>425</v>
      </c>
      <c r="D50" s="36" t="s">
        <v>426</v>
      </c>
      <c r="E50" s="60">
        <v>2010</v>
      </c>
      <c r="F50" s="60" t="s">
        <v>290</v>
      </c>
      <c r="G50" s="60" t="s">
        <v>427</v>
      </c>
      <c r="H50" s="60" t="s">
        <v>428</v>
      </c>
      <c r="I50" s="36">
        <f>0.3*10000</f>
        <v>3000</v>
      </c>
      <c r="J50" s="36">
        <v>1</v>
      </c>
      <c r="K50" s="55">
        <v>0.3</v>
      </c>
      <c r="L50" s="65">
        <f t="shared" si="4"/>
        <v>0.3</v>
      </c>
      <c r="M50" s="60">
        <f>60/(24*60)</f>
        <v>4.1666666666666664E-2</v>
      </c>
      <c r="N50" s="60">
        <v>0</v>
      </c>
      <c r="O50" s="60">
        <f>M50</f>
        <v>4.1666666666666664E-2</v>
      </c>
      <c r="P50" s="36">
        <v>1</v>
      </c>
      <c r="Q50" s="36">
        <v>1</v>
      </c>
      <c r="R50" s="36">
        <v>2</v>
      </c>
      <c r="S50" s="36">
        <v>0</v>
      </c>
      <c r="T50" s="36">
        <v>1</v>
      </c>
      <c r="V50" s="36" t="s">
        <v>434</v>
      </c>
      <c r="W50" s="36" t="s">
        <v>435</v>
      </c>
    </row>
    <row r="51" spans="1:23">
      <c r="A51" s="32" t="s">
        <v>288</v>
      </c>
      <c r="B51" s="32" t="s">
        <v>288</v>
      </c>
      <c r="C51" s="60" t="s">
        <v>425</v>
      </c>
      <c r="D51" s="36" t="s">
        <v>426</v>
      </c>
      <c r="E51" s="60">
        <v>2010</v>
      </c>
      <c r="F51" s="60" t="s">
        <v>290</v>
      </c>
      <c r="G51" s="60" t="s">
        <v>427</v>
      </c>
      <c r="H51" s="60" t="s">
        <v>428</v>
      </c>
      <c r="I51" s="36">
        <f>0.01*0.05</f>
        <v>5.0000000000000001E-4</v>
      </c>
      <c r="J51" s="36">
        <v>36</v>
      </c>
      <c r="K51" s="55">
        <f>(PI()*80^2)/10000</f>
        <v>2.0106192982974678</v>
      </c>
      <c r="L51" s="65">
        <f t="shared" si="4"/>
        <v>1.8000000000000001E-6</v>
      </c>
      <c r="M51" s="60">
        <f>15/(60*24)</f>
        <v>1.0416666666666666E-2</v>
      </c>
      <c r="N51" s="60">
        <v>0</v>
      </c>
      <c r="O51" s="60">
        <f>M51</f>
        <v>1.0416666666666666E-2</v>
      </c>
      <c r="P51" s="36">
        <v>1</v>
      </c>
      <c r="Q51" s="36">
        <v>1</v>
      </c>
      <c r="R51" s="36">
        <v>0</v>
      </c>
      <c r="S51" s="36">
        <v>1</v>
      </c>
      <c r="T51" s="36">
        <v>1</v>
      </c>
      <c r="V51" s="36" t="s">
        <v>434</v>
      </c>
      <c r="W51" s="36" t="s">
        <v>436</v>
      </c>
    </row>
    <row r="52" spans="1:23">
      <c r="A52" s="32" t="s">
        <v>288</v>
      </c>
      <c r="B52" s="32" t="s">
        <v>288</v>
      </c>
      <c r="C52" s="60" t="s">
        <v>425</v>
      </c>
      <c r="D52" s="36" t="s">
        <v>426</v>
      </c>
      <c r="E52" s="60">
        <v>2010</v>
      </c>
      <c r="F52" s="60" t="s">
        <v>290</v>
      </c>
      <c r="G52" s="60" t="s">
        <v>427</v>
      </c>
      <c r="H52" s="60" t="s">
        <v>428</v>
      </c>
      <c r="I52" s="36">
        <v>0.42</v>
      </c>
      <c r="J52" s="36">
        <v>10</v>
      </c>
      <c r="K52" s="55">
        <f>(PI()*100^2)/10000</f>
        <v>3.1415926535897931</v>
      </c>
      <c r="L52" s="65">
        <f t="shared" si="4"/>
        <v>4.2000000000000002E-4</v>
      </c>
      <c r="M52" s="36">
        <v>30</v>
      </c>
      <c r="N52" s="36">
        <v>30</v>
      </c>
      <c r="O52" s="60">
        <f>15*M52</f>
        <v>450</v>
      </c>
      <c r="P52" s="60">
        <f>DATEDIF("1/5/2005", "1/10/2007", "d")</f>
        <v>883</v>
      </c>
      <c r="Q52" s="36">
        <v>0</v>
      </c>
      <c r="R52" s="36">
        <v>0</v>
      </c>
      <c r="S52" s="36">
        <v>1</v>
      </c>
      <c r="T52" s="36">
        <v>0</v>
      </c>
      <c r="U52" s="60" t="s">
        <v>429</v>
      </c>
      <c r="V52" s="36" t="s">
        <v>437</v>
      </c>
      <c r="W52" s="36" t="s">
        <v>438</v>
      </c>
    </row>
    <row r="53" spans="1:23">
      <c r="A53" s="32" t="s">
        <v>288</v>
      </c>
      <c r="B53" s="32" t="s">
        <v>288</v>
      </c>
      <c r="C53" s="60" t="s">
        <v>425</v>
      </c>
      <c r="D53" s="36" t="s">
        <v>426</v>
      </c>
      <c r="E53" s="60">
        <v>2010</v>
      </c>
      <c r="F53" s="60" t="s">
        <v>290</v>
      </c>
      <c r="G53" s="60" t="s">
        <v>427</v>
      </c>
      <c r="H53" s="60" t="s">
        <v>428</v>
      </c>
      <c r="I53" s="36">
        <f>PI()*0.1^2</f>
        <v>3.1415926535897934E-2</v>
      </c>
      <c r="J53" s="36">
        <f>5+6+71</f>
        <v>82</v>
      </c>
      <c r="K53" s="36">
        <v>0.3</v>
      </c>
      <c r="L53" s="65">
        <f t="shared" si="4"/>
        <v>2.5761059759436307E-4</v>
      </c>
      <c r="M53" s="36">
        <f>30/(60*24)</f>
        <v>2.0833333333333332E-2</v>
      </c>
      <c r="N53" s="36">
        <f>M53</f>
        <v>2.0833333333333332E-2</v>
      </c>
      <c r="O53" s="36">
        <f>DATEDIF("7/5/2006","30/9/2006","d")*M53</f>
        <v>3.0416666666666665</v>
      </c>
      <c r="P53" s="36">
        <f>DATEDIF("7/5/2006","30/9/2006","d")</f>
        <v>146</v>
      </c>
      <c r="Q53" s="36">
        <v>0</v>
      </c>
      <c r="R53" s="36">
        <v>0</v>
      </c>
      <c r="S53" s="36">
        <v>1</v>
      </c>
      <c r="T53" s="36">
        <v>0</v>
      </c>
      <c r="V53" s="36" t="s">
        <v>439</v>
      </c>
      <c r="W53" s="36" t="s">
        <v>440</v>
      </c>
    </row>
    <row r="54" spans="1:23">
      <c r="A54" s="32" t="s">
        <v>288</v>
      </c>
      <c r="B54" s="32" t="s">
        <v>288</v>
      </c>
      <c r="C54" s="60" t="s">
        <v>425</v>
      </c>
      <c r="D54" s="36" t="s">
        <v>426</v>
      </c>
      <c r="E54" s="60">
        <v>2010</v>
      </c>
      <c r="F54" s="60" t="s">
        <v>290</v>
      </c>
      <c r="G54" s="60" t="s">
        <v>427</v>
      </c>
      <c r="H54" s="60" t="s">
        <v>428</v>
      </c>
      <c r="I54" s="36">
        <f>((0.1*0.1)*45+(0.01*0.02)*6+(0.1*0.1)*3+(0.005*0.4)*3)/57</f>
        <v>8.5473684210526334E-3</v>
      </c>
      <c r="J54" s="36">
        <f>45+6+3+3</f>
        <v>57</v>
      </c>
      <c r="K54" s="36">
        <v>0.3</v>
      </c>
      <c r="L54" s="65">
        <f t="shared" si="4"/>
        <v>4.8720000000000008E-5</v>
      </c>
      <c r="M54" s="60">
        <f>5/(60*24)</f>
        <v>3.472222222222222E-3</v>
      </c>
      <c r="N54" s="36">
        <f>30</f>
        <v>30</v>
      </c>
      <c r="O54" s="36">
        <f>5*M54</f>
        <v>1.7361111111111112E-2</v>
      </c>
      <c r="P54" s="36">
        <f>DATEDIF("7/5/2006","30/9/2006","d")</f>
        <v>146</v>
      </c>
      <c r="Q54" s="36">
        <v>1</v>
      </c>
      <c r="R54" s="36">
        <v>0</v>
      </c>
      <c r="S54" s="36">
        <v>2</v>
      </c>
      <c r="T54" s="36">
        <v>0</v>
      </c>
      <c r="V54" s="36" t="s">
        <v>441</v>
      </c>
      <c r="W54" s="36" t="s">
        <v>442</v>
      </c>
    </row>
    <row r="55" spans="1:23">
      <c r="A55" s="32" t="s">
        <v>288</v>
      </c>
      <c r="B55" s="32" t="s">
        <v>288</v>
      </c>
      <c r="C55" s="60" t="s">
        <v>425</v>
      </c>
      <c r="D55" s="36" t="s">
        <v>426</v>
      </c>
      <c r="E55" s="60">
        <v>2010</v>
      </c>
      <c r="F55" s="38" t="s">
        <v>303</v>
      </c>
      <c r="G55" s="60" t="s">
        <v>427</v>
      </c>
      <c r="H55" s="60" t="s">
        <v>428</v>
      </c>
      <c r="I55" s="36">
        <f>0.25*0.37</f>
        <v>9.2499999999999999E-2</v>
      </c>
      <c r="J55" s="36">
        <v>1</v>
      </c>
      <c r="K55" s="55">
        <f>(PI()*80^2)/10000</f>
        <v>2.0106192982974678</v>
      </c>
      <c r="L55" s="65">
        <f t="shared" si="4"/>
        <v>9.2499999999999995E-6</v>
      </c>
      <c r="M55" s="36">
        <f>30/(60*24)</f>
        <v>2.0833333333333332E-2</v>
      </c>
      <c r="N55" s="36">
        <f>M55</f>
        <v>2.0833333333333332E-2</v>
      </c>
      <c r="O55" s="36">
        <f>DATEDIF("1/11/2004","31/12/2007","d")*N55</f>
        <v>24.0625</v>
      </c>
      <c r="P55" s="36">
        <f>DATEDIF("1/11/2004","31/12/2007","d")</f>
        <v>1155</v>
      </c>
      <c r="Q55" s="36">
        <v>0</v>
      </c>
      <c r="R55" s="36">
        <v>0</v>
      </c>
      <c r="S55" s="36">
        <v>1</v>
      </c>
      <c r="T55" s="36">
        <v>0</v>
      </c>
      <c r="U55" s="60" t="s">
        <v>429</v>
      </c>
      <c r="V55" s="36" t="s">
        <v>443</v>
      </c>
      <c r="W55" s="36" t="s">
        <v>444</v>
      </c>
    </row>
    <row r="56" spans="1:23">
      <c r="A56" s="32" t="s">
        <v>288</v>
      </c>
      <c r="B56" s="32" t="s">
        <v>288</v>
      </c>
      <c r="C56" s="60" t="s">
        <v>425</v>
      </c>
      <c r="D56" s="36" t="s">
        <v>426</v>
      </c>
      <c r="E56" s="60">
        <v>2010</v>
      </c>
      <c r="F56" s="60" t="s">
        <v>290</v>
      </c>
      <c r="G56" s="60" t="s">
        <v>427</v>
      </c>
      <c r="H56" s="60" t="s">
        <v>428</v>
      </c>
      <c r="I56" s="36">
        <v>1</v>
      </c>
      <c r="J56" s="36">
        <v>15</v>
      </c>
      <c r="K56" s="55">
        <f>(PI()*80^2)/10000</f>
        <v>2.0106192982974678</v>
      </c>
      <c r="L56" s="65">
        <f t="shared" si="4"/>
        <v>1.5E-3</v>
      </c>
      <c r="M56" s="36">
        <f>10/(60*24)</f>
        <v>6.9444444444444441E-3</v>
      </c>
      <c r="N56" s="36">
        <v>0</v>
      </c>
      <c r="O56" s="36">
        <f>M56</f>
        <v>6.9444444444444441E-3</v>
      </c>
      <c r="P56" s="268">
        <f>O56</f>
        <v>6.9444444444444441E-3</v>
      </c>
      <c r="Q56" s="36">
        <v>1</v>
      </c>
      <c r="R56" s="36">
        <v>1</v>
      </c>
      <c r="S56" s="36">
        <v>0</v>
      </c>
      <c r="T56" s="36">
        <v>1</v>
      </c>
      <c r="V56" s="36" t="s">
        <v>445</v>
      </c>
      <c r="W56" s="36" t="s">
        <v>446</v>
      </c>
    </row>
    <row r="57" spans="1:23">
      <c r="A57" s="32" t="s">
        <v>288</v>
      </c>
      <c r="B57" s="32" t="s">
        <v>288</v>
      </c>
      <c r="C57" s="60" t="s">
        <v>425</v>
      </c>
      <c r="D57" s="36" t="s">
        <v>426</v>
      </c>
      <c r="E57" s="60">
        <v>2010</v>
      </c>
      <c r="F57" s="38" t="s">
        <v>303</v>
      </c>
      <c r="G57" s="60" t="s">
        <v>427</v>
      </c>
      <c r="H57" s="60" t="s">
        <v>428</v>
      </c>
      <c r="I57" s="60">
        <f>201</f>
        <v>201</v>
      </c>
      <c r="J57" s="60">
        <v>5</v>
      </c>
      <c r="K57" s="55">
        <f>K52</f>
        <v>3.1415926535897931</v>
      </c>
      <c r="L57" s="65">
        <f t="shared" si="4"/>
        <v>0.10050000000000001</v>
      </c>
      <c r="M57" s="36">
        <f>60/(60*24)</f>
        <v>4.1666666666666664E-2</v>
      </c>
      <c r="N57" s="268">
        <v>50</v>
      </c>
      <c r="O57" s="36">
        <f>M57*3</f>
        <v>0.125</v>
      </c>
      <c r="P57" s="268">
        <f>N57*2</f>
        <v>100</v>
      </c>
      <c r="Q57" s="36">
        <v>0</v>
      </c>
      <c r="R57" s="36">
        <v>1</v>
      </c>
      <c r="S57" s="36">
        <v>0</v>
      </c>
      <c r="T57" s="36">
        <v>0</v>
      </c>
      <c r="V57" s="36" t="s">
        <v>447</v>
      </c>
      <c r="W57" s="36" t="s">
        <v>448</v>
      </c>
    </row>
    <row r="58" spans="1:23">
      <c r="A58" s="32" t="s">
        <v>288</v>
      </c>
      <c r="B58" s="32" t="s">
        <v>288</v>
      </c>
      <c r="C58" s="60" t="s">
        <v>449</v>
      </c>
      <c r="D58" s="36" t="s">
        <v>450</v>
      </c>
      <c r="E58" s="60">
        <v>2013</v>
      </c>
      <c r="F58" s="60" t="s">
        <v>303</v>
      </c>
      <c r="G58" s="60" t="s">
        <v>451</v>
      </c>
      <c r="H58" s="60" t="s">
        <v>452</v>
      </c>
      <c r="I58" s="36">
        <f>3*0.5</f>
        <v>1.5</v>
      </c>
      <c r="J58" s="38">
        <v>460968</v>
      </c>
      <c r="K58" s="38">
        <v>651933677</v>
      </c>
      <c r="L58" s="66">
        <f>(I58*J58)/10000</f>
        <v>69.145200000000003</v>
      </c>
      <c r="M58" s="36">
        <f>1/(60*60*24)</f>
        <v>1.1574074074074073E-5</v>
      </c>
      <c r="N58" s="36">
        <v>1.3159499442782856E-4</v>
      </c>
      <c r="O58" s="36">
        <v>0.19760288065843623</v>
      </c>
      <c r="P58" s="268">
        <f>51/2</f>
        <v>25.5</v>
      </c>
      <c r="Q58" s="36">
        <v>1</v>
      </c>
      <c r="R58" s="36">
        <v>1</v>
      </c>
      <c r="S58" s="36">
        <v>1</v>
      </c>
      <c r="T58" s="36">
        <v>1</v>
      </c>
      <c r="U58" s="63" t="s">
        <v>453</v>
      </c>
      <c r="V58" s="36" t="s">
        <v>454</v>
      </c>
      <c r="W58" s="36" t="s">
        <v>455</v>
      </c>
    </row>
    <row r="59" spans="1:23">
      <c r="A59" s="32" t="s">
        <v>288</v>
      </c>
      <c r="B59" s="32" t="s">
        <v>288</v>
      </c>
      <c r="C59" s="60" t="s">
        <v>333</v>
      </c>
      <c r="D59" s="36" t="s">
        <v>456</v>
      </c>
      <c r="E59" s="60">
        <v>2005</v>
      </c>
      <c r="F59" s="60" t="s">
        <v>290</v>
      </c>
      <c r="G59" s="60" t="s">
        <v>148</v>
      </c>
      <c r="H59" s="60" t="s">
        <v>457</v>
      </c>
      <c r="I59" s="36">
        <f>PI()*0.1^2</f>
        <v>3.1415926535897934E-2</v>
      </c>
      <c r="J59" s="36">
        <f>189</f>
        <v>189</v>
      </c>
      <c r="K59" s="36">
        <v>3</v>
      </c>
      <c r="L59" s="65">
        <f>(I59*J59)/10000</f>
        <v>5.9376101152847094E-4</v>
      </c>
      <c r="M59" s="36">
        <f>10/(60*24)</f>
        <v>6.9444444444444441E-3</v>
      </c>
      <c r="N59" s="36">
        <f>DATEDIF("1/1/1998","1/1/2003","d")</f>
        <v>1826</v>
      </c>
      <c r="O59" s="38">
        <f>M59*2</f>
        <v>1.3888888888888888E-2</v>
      </c>
      <c r="P59" s="268">
        <f>N59</f>
        <v>1826</v>
      </c>
      <c r="Q59" s="36">
        <v>1</v>
      </c>
      <c r="R59" s="36">
        <v>2</v>
      </c>
      <c r="S59" s="36">
        <v>1</v>
      </c>
      <c r="T59" s="36">
        <v>0</v>
      </c>
      <c r="U59" s="36" t="s">
        <v>458</v>
      </c>
      <c r="V59" s="36" t="s">
        <v>447</v>
      </c>
      <c r="W59" s="36" t="s">
        <v>459</v>
      </c>
    </row>
    <row r="60" spans="1:23">
      <c r="A60" s="32" t="s">
        <v>288</v>
      </c>
      <c r="B60" s="32" t="s">
        <v>288</v>
      </c>
      <c r="C60" s="60" t="s">
        <v>333</v>
      </c>
      <c r="D60" s="36" t="s">
        <v>456</v>
      </c>
      <c r="E60" s="60">
        <v>2005</v>
      </c>
      <c r="F60" s="60" t="s">
        <v>290</v>
      </c>
      <c r="G60" s="60" t="s">
        <v>148</v>
      </c>
      <c r="H60" s="60" t="s">
        <v>457</v>
      </c>
      <c r="I60" s="36">
        <f>PI()*0.1^2</f>
        <v>3.1415926535897934E-2</v>
      </c>
      <c r="J60" s="36">
        <f>64+168</f>
        <v>232</v>
      </c>
      <c r="K60" s="36">
        <v>3</v>
      </c>
      <c r="L60" s="65">
        <f>(I60*J60)/10000</f>
        <v>7.2884949563283203E-4</v>
      </c>
      <c r="M60" s="36">
        <f>10/(60*24)</f>
        <v>6.9444444444444441E-3</v>
      </c>
      <c r="N60" s="36">
        <v>0</v>
      </c>
      <c r="O60" s="38">
        <f>M60</f>
        <v>6.9444444444444441E-3</v>
      </c>
      <c r="P60" s="268">
        <f>O60</f>
        <v>6.9444444444444441E-3</v>
      </c>
      <c r="Q60" s="36">
        <v>1</v>
      </c>
      <c r="R60" s="36">
        <v>1</v>
      </c>
      <c r="S60" s="36">
        <v>1</v>
      </c>
      <c r="T60" s="36">
        <v>1</v>
      </c>
      <c r="U60" s="36" t="s">
        <v>458</v>
      </c>
      <c r="V60" s="36" t="s">
        <v>460</v>
      </c>
      <c r="W60" s="36" t="s">
        <v>461</v>
      </c>
    </row>
    <row r="61" spans="1:23">
      <c r="A61" s="32" t="s">
        <v>288</v>
      </c>
      <c r="B61" s="32" t="s">
        <v>288</v>
      </c>
      <c r="C61" s="60" t="s">
        <v>425</v>
      </c>
      <c r="D61" s="36" t="s">
        <v>462</v>
      </c>
      <c r="E61" s="60">
        <v>2012</v>
      </c>
      <c r="F61" s="60" t="s">
        <v>290</v>
      </c>
      <c r="G61" s="60" t="s">
        <v>463</v>
      </c>
      <c r="H61" s="60" t="s">
        <v>464</v>
      </c>
      <c r="I61" s="36">
        <f>AVERAGE(0.012, 0.05)*10000</f>
        <v>310</v>
      </c>
      <c r="J61" s="36">
        <v>60</v>
      </c>
      <c r="K61" s="36">
        <v>373456</v>
      </c>
      <c r="L61" s="65">
        <f>(I61*J61)/10000</f>
        <v>1.86</v>
      </c>
      <c r="M61" s="36">
        <f>30/(60*24)</f>
        <v>2.0833333333333332E-2</v>
      </c>
      <c r="N61" s="36">
        <v>365</v>
      </c>
      <c r="O61" s="36">
        <f>M61*J61*3</f>
        <v>3.75</v>
      </c>
      <c r="P61" s="36">
        <f>DATEDIF("1/6/2009","31/8/2011","d")</f>
        <v>821</v>
      </c>
      <c r="Q61" s="36">
        <v>1</v>
      </c>
      <c r="R61" s="36">
        <v>2</v>
      </c>
      <c r="S61" s="36">
        <v>0</v>
      </c>
      <c r="T61" s="36">
        <v>0</v>
      </c>
      <c r="V61" s="36" t="s">
        <v>465</v>
      </c>
      <c r="W61" s="36" t="s">
        <v>466</v>
      </c>
    </row>
    <row r="62" spans="1:23">
      <c r="A62" s="32" t="s">
        <v>288</v>
      </c>
      <c r="B62" s="32" t="s">
        <v>288</v>
      </c>
      <c r="C62" s="60" t="s">
        <v>425</v>
      </c>
      <c r="D62" s="36" t="s">
        <v>462</v>
      </c>
      <c r="E62" s="60">
        <v>2012</v>
      </c>
      <c r="F62" s="60" t="s">
        <v>55</v>
      </c>
      <c r="G62" s="60" t="s">
        <v>463</v>
      </c>
      <c r="H62" s="60" t="s">
        <v>464</v>
      </c>
      <c r="I62" s="36">
        <f>30*30</f>
        <v>900</v>
      </c>
      <c r="J62" s="38">
        <f>6600 * 6087</f>
        <v>40174200</v>
      </c>
      <c r="K62" s="38">
        <v>676505</v>
      </c>
      <c r="L62" s="63">
        <v>676505</v>
      </c>
      <c r="M62" s="36">
        <f>1/(60*60*24)</f>
        <v>1.1574074074074073E-5</v>
      </c>
      <c r="N62" s="36">
        <v>0</v>
      </c>
      <c r="O62" s="36">
        <f>M62</f>
        <v>1.1574074074074073E-5</v>
      </c>
      <c r="P62" s="268">
        <f>O62</f>
        <v>1.1574074074074073E-5</v>
      </c>
      <c r="Q62" s="36">
        <v>0</v>
      </c>
      <c r="R62" s="36">
        <v>2</v>
      </c>
      <c r="S62" s="36">
        <v>0</v>
      </c>
      <c r="T62" s="36">
        <v>0</v>
      </c>
      <c r="W62" s="36" t="s">
        <v>467</v>
      </c>
    </row>
    <row r="63" spans="1:23">
      <c r="A63" s="32" t="s">
        <v>288</v>
      </c>
      <c r="B63" s="32" t="s">
        <v>288</v>
      </c>
      <c r="C63" s="60" t="s">
        <v>87</v>
      </c>
      <c r="D63" s="36" t="s">
        <v>468</v>
      </c>
      <c r="E63" s="60">
        <v>2005</v>
      </c>
      <c r="F63" s="60" t="s">
        <v>290</v>
      </c>
      <c r="G63" s="60" t="s">
        <v>469</v>
      </c>
      <c r="H63" s="60" t="s">
        <v>470</v>
      </c>
      <c r="I63" s="36">
        <f>PI()*0.09^2</f>
        <v>2.5446900494077322E-2</v>
      </c>
      <c r="J63" s="36">
        <v>7</v>
      </c>
      <c r="K63" s="67">
        <v>5595</v>
      </c>
      <c r="L63" s="65">
        <f t="shared" ref="L63:L84" si="5">(I63*J63)/10000</f>
        <v>1.7812830345854125E-5</v>
      </c>
      <c r="M63" s="36">
        <v>1</v>
      </c>
      <c r="N63" s="36">
        <v>30</v>
      </c>
      <c r="O63" s="36">
        <f>M63*19</f>
        <v>19</v>
      </c>
      <c r="P63" s="60">
        <f>DATEDIF("1/3/2001", "30/6/2002", "d")</f>
        <v>486</v>
      </c>
      <c r="Q63" s="36">
        <v>0</v>
      </c>
      <c r="R63" s="36">
        <v>0</v>
      </c>
      <c r="S63" s="36">
        <v>1</v>
      </c>
      <c r="T63" s="36">
        <v>0</v>
      </c>
      <c r="U63" s="36" t="s">
        <v>471</v>
      </c>
      <c r="V63" s="36" t="s">
        <v>472</v>
      </c>
      <c r="W63" s="36" t="s">
        <v>473</v>
      </c>
    </row>
    <row r="64" spans="1:23">
      <c r="A64" s="32" t="s">
        <v>288</v>
      </c>
      <c r="B64" s="32" t="s">
        <v>288</v>
      </c>
      <c r="C64" s="60" t="s">
        <v>87</v>
      </c>
      <c r="D64" s="36" t="s">
        <v>468</v>
      </c>
      <c r="E64" s="60">
        <v>2005</v>
      </c>
      <c r="F64" s="60" t="s">
        <v>290</v>
      </c>
      <c r="G64" s="60" t="s">
        <v>469</v>
      </c>
      <c r="H64" s="60" t="s">
        <v>470</v>
      </c>
      <c r="I64" s="36">
        <f>PI()*0.375^2</f>
        <v>0.44178646691106466</v>
      </c>
      <c r="J64" s="268">
        <f>(32+(11*9))/10</f>
        <v>13.1</v>
      </c>
      <c r="K64" s="268">
        <f>5.2^2*100*11</f>
        <v>29744.000000000004</v>
      </c>
      <c r="L64" s="65">
        <f t="shared" si="5"/>
        <v>5.7874027165349473E-4</v>
      </c>
      <c r="M64" s="36">
        <f>(18*2)*(1/(60*60*24))</f>
        <v>4.1666666666666664E-4</v>
      </c>
      <c r="N64" s="36">
        <v>13.11</v>
      </c>
      <c r="O64" s="36">
        <f>M64</f>
        <v>4.1666666666666664E-4</v>
      </c>
      <c r="P64" s="268">
        <f>DATEDIF("1/3/2002", "27/6/2002", "d")</f>
        <v>118</v>
      </c>
      <c r="Q64" s="36">
        <v>0</v>
      </c>
      <c r="R64" s="36">
        <v>0</v>
      </c>
      <c r="S64" s="36">
        <v>2</v>
      </c>
      <c r="T64" s="36">
        <v>0</v>
      </c>
      <c r="V64" s="36" t="s">
        <v>460</v>
      </c>
      <c r="W64" s="268" t="s">
        <v>900</v>
      </c>
    </row>
    <row r="65" spans="1:23">
      <c r="A65" s="32" t="s">
        <v>288</v>
      </c>
      <c r="B65" s="32" t="s">
        <v>288</v>
      </c>
      <c r="C65" s="60" t="s">
        <v>87</v>
      </c>
      <c r="D65" s="36" t="s">
        <v>468</v>
      </c>
      <c r="E65" s="60">
        <v>2005</v>
      </c>
      <c r="F65" s="268" t="s">
        <v>55</v>
      </c>
      <c r="G65" s="60" t="s">
        <v>469</v>
      </c>
      <c r="H65" s="60" t="s">
        <v>470</v>
      </c>
      <c r="I65" s="270">
        <f>PI()*12.5^2</f>
        <v>490.87385212340519</v>
      </c>
      <c r="J65" s="268">
        <f>(140*2 + 120 + 30)/4</f>
        <v>107.5</v>
      </c>
      <c r="K65" s="268">
        <f>5.2^2*100*11</f>
        <v>29744.000000000004</v>
      </c>
      <c r="L65" s="271">
        <f t="shared" si="5"/>
        <v>5.2768939103266055</v>
      </c>
      <c r="M65" s="68">
        <f>(2/(24*60))*(AVERAGE(18,35,37,20,13,33,33,16)/4)</f>
        <v>8.8975694444444441E-3</v>
      </c>
      <c r="N65" s="269">
        <f>AVERAGE(DATEDIF("1/3/2002", "9/3/2002", "d"), DATEDIF("9/3/2002", "12/3/2002", "d"), DATEDIF("12/3/2002", "25/6/2002", "d"))</f>
        <v>38.666666666666664</v>
      </c>
      <c r="O65" s="272">
        <f>M65*4</f>
        <v>3.5590277777777776E-2</v>
      </c>
      <c r="P65" s="266">
        <f>DATEDIF("1/3/2002", "25/6/2002", "d")</f>
        <v>116</v>
      </c>
      <c r="Q65" s="36">
        <v>0</v>
      </c>
      <c r="R65" s="36">
        <v>0</v>
      </c>
      <c r="S65" s="36">
        <v>1</v>
      </c>
      <c r="T65" s="36">
        <v>0</v>
      </c>
      <c r="V65" s="36" t="s">
        <v>380</v>
      </c>
      <c r="W65" s="36" t="s">
        <v>474</v>
      </c>
    </row>
    <row r="66" spans="1:23">
      <c r="A66" s="32" t="s">
        <v>288</v>
      </c>
      <c r="B66" s="32" t="s">
        <v>288</v>
      </c>
      <c r="C66" s="60" t="s">
        <v>87</v>
      </c>
      <c r="D66" s="36" t="s">
        <v>468</v>
      </c>
      <c r="E66" s="60">
        <v>2005</v>
      </c>
      <c r="F66" s="60" t="s">
        <v>290</v>
      </c>
      <c r="G66" s="60" t="s">
        <v>469</v>
      </c>
      <c r="H66" s="60" t="s">
        <v>470</v>
      </c>
      <c r="I66" s="36">
        <f>PI()*0.005^2</f>
        <v>7.8539816339744827E-5</v>
      </c>
      <c r="J66" s="36">
        <f>5*5*4</f>
        <v>100</v>
      </c>
      <c r="K66" s="36">
        <v>18389</v>
      </c>
      <c r="L66" s="69">
        <f t="shared" si="5"/>
        <v>7.8539816339744833E-7</v>
      </c>
      <c r="M66" s="36">
        <v>1</v>
      </c>
      <c r="N66" s="60">
        <f>AVERAGE(DATEDIF("4/3/2002", "20/6/2002", "d"), DATEDIF("6/3/2002", "22/6/2002", "d"), DATEDIF("8/3/2002", "18/6/2002", "d"), DATEDIF("10/3/2002", "24/6/2002", "d"))</f>
        <v>106</v>
      </c>
      <c r="O66" s="36">
        <f>M66*2</f>
        <v>2</v>
      </c>
      <c r="P66" s="63">
        <f>N66</f>
        <v>106</v>
      </c>
      <c r="Q66" s="36">
        <v>0</v>
      </c>
      <c r="R66" s="36">
        <v>0</v>
      </c>
      <c r="S66" s="36">
        <v>2</v>
      </c>
      <c r="T66" s="36">
        <v>0</v>
      </c>
      <c r="V66" s="36" t="s">
        <v>475</v>
      </c>
      <c r="W66" s="36" t="s">
        <v>476</v>
      </c>
    </row>
    <row r="67" spans="1:23">
      <c r="A67" s="32" t="s">
        <v>288</v>
      </c>
      <c r="B67" s="32" t="s">
        <v>288</v>
      </c>
      <c r="C67" s="60" t="s">
        <v>87</v>
      </c>
      <c r="D67" s="36" t="s">
        <v>468</v>
      </c>
      <c r="E67" s="60">
        <v>2005</v>
      </c>
      <c r="F67" s="60" t="s">
        <v>290</v>
      </c>
      <c r="G67" s="60" t="s">
        <v>469</v>
      </c>
      <c r="H67" s="60" t="s">
        <v>470</v>
      </c>
      <c r="I67" s="36">
        <f>PI()*0.375^2</f>
        <v>0.44178646691106466</v>
      </c>
      <c r="J67" s="36">
        <v>22</v>
      </c>
      <c r="K67" s="36">
        <v>18389</v>
      </c>
      <c r="L67" s="65">
        <f t="shared" si="5"/>
        <v>9.7193022720434234E-4</v>
      </c>
      <c r="M67" s="36">
        <f>(18*2)*(1/(60*60*24))</f>
        <v>4.1666666666666664E-4</v>
      </c>
      <c r="N67" s="60">
        <f>DATEDIF("10/3/2002", "18/6/2002", "d")</f>
        <v>100</v>
      </c>
      <c r="O67" s="49">
        <f>M67*2</f>
        <v>8.3333333333333328E-4</v>
      </c>
      <c r="P67" s="63">
        <f>N67</f>
        <v>100</v>
      </c>
      <c r="Q67" s="36">
        <v>0</v>
      </c>
      <c r="R67" s="36">
        <v>0</v>
      </c>
      <c r="S67" s="36">
        <v>1</v>
      </c>
      <c r="T67" s="36">
        <v>0</v>
      </c>
      <c r="V67" s="36" t="s">
        <v>460</v>
      </c>
      <c r="W67" s="36" t="s">
        <v>477</v>
      </c>
    </row>
    <row r="68" spans="1:23">
      <c r="A68" s="32" t="s">
        <v>288</v>
      </c>
      <c r="B68" s="32" t="s">
        <v>288</v>
      </c>
      <c r="C68" s="60" t="s">
        <v>87</v>
      </c>
      <c r="D68" s="36" t="s">
        <v>468</v>
      </c>
      <c r="E68" s="60">
        <v>2005</v>
      </c>
      <c r="F68" s="60" t="s">
        <v>290</v>
      </c>
      <c r="G68" s="60" t="s">
        <v>469</v>
      </c>
      <c r="H68" s="60" t="s">
        <v>470</v>
      </c>
      <c r="I68" s="36">
        <f>PI()*0.015^2</f>
        <v>7.0685834705770342E-4</v>
      </c>
      <c r="J68" s="49">
        <f>4</f>
        <v>4</v>
      </c>
      <c r="K68" s="36">
        <v>18389</v>
      </c>
      <c r="L68" s="69">
        <f t="shared" si="5"/>
        <v>2.8274333882308138E-7</v>
      </c>
      <c r="M68" s="49">
        <f>10/(60*24)</f>
        <v>6.9444444444444441E-3</v>
      </c>
      <c r="N68" s="60">
        <f>AVERAGE(DATEDIF("4/3/2002", "20/6/2002", "d"), DATEDIF("6/3/2002", "22/6/2002", "d"), DATEDIF("8/3/2002", "18/6/2002", "d"), DATEDIF("10/3/2002", "24/6/2002", "d"))</f>
        <v>106</v>
      </c>
      <c r="O68" s="36">
        <f>M68*2</f>
        <v>1.3888888888888888E-2</v>
      </c>
      <c r="P68" s="63">
        <f>N68</f>
        <v>106</v>
      </c>
      <c r="Q68" s="36">
        <v>0</v>
      </c>
      <c r="R68" s="36">
        <v>0</v>
      </c>
      <c r="S68" s="36">
        <v>1</v>
      </c>
      <c r="T68" s="36">
        <v>0</v>
      </c>
      <c r="V68" s="36" t="s">
        <v>339</v>
      </c>
      <c r="W68" s="36" t="s">
        <v>478</v>
      </c>
    </row>
    <row r="69" spans="1:23">
      <c r="A69" s="32" t="s">
        <v>288</v>
      </c>
      <c r="B69" s="32" t="s">
        <v>288</v>
      </c>
      <c r="C69" s="60" t="s">
        <v>87</v>
      </c>
      <c r="D69" s="36" t="s">
        <v>468</v>
      </c>
      <c r="E69" s="60">
        <v>2005</v>
      </c>
      <c r="F69" s="60" t="s">
        <v>303</v>
      </c>
      <c r="G69" s="60" t="s">
        <v>469</v>
      </c>
      <c r="H69" s="60" t="s">
        <v>470</v>
      </c>
      <c r="I69" s="36">
        <f>PI()*0.015^2</f>
        <v>7.0685834705770342E-4</v>
      </c>
      <c r="J69" s="49">
        <v>4</v>
      </c>
      <c r="K69" s="36">
        <v>18389</v>
      </c>
      <c r="L69" s="69">
        <f t="shared" si="5"/>
        <v>2.8274333882308138E-7</v>
      </c>
      <c r="M69" s="49">
        <f>((60*12)/15)/(60*60*24)</f>
        <v>5.5555555555555556E-4</v>
      </c>
      <c r="N69" s="49">
        <v>106</v>
      </c>
      <c r="O69" s="49">
        <f>M69*2</f>
        <v>1.1111111111111111E-3</v>
      </c>
      <c r="P69" s="63">
        <f>N69</f>
        <v>106</v>
      </c>
      <c r="Q69" s="36">
        <v>0</v>
      </c>
      <c r="R69" s="36">
        <v>0</v>
      </c>
      <c r="S69" s="36">
        <v>1</v>
      </c>
      <c r="T69" s="36">
        <v>0</v>
      </c>
      <c r="V69" s="36" t="s">
        <v>479</v>
      </c>
      <c r="W69" s="36" t="s">
        <v>480</v>
      </c>
    </row>
    <row r="70" spans="1:23">
      <c r="A70" s="32" t="s">
        <v>288</v>
      </c>
      <c r="B70" s="32" t="s">
        <v>288</v>
      </c>
      <c r="C70" s="60" t="s">
        <v>87</v>
      </c>
      <c r="D70" s="36" t="s">
        <v>468</v>
      </c>
      <c r="E70" s="60">
        <v>2005</v>
      </c>
      <c r="F70" s="60" t="s">
        <v>303</v>
      </c>
      <c r="G70" s="60" t="s">
        <v>469</v>
      </c>
      <c r="H70" s="60" t="s">
        <v>470</v>
      </c>
      <c r="I70" s="36">
        <f>PI()*0.1^2</f>
        <v>3.1415926535897934E-2</v>
      </c>
      <c r="J70" s="36">
        <f>60*20</f>
        <v>1200</v>
      </c>
      <c r="K70" s="36">
        <v>18389</v>
      </c>
      <c r="L70" s="69">
        <f t="shared" si="5"/>
        <v>3.7699111843077517E-3</v>
      </c>
      <c r="M70" s="36">
        <f>1/(3600*24)</f>
        <v>1.1574074074074073E-5</v>
      </c>
      <c r="N70" s="49">
        <f>AVERAGE(DATEDIF("4/3/2002", "20/6/2002", "d"), DATEDIF("6/3/2002", "22/6/2002", "d"), DATEDIF("8/3/2002", "18/6/2002", "d"), DATEDIF("10/3/2002", "24/6/2002", "d"))</f>
        <v>106</v>
      </c>
      <c r="O70" s="49">
        <f>M70*10</f>
        <v>1.1574074074074073E-4</v>
      </c>
      <c r="P70" s="268">
        <f>N70</f>
        <v>106</v>
      </c>
      <c r="Q70" s="36">
        <v>0</v>
      </c>
      <c r="R70" s="36">
        <v>0</v>
      </c>
      <c r="S70" s="36">
        <v>2</v>
      </c>
      <c r="T70" s="36">
        <v>0</v>
      </c>
      <c r="V70" s="36" t="s">
        <v>412</v>
      </c>
      <c r="W70" s="36" t="s">
        <v>481</v>
      </c>
    </row>
    <row r="71" spans="1:23">
      <c r="A71" s="32" t="s">
        <v>288</v>
      </c>
      <c r="B71" s="32" t="s">
        <v>288</v>
      </c>
      <c r="C71" s="60" t="s">
        <v>87</v>
      </c>
      <c r="D71" s="36" t="s">
        <v>468</v>
      </c>
      <c r="E71" s="60">
        <v>2005</v>
      </c>
      <c r="F71" s="60" t="s">
        <v>303</v>
      </c>
      <c r="G71" s="60" t="s">
        <v>469</v>
      </c>
      <c r="H71" s="60" t="s">
        <v>470</v>
      </c>
      <c r="I71" s="36">
        <f>PI()*0.075^2</f>
        <v>1.7671458676442587E-2</v>
      </c>
      <c r="J71" s="36">
        <f>(12*60)*20</f>
        <v>14400</v>
      </c>
      <c r="K71" s="36">
        <v>18389</v>
      </c>
      <c r="L71" s="69">
        <f t="shared" si="5"/>
        <v>2.5446900494077326E-2</v>
      </c>
      <c r="M71" s="36">
        <f>1/(3600*24)</f>
        <v>1.1574074074074073E-5</v>
      </c>
      <c r="N71" s="268">
        <f>AVERAGE(2, 4, 2, 2)</f>
        <v>2.5</v>
      </c>
      <c r="O71" s="49">
        <f>M71*10</f>
        <v>1.1574074074074073E-4</v>
      </c>
      <c r="P71" s="266">
        <f>DATEDIF("1/3/2002", "12/3/2002", "d")</f>
        <v>11</v>
      </c>
      <c r="Q71" s="36">
        <v>0</v>
      </c>
      <c r="R71" s="36">
        <v>0</v>
      </c>
      <c r="S71" s="36">
        <v>1</v>
      </c>
      <c r="T71" s="36">
        <v>0</v>
      </c>
      <c r="V71" s="36" t="s">
        <v>412</v>
      </c>
      <c r="W71" s="36" t="s">
        <v>482</v>
      </c>
    </row>
    <row r="72" spans="1:23">
      <c r="A72" s="32" t="s">
        <v>288</v>
      </c>
      <c r="B72" s="32" t="s">
        <v>288</v>
      </c>
      <c r="C72" s="60" t="s">
        <v>87</v>
      </c>
      <c r="D72" s="36" t="s">
        <v>468</v>
      </c>
      <c r="E72" s="60">
        <v>2005</v>
      </c>
      <c r="F72" s="60" t="s">
        <v>303</v>
      </c>
      <c r="G72" s="60" t="s">
        <v>469</v>
      </c>
      <c r="H72" s="60" t="s">
        <v>470</v>
      </c>
      <c r="I72" s="36">
        <f>PI()*0.075^2</f>
        <v>1.7671458676442587E-2</v>
      </c>
      <c r="J72" s="36">
        <f>(60)*20</f>
        <v>1200</v>
      </c>
      <c r="K72" s="36">
        <v>18389</v>
      </c>
      <c r="L72" s="69">
        <f t="shared" si="5"/>
        <v>2.1205750411731105E-3</v>
      </c>
      <c r="M72" s="36">
        <f>1/(3600*24)</f>
        <v>1.1574074074074073E-5</v>
      </c>
      <c r="N72" s="268">
        <f>AVERAGE(2, 4, 1, 1)</f>
        <v>2</v>
      </c>
      <c r="O72" s="49">
        <f>M72*10</f>
        <v>1.1574074074074073E-4</v>
      </c>
      <c r="P72" s="268">
        <f>DATEDIF("19/6/2002", "27/6/2002", "d")</f>
        <v>8</v>
      </c>
      <c r="Q72" s="36">
        <v>0</v>
      </c>
      <c r="R72" s="36">
        <v>0</v>
      </c>
      <c r="S72" s="36">
        <v>1</v>
      </c>
      <c r="T72" s="36">
        <v>0</v>
      </c>
      <c r="V72" s="36" t="s">
        <v>412</v>
      </c>
      <c r="W72" s="36" t="s">
        <v>483</v>
      </c>
    </row>
    <row r="73" spans="1:23">
      <c r="A73" s="32" t="s">
        <v>288</v>
      </c>
      <c r="B73" s="32" t="s">
        <v>288</v>
      </c>
      <c r="C73" s="60" t="s">
        <v>301</v>
      </c>
      <c r="D73" s="36" t="s">
        <v>918</v>
      </c>
      <c r="E73" s="60">
        <v>2010</v>
      </c>
      <c r="F73" s="60" t="s">
        <v>4</v>
      </c>
      <c r="G73" s="60" t="s">
        <v>919</v>
      </c>
      <c r="H73" s="60" t="s">
        <v>920</v>
      </c>
      <c r="I73" s="36">
        <f>1</f>
        <v>1</v>
      </c>
      <c r="J73" s="36">
        <v>11</v>
      </c>
      <c r="K73" s="54">
        <f>3.11*258.999</f>
        <v>805.48689000000002</v>
      </c>
      <c r="L73" s="69">
        <f t="shared" si="5"/>
        <v>1.1000000000000001E-3</v>
      </c>
      <c r="M73" s="36">
        <f>5/(60*24)</f>
        <v>3.472222222222222E-3</v>
      </c>
      <c r="N73" s="276">
        <f>2/24</f>
        <v>8.3333333333333329E-2</v>
      </c>
      <c r="O73" s="60">
        <f>DATEDIF("16/11/2006", "17/1/2007", "d")*12*M73*2</f>
        <v>5.1666666666666661</v>
      </c>
      <c r="P73" s="276">
        <f>DATEDIF("16/11/2006", "17/1/2008", "d")</f>
        <v>427</v>
      </c>
      <c r="Q73" s="36">
        <v>0</v>
      </c>
      <c r="R73" s="36">
        <v>0</v>
      </c>
      <c r="S73" s="36">
        <v>1</v>
      </c>
      <c r="T73" s="36">
        <v>0</v>
      </c>
      <c r="U73" s="36" t="s">
        <v>922</v>
      </c>
      <c r="V73" s="36" t="s">
        <v>923</v>
      </c>
      <c r="W73" s="36" t="s">
        <v>921</v>
      </c>
    </row>
    <row r="74" spans="1:23">
      <c r="A74" s="32" t="s">
        <v>288</v>
      </c>
      <c r="B74" s="32" t="s">
        <v>288</v>
      </c>
      <c r="C74" s="60" t="s">
        <v>301</v>
      </c>
      <c r="D74" s="36" t="s">
        <v>918</v>
      </c>
      <c r="E74" s="60">
        <v>2010</v>
      </c>
      <c r="F74" s="60" t="s">
        <v>4</v>
      </c>
      <c r="G74" s="60" t="s">
        <v>919</v>
      </c>
      <c r="H74" s="60" t="s">
        <v>920</v>
      </c>
      <c r="I74" s="36">
        <f>1</f>
        <v>1</v>
      </c>
      <c r="J74" s="36">
        <v>18</v>
      </c>
      <c r="K74" s="54">
        <f>3.11*258.999</f>
        <v>805.48689000000002</v>
      </c>
      <c r="L74" s="69">
        <f t="shared" si="5"/>
        <v>1.8E-3</v>
      </c>
      <c r="M74" s="36">
        <f>5/(60*24)</f>
        <v>3.472222222222222E-3</v>
      </c>
      <c r="N74" s="276">
        <f>2/24</f>
        <v>8.3333333333333329E-2</v>
      </c>
      <c r="O74" s="60">
        <f>DATEDIF("16/11/2006", "17/1/2007", "d")*12*M74</f>
        <v>2.583333333333333</v>
      </c>
      <c r="P74" s="276">
        <f>DATEDIF("16/11/2007", "17/1/2008", "d")</f>
        <v>62</v>
      </c>
      <c r="Q74" s="36">
        <v>0</v>
      </c>
      <c r="R74" s="36">
        <v>0</v>
      </c>
      <c r="S74" s="36">
        <v>1</v>
      </c>
      <c r="T74" s="36">
        <v>0</v>
      </c>
      <c r="U74" s="36" t="s">
        <v>922</v>
      </c>
      <c r="V74" s="36" t="s">
        <v>923</v>
      </c>
      <c r="W74" s="36" t="s">
        <v>924</v>
      </c>
    </row>
    <row r="75" spans="1:23">
      <c r="A75" s="32" t="s">
        <v>288</v>
      </c>
      <c r="B75" s="32" t="s">
        <v>288</v>
      </c>
      <c r="C75" s="60" t="s">
        <v>301</v>
      </c>
      <c r="D75" s="36" t="s">
        <v>918</v>
      </c>
      <c r="E75" s="60">
        <v>2010</v>
      </c>
      <c r="F75" s="60" t="s">
        <v>4</v>
      </c>
      <c r="G75" s="60" t="s">
        <v>919</v>
      </c>
      <c r="H75" s="60" t="s">
        <v>920</v>
      </c>
      <c r="I75" s="36">
        <f>0.2^2</f>
        <v>4.0000000000000008E-2</v>
      </c>
      <c r="J75" s="36">
        <v>11</v>
      </c>
      <c r="K75" s="54">
        <f>3.11*258.999</f>
        <v>805.48689000000002</v>
      </c>
      <c r="L75" s="69">
        <f t="shared" si="5"/>
        <v>4.4000000000000006E-5</v>
      </c>
      <c r="M75" s="36">
        <f>5/(60*24)</f>
        <v>3.472222222222222E-3</v>
      </c>
      <c r="N75" s="276">
        <f>365</f>
        <v>365</v>
      </c>
      <c r="O75" s="276">
        <f>M75*2</f>
        <v>6.9444444444444441E-3</v>
      </c>
      <c r="P75" s="276">
        <f>N75</f>
        <v>365</v>
      </c>
      <c r="Q75" s="36">
        <v>0</v>
      </c>
      <c r="R75" s="36">
        <v>0</v>
      </c>
      <c r="S75" s="36">
        <v>2</v>
      </c>
      <c r="T75" s="36">
        <v>0</v>
      </c>
      <c r="U75" s="36" t="s">
        <v>922</v>
      </c>
      <c r="V75" s="36" t="s">
        <v>925</v>
      </c>
      <c r="W75" s="36" t="s">
        <v>926</v>
      </c>
    </row>
    <row r="76" spans="1:23">
      <c r="A76" s="32" t="s">
        <v>288</v>
      </c>
      <c r="B76" s="32" t="s">
        <v>288</v>
      </c>
      <c r="C76" s="60" t="s">
        <v>317</v>
      </c>
      <c r="D76" s="36" t="s">
        <v>927</v>
      </c>
      <c r="E76" s="60">
        <v>2010</v>
      </c>
      <c r="F76" s="60" t="s">
        <v>4</v>
      </c>
      <c r="G76" s="60" t="s">
        <v>653</v>
      </c>
      <c r="H76" s="60" t="s">
        <v>928</v>
      </c>
      <c r="I76" s="36">
        <f>0.2^2</f>
        <v>4.0000000000000008E-2</v>
      </c>
      <c r="J76" s="36">
        <f>51*100</f>
        <v>5100</v>
      </c>
      <c r="K76" s="66">
        <f>6000+11500+7000+5000</f>
        <v>29500</v>
      </c>
      <c r="L76" s="69">
        <f t="shared" si="5"/>
        <v>2.0400000000000001E-2</v>
      </c>
      <c r="M76" s="36">
        <f>15/(60*24)</f>
        <v>1.0416666666666666E-2</v>
      </c>
      <c r="N76" s="276">
        <v>0</v>
      </c>
      <c r="O76" s="276">
        <f>M76</f>
        <v>1.0416666666666666E-2</v>
      </c>
      <c r="P76" s="276">
        <f>O76</f>
        <v>1.0416666666666666E-2</v>
      </c>
      <c r="Q76" s="36">
        <v>2</v>
      </c>
      <c r="R76" s="36">
        <v>2</v>
      </c>
      <c r="S76" s="36">
        <v>0</v>
      </c>
      <c r="T76" s="36">
        <v>2</v>
      </c>
      <c r="V76" s="36" t="s">
        <v>932</v>
      </c>
      <c r="W76" s="36" t="s">
        <v>929</v>
      </c>
    </row>
    <row r="77" spans="1:23">
      <c r="A77" s="32" t="s">
        <v>288</v>
      </c>
      <c r="B77" s="32" t="s">
        <v>288</v>
      </c>
      <c r="C77" s="60" t="s">
        <v>317</v>
      </c>
      <c r="D77" s="36" t="s">
        <v>927</v>
      </c>
      <c r="E77" s="60">
        <v>2010</v>
      </c>
      <c r="F77" s="60" t="s">
        <v>4</v>
      </c>
      <c r="G77" s="60" t="s">
        <v>653</v>
      </c>
      <c r="H77" s="60" t="s">
        <v>928</v>
      </c>
      <c r="I77" s="36">
        <f>PI()*0.025^2</f>
        <v>1.9634954084936209E-3</v>
      </c>
      <c r="J77" s="36">
        <v>51</v>
      </c>
      <c r="K77" s="66">
        <f>6000+11500+7000+5000</f>
        <v>29500</v>
      </c>
      <c r="L77" s="69">
        <f t="shared" si="5"/>
        <v>1.0013826583317466E-5</v>
      </c>
      <c r="M77" s="36">
        <f>5/(60*24)</f>
        <v>3.472222222222222E-3</v>
      </c>
      <c r="N77" s="276">
        <v>0</v>
      </c>
      <c r="O77" s="276">
        <f>M77</f>
        <v>3.472222222222222E-3</v>
      </c>
      <c r="P77" s="276">
        <f>O77</f>
        <v>3.472222222222222E-3</v>
      </c>
      <c r="Q77" s="36">
        <v>0</v>
      </c>
      <c r="R77" s="36">
        <v>1</v>
      </c>
      <c r="S77" s="36">
        <v>1</v>
      </c>
      <c r="T77" s="36">
        <v>0</v>
      </c>
      <c r="V77" s="36" t="s">
        <v>930</v>
      </c>
      <c r="W77" s="36" t="s">
        <v>931</v>
      </c>
    </row>
    <row r="78" spans="1:23">
      <c r="A78" s="70" t="s">
        <v>484</v>
      </c>
      <c r="B78" s="71" t="s">
        <v>288</v>
      </c>
      <c r="C78" s="72" t="s">
        <v>87</v>
      </c>
      <c r="D78" s="72" t="s">
        <v>485</v>
      </c>
      <c r="E78" s="72">
        <v>2013</v>
      </c>
      <c r="F78" s="63" t="s">
        <v>290</v>
      </c>
      <c r="G78" s="72" t="s">
        <v>486</v>
      </c>
      <c r="H78" s="72" t="s">
        <v>487</v>
      </c>
      <c r="I78" s="63">
        <f>0.1^2</f>
        <v>1.0000000000000002E-2</v>
      </c>
      <c r="J78" s="63" t="s">
        <v>417</v>
      </c>
      <c r="K78" s="63">
        <f>(250*100)/10000</f>
        <v>2.5</v>
      </c>
      <c r="L78" s="73" t="s">
        <v>417</v>
      </c>
      <c r="M78" s="63">
        <f>10/(60*24)</f>
        <v>6.9444444444444441E-3</v>
      </c>
      <c r="N78" s="63">
        <v>0</v>
      </c>
      <c r="O78" s="63">
        <f>M78</f>
        <v>6.9444444444444441E-3</v>
      </c>
      <c r="P78" s="268">
        <f>O78</f>
        <v>6.9444444444444441E-3</v>
      </c>
      <c r="Q78" s="63">
        <v>0</v>
      </c>
      <c r="R78" s="63">
        <v>0</v>
      </c>
      <c r="S78" s="63">
        <v>0</v>
      </c>
      <c r="T78" s="63">
        <v>3</v>
      </c>
      <c r="U78" s="63"/>
      <c r="V78" s="63" t="s">
        <v>488</v>
      </c>
      <c r="W78" s="63" t="s">
        <v>489</v>
      </c>
    </row>
    <row r="79" spans="1:23">
      <c r="A79" s="74" t="s">
        <v>484</v>
      </c>
      <c r="B79" s="32" t="s">
        <v>288</v>
      </c>
      <c r="C79" s="34" t="s">
        <v>87</v>
      </c>
      <c r="D79" s="33" t="s">
        <v>485</v>
      </c>
      <c r="E79" s="34">
        <v>2013</v>
      </c>
      <c r="F79" s="34" t="s">
        <v>490</v>
      </c>
      <c r="G79" s="34" t="s">
        <v>486</v>
      </c>
      <c r="H79" s="34" t="s">
        <v>487</v>
      </c>
      <c r="I79" s="34">
        <f>(3/4)*(PI())*((0.001)*(0.0014))</f>
        <v>3.2986722862692827E-6</v>
      </c>
      <c r="J79" s="34">
        <v>1</v>
      </c>
      <c r="K79" s="34">
        <f>L79</f>
        <v>3.2986722862692825E-10</v>
      </c>
      <c r="L79" s="34">
        <f t="shared" si="5"/>
        <v>3.2986722862692825E-10</v>
      </c>
      <c r="M79" s="34">
        <f t="shared" ref="M79:N84" si="6">(0.01667)/(60*24)</f>
        <v>1.1576388888888889E-5</v>
      </c>
      <c r="N79" s="34">
        <f>(15)/(60*24)</f>
        <v>1.0416666666666666E-2</v>
      </c>
      <c r="O79" s="75">
        <f>((39.5*60)/15)/(3600*24)</f>
        <v>1.8287037037037037E-3</v>
      </c>
      <c r="P79" s="273">
        <f>39.5/24</f>
        <v>1.6458333333333333</v>
      </c>
      <c r="Q79" s="34">
        <v>0</v>
      </c>
      <c r="R79" s="34">
        <v>0</v>
      </c>
      <c r="S79" s="34">
        <v>1</v>
      </c>
      <c r="T79" s="34">
        <v>0</v>
      </c>
      <c r="U79" s="34"/>
      <c r="V79" s="34" t="s">
        <v>409</v>
      </c>
      <c r="W79" s="34" t="s">
        <v>491</v>
      </c>
    </row>
    <row r="80" spans="1:23">
      <c r="A80" s="74" t="s">
        <v>484</v>
      </c>
      <c r="B80" s="32" t="s">
        <v>288</v>
      </c>
      <c r="C80" s="34" t="s">
        <v>87</v>
      </c>
      <c r="D80" s="33" t="s">
        <v>485</v>
      </c>
      <c r="E80" s="34">
        <v>2013</v>
      </c>
      <c r="F80" s="34" t="s">
        <v>490</v>
      </c>
      <c r="G80" s="34" t="s">
        <v>486</v>
      </c>
      <c r="H80" s="34" t="s">
        <v>487</v>
      </c>
      <c r="I80" s="34">
        <f>(3/4)*(PI())*((0.001)*(0.0014))</f>
        <v>3.2986722862692827E-6</v>
      </c>
      <c r="J80" s="34">
        <v>1</v>
      </c>
      <c r="K80" s="34">
        <f t="shared" ref="K80:K84" si="7">L80</f>
        <v>3.2986722862692825E-10</v>
      </c>
      <c r="L80" s="34">
        <f t="shared" si="5"/>
        <v>3.2986722862692825E-10</v>
      </c>
      <c r="M80" s="34">
        <f t="shared" si="6"/>
        <v>1.1576388888888889E-5</v>
      </c>
      <c r="N80" s="34">
        <f>(0.01667)/(60*24)</f>
        <v>1.1576388888888889E-5</v>
      </c>
      <c r="O80" s="76">
        <f>29/24</f>
        <v>1.2083333333333333</v>
      </c>
      <c r="P80" s="267">
        <f>29/24</f>
        <v>1.2083333333333333</v>
      </c>
      <c r="Q80" s="34">
        <v>0</v>
      </c>
      <c r="R80" s="34">
        <v>0</v>
      </c>
      <c r="S80" s="34">
        <v>1</v>
      </c>
      <c r="T80" s="34">
        <v>0</v>
      </c>
      <c r="U80" s="34"/>
      <c r="V80" s="34" t="s">
        <v>409</v>
      </c>
      <c r="W80" s="34" t="s">
        <v>492</v>
      </c>
    </row>
    <row r="81" spans="1:23">
      <c r="A81" s="74" t="s">
        <v>484</v>
      </c>
      <c r="B81" s="32" t="s">
        <v>288</v>
      </c>
      <c r="C81" s="34" t="s">
        <v>87</v>
      </c>
      <c r="D81" s="34" t="s">
        <v>485</v>
      </c>
      <c r="E81" s="34">
        <v>2013</v>
      </c>
      <c r="F81" s="34" t="s">
        <v>490</v>
      </c>
      <c r="G81" s="34" t="s">
        <v>486</v>
      </c>
      <c r="H81" s="34" t="s">
        <v>487</v>
      </c>
      <c r="I81" s="34">
        <f>PI()*(0.0076/2)^2</f>
        <v>4.5364597917836615E-5</v>
      </c>
      <c r="J81" s="34">
        <v>1</v>
      </c>
      <c r="K81" s="34">
        <f t="shared" si="7"/>
        <v>4.5364597917836615E-9</v>
      </c>
      <c r="L81" s="34">
        <f t="shared" si="5"/>
        <v>4.5364597917836615E-9</v>
      </c>
      <c r="M81" s="34">
        <f t="shared" si="6"/>
        <v>1.1576388888888889E-5</v>
      </c>
      <c r="N81" s="34">
        <f>(15)/(60*24)</f>
        <v>1.0416666666666666E-2</v>
      </c>
      <c r="O81" s="75">
        <f>((39.5*60)/15)/(3600*24)</f>
        <v>1.8287037037037037E-3</v>
      </c>
      <c r="P81" s="267">
        <f>39.5/24</f>
        <v>1.6458333333333333</v>
      </c>
      <c r="Q81" s="34">
        <v>0</v>
      </c>
      <c r="R81" s="34">
        <v>0</v>
      </c>
      <c r="S81" s="34">
        <v>0</v>
      </c>
      <c r="T81" s="34">
        <v>0</v>
      </c>
      <c r="U81" s="34"/>
      <c r="V81" s="34" t="s">
        <v>409</v>
      </c>
      <c r="W81" s="34" t="s">
        <v>493</v>
      </c>
    </row>
    <row r="82" spans="1:23">
      <c r="A82" s="74" t="s">
        <v>484</v>
      </c>
      <c r="B82" s="32" t="s">
        <v>288</v>
      </c>
      <c r="C82" s="34" t="s">
        <v>87</v>
      </c>
      <c r="D82" s="33" t="s">
        <v>485</v>
      </c>
      <c r="E82" s="34">
        <v>2013</v>
      </c>
      <c r="F82" s="34" t="s">
        <v>490</v>
      </c>
      <c r="G82" s="34" t="s">
        <v>486</v>
      </c>
      <c r="H82" s="34" t="s">
        <v>487</v>
      </c>
      <c r="I82" s="34">
        <f>PI()*(0.0076/2)^2</f>
        <v>4.5364597917836615E-5</v>
      </c>
      <c r="J82" s="34">
        <v>1</v>
      </c>
      <c r="K82" s="34">
        <f t="shared" si="7"/>
        <v>4.5364597917836615E-9</v>
      </c>
      <c r="L82" s="34">
        <f t="shared" si="5"/>
        <v>4.5364597917836615E-9</v>
      </c>
      <c r="M82" s="34">
        <f t="shared" si="6"/>
        <v>1.1576388888888889E-5</v>
      </c>
      <c r="N82" s="34">
        <f t="shared" si="6"/>
        <v>1.1576388888888889E-5</v>
      </c>
      <c r="O82" s="76">
        <f>29/24</f>
        <v>1.2083333333333333</v>
      </c>
      <c r="P82" s="267">
        <f>29/24</f>
        <v>1.2083333333333333</v>
      </c>
      <c r="Q82" s="34">
        <v>0</v>
      </c>
      <c r="R82" s="34">
        <v>0</v>
      </c>
      <c r="S82" s="34">
        <v>0</v>
      </c>
      <c r="T82" s="34">
        <v>0</v>
      </c>
      <c r="U82" s="34"/>
      <c r="V82" s="34" t="s">
        <v>409</v>
      </c>
      <c r="W82" s="34" t="s">
        <v>494</v>
      </c>
    </row>
    <row r="83" spans="1:23">
      <c r="A83" s="74" t="s">
        <v>484</v>
      </c>
      <c r="B83" s="32" t="s">
        <v>288</v>
      </c>
      <c r="C83" s="34" t="s">
        <v>87</v>
      </c>
      <c r="D83" s="33" t="s">
        <v>485</v>
      </c>
      <c r="E83" s="34">
        <v>2013</v>
      </c>
      <c r="F83" s="34" t="s">
        <v>490</v>
      </c>
      <c r="G83" s="34" t="s">
        <v>486</v>
      </c>
      <c r="H83" s="34" t="s">
        <v>487</v>
      </c>
      <c r="I83" s="34">
        <f>PI()*(0.0238/2)^2</f>
        <v>4.4488093567485068E-4</v>
      </c>
      <c r="J83" s="34">
        <v>1</v>
      </c>
      <c r="K83" s="34">
        <f t="shared" si="7"/>
        <v>4.448809356748507E-8</v>
      </c>
      <c r="L83" s="34">
        <f t="shared" si="5"/>
        <v>4.448809356748507E-8</v>
      </c>
      <c r="M83" s="34">
        <f t="shared" si="6"/>
        <v>1.1576388888888889E-5</v>
      </c>
      <c r="N83" s="34">
        <f>(15)/(60*24)</f>
        <v>1.0416666666666666E-2</v>
      </c>
      <c r="O83" s="75">
        <f>((39.5*60)/15)/(3600*24)</f>
        <v>1.8287037037037037E-3</v>
      </c>
      <c r="P83" s="267">
        <f>39.5/24</f>
        <v>1.6458333333333333</v>
      </c>
      <c r="Q83" s="34">
        <v>0</v>
      </c>
      <c r="R83" s="34">
        <v>0</v>
      </c>
      <c r="S83" s="34">
        <v>1</v>
      </c>
      <c r="T83" s="34">
        <v>0</v>
      </c>
      <c r="U83" s="34"/>
      <c r="V83" s="34" t="s">
        <v>409</v>
      </c>
      <c r="W83" s="34" t="s">
        <v>495</v>
      </c>
    </row>
    <row r="84" spans="1:23">
      <c r="A84" s="74" t="s">
        <v>484</v>
      </c>
      <c r="B84" s="32" t="s">
        <v>288</v>
      </c>
      <c r="C84" s="34" t="s">
        <v>87</v>
      </c>
      <c r="D84" s="33" t="s">
        <v>485</v>
      </c>
      <c r="E84" s="34">
        <v>2013</v>
      </c>
      <c r="F84" s="34" t="s">
        <v>490</v>
      </c>
      <c r="G84" s="34" t="s">
        <v>486</v>
      </c>
      <c r="H84" s="34" t="s">
        <v>487</v>
      </c>
      <c r="I84" s="34">
        <f>PI()*(0.0238/2)^2</f>
        <v>4.4488093567485068E-4</v>
      </c>
      <c r="J84" s="34">
        <v>1</v>
      </c>
      <c r="K84" s="34">
        <f t="shared" si="7"/>
        <v>4.448809356748507E-8</v>
      </c>
      <c r="L84" s="34">
        <f t="shared" si="5"/>
        <v>4.448809356748507E-8</v>
      </c>
      <c r="M84" s="34">
        <f t="shared" si="6"/>
        <v>1.1576388888888889E-5</v>
      </c>
      <c r="N84" s="34">
        <f t="shared" si="6"/>
        <v>1.1576388888888889E-5</v>
      </c>
      <c r="O84" s="76">
        <f>29/24</f>
        <v>1.2083333333333333</v>
      </c>
      <c r="P84" s="267">
        <f>29/24</f>
        <v>1.2083333333333333</v>
      </c>
      <c r="Q84" s="34">
        <v>0</v>
      </c>
      <c r="R84" s="34">
        <v>0</v>
      </c>
      <c r="S84" s="34">
        <v>1</v>
      </c>
      <c r="T84" s="34">
        <v>0</v>
      </c>
      <c r="U84" s="34"/>
      <c r="V84" s="34" t="s">
        <v>409</v>
      </c>
      <c r="W84" s="34" t="s">
        <v>496</v>
      </c>
    </row>
    <row r="85" spans="1:23">
      <c r="A85" s="74" t="s">
        <v>484</v>
      </c>
      <c r="B85" s="32" t="s">
        <v>288</v>
      </c>
      <c r="C85" s="309" t="s">
        <v>65</v>
      </c>
      <c r="D85" s="309" t="s">
        <v>497</v>
      </c>
      <c r="E85" s="309">
        <v>2008</v>
      </c>
      <c r="F85" s="309" t="s">
        <v>4</v>
      </c>
      <c r="G85" s="309" t="s">
        <v>498</v>
      </c>
      <c r="H85" s="309" t="s">
        <v>499</v>
      </c>
      <c r="I85" s="309">
        <f>PI()*((0.14)^2)</f>
        <v>6.1575216010359951E-2</v>
      </c>
      <c r="J85" s="310">
        <f>67</f>
        <v>67</v>
      </c>
      <c r="K85" s="310">
        <v>35000</v>
      </c>
      <c r="L85" s="309">
        <f>(I85*J85)/10000</f>
        <v>4.1255394726941164E-4</v>
      </c>
      <c r="M85" s="309">
        <f>AVERAGE(27,35)</f>
        <v>31</v>
      </c>
      <c r="N85" s="309">
        <v>365</v>
      </c>
      <c r="O85" s="309">
        <f>M85*(2008-1992)</f>
        <v>496</v>
      </c>
      <c r="P85" s="309">
        <f>365*16</f>
        <v>5840</v>
      </c>
      <c r="Q85" s="309">
        <v>0</v>
      </c>
      <c r="R85" s="309">
        <v>1</v>
      </c>
      <c r="S85" s="309">
        <v>2</v>
      </c>
      <c r="T85" s="309">
        <v>0</v>
      </c>
      <c r="U85" s="309"/>
      <c r="V85" s="309" t="s">
        <v>500</v>
      </c>
      <c r="W85" s="309" t="s">
        <v>501</v>
      </c>
    </row>
    <row r="86" spans="1:23">
      <c r="A86" s="74" t="s">
        <v>484</v>
      </c>
      <c r="B86" s="32" t="s">
        <v>288</v>
      </c>
      <c r="C86" s="77" t="s">
        <v>65</v>
      </c>
      <c r="D86" s="77" t="s">
        <v>502</v>
      </c>
      <c r="E86" s="77">
        <v>2008</v>
      </c>
      <c r="F86" s="77" t="s">
        <v>4</v>
      </c>
      <c r="G86" s="77" t="s">
        <v>503</v>
      </c>
      <c r="H86" s="77" t="s">
        <v>504</v>
      </c>
      <c r="I86" s="77">
        <v>10000</v>
      </c>
      <c r="J86" s="78">
        <v>14</v>
      </c>
      <c r="K86" s="78">
        <v>2259</v>
      </c>
      <c r="L86" s="77">
        <f>J86*I86/10000</f>
        <v>14</v>
      </c>
      <c r="M86" s="77">
        <f>2/24</f>
        <v>8.3333333333333329E-2</v>
      </c>
      <c r="N86" s="77">
        <v>0</v>
      </c>
      <c r="O86" s="77">
        <f>M86</f>
        <v>8.3333333333333329E-2</v>
      </c>
      <c r="P86" s="267">
        <f>O86</f>
        <v>8.3333333333333329E-2</v>
      </c>
      <c r="Q86" s="79">
        <v>2</v>
      </c>
      <c r="R86" s="79">
        <v>2</v>
      </c>
      <c r="S86" s="79">
        <v>1</v>
      </c>
      <c r="T86" s="79">
        <v>1</v>
      </c>
      <c r="U86" s="77" t="s">
        <v>505</v>
      </c>
      <c r="V86" s="77" t="s">
        <v>356</v>
      </c>
      <c r="W86" s="77" t="s">
        <v>506</v>
      </c>
    </row>
    <row r="87" spans="1:23">
      <c r="A87" s="74" t="s">
        <v>484</v>
      </c>
      <c r="B87" s="32" t="s">
        <v>288</v>
      </c>
      <c r="C87" s="77" t="s">
        <v>65</v>
      </c>
      <c r="D87" s="77" t="s">
        <v>502</v>
      </c>
      <c r="E87" s="77">
        <v>2008</v>
      </c>
      <c r="F87" s="77" t="s">
        <v>4</v>
      </c>
      <c r="G87" s="77" t="s">
        <v>503</v>
      </c>
      <c r="H87" s="77" t="s">
        <v>504</v>
      </c>
      <c r="I87" s="77">
        <f>0.1 * 0.2 * 5</f>
        <v>0.10000000000000002</v>
      </c>
      <c r="J87" s="78">
        <f>1+1.5+2.5+3+7+9.5+10+10.5+13+14.5+19</f>
        <v>91.5</v>
      </c>
      <c r="K87" s="78">
        <v>2259</v>
      </c>
      <c r="L87" s="77">
        <f>J87*I87/10000</f>
        <v>9.1500000000000023E-4</v>
      </c>
      <c r="M87" s="77">
        <f>90</f>
        <v>90</v>
      </c>
      <c r="N87" s="77">
        <f>365</f>
        <v>365</v>
      </c>
      <c r="O87" s="77">
        <f>M87*2</f>
        <v>180</v>
      </c>
      <c r="P87" s="77">
        <f>365*2</f>
        <v>730</v>
      </c>
      <c r="Q87" s="79">
        <v>0</v>
      </c>
      <c r="R87" s="79">
        <v>1</v>
      </c>
      <c r="S87" s="79">
        <v>1</v>
      </c>
      <c r="T87" s="79">
        <v>1</v>
      </c>
      <c r="U87" s="77"/>
      <c r="V87" s="77" t="s">
        <v>374</v>
      </c>
      <c r="W87" s="77" t="s">
        <v>507</v>
      </c>
    </row>
    <row r="88" spans="1:23">
      <c r="A88" s="74" t="s">
        <v>484</v>
      </c>
      <c r="B88" s="32" t="s">
        <v>288</v>
      </c>
      <c r="C88" s="34" t="s">
        <v>115</v>
      </c>
      <c r="D88" s="75" t="s">
        <v>508</v>
      </c>
      <c r="E88" s="34">
        <v>2013</v>
      </c>
      <c r="F88" s="34" t="s">
        <v>4</v>
      </c>
      <c r="G88" s="34" t="s">
        <v>509</v>
      </c>
      <c r="H88" s="34" t="s">
        <v>510</v>
      </c>
      <c r="I88" s="34">
        <f>4*4</f>
        <v>16</v>
      </c>
      <c r="J88" s="34">
        <v>59</v>
      </c>
      <c r="K88" s="44">
        <f>((2240) * 1100)/10000</f>
        <v>246.4</v>
      </c>
      <c r="L88" s="34">
        <f t="shared" ref="L88:L130" si="8">(I88*J88)/10000</f>
        <v>9.4399999999999998E-2</v>
      </c>
      <c r="M88" s="34">
        <f>30/(60*24)</f>
        <v>2.0833333333333332E-2</v>
      </c>
      <c r="N88" s="34">
        <f>12/24</f>
        <v>0.5</v>
      </c>
      <c r="O88" s="34">
        <f>M88*2</f>
        <v>4.1666666666666664E-2</v>
      </c>
      <c r="P88" s="274">
        <f>14/24</f>
        <v>0.58333333333333337</v>
      </c>
      <c r="Q88" s="34">
        <v>3</v>
      </c>
      <c r="R88" s="34">
        <v>2</v>
      </c>
      <c r="S88" s="34">
        <v>0</v>
      </c>
      <c r="T88" s="34">
        <v>2</v>
      </c>
      <c r="U88" s="34" t="s">
        <v>511</v>
      </c>
      <c r="V88" s="34" t="s">
        <v>512</v>
      </c>
      <c r="W88" s="34" t="s">
        <v>513</v>
      </c>
    </row>
    <row r="89" spans="1:23">
      <c r="A89" s="74" t="s">
        <v>484</v>
      </c>
      <c r="B89" s="32" t="s">
        <v>288</v>
      </c>
      <c r="C89" s="34" t="s">
        <v>115</v>
      </c>
      <c r="D89" s="75" t="s">
        <v>508</v>
      </c>
      <c r="E89" s="34">
        <v>2013</v>
      </c>
      <c r="F89" s="34" t="s">
        <v>4</v>
      </c>
      <c r="G89" s="34" t="s">
        <v>514</v>
      </c>
      <c r="H89" s="34" t="s">
        <v>510</v>
      </c>
      <c r="I89" s="34">
        <f>4*4</f>
        <v>16</v>
      </c>
      <c r="J89" s="34">
        <v>8</v>
      </c>
      <c r="K89" s="34">
        <v>811</v>
      </c>
      <c r="L89" s="34">
        <f t="shared" si="8"/>
        <v>1.2800000000000001E-2</v>
      </c>
      <c r="M89" s="34">
        <f>30/(60*24)</f>
        <v>2.0833333333333332E-2</v>
      </c>
      <c r="N89" s="34">
        <f>12/24</f>
        <v>0.5</v>
      </c>
      <c r="O89" s="34">
        <f>M89*2</f>
        <v>4.1666666666666664E-2</v>
      </c>
      <c r="P89" s="274">
        <f>14/24</f>
        <v>0.58333333333333337</v>
      </c>
      <c r="Q89" s="34">
        <v>3</v>
      </c>
      <c r="R89" s="34">
        <v>2</v>
      </c>
      <c r="S89" s="34">
        <v>0</v>
      </c>
      <c r="T89" s="34">
        <v>2</v>
      </c>
      <c r="U89" s="34" t="s">
        <v>511</v>
      </c>
      <c r="V89" s="34" t="s">
        <v>512</v>
      </c>
      <c r="W89" s="34" t="s">
        <v>515</v>
      </c>
    </row>
    <row r="90" spans="1:23">
      <c r="A90" s="74" t="s">
        <v>484</v>
      </c>
      <c r="B90" s="32" t="s">
        <v>288</v>
      </c>
      <c r="C90" s="34" t="s">
        <v>115</v>
      </c>
      <c r="D90" s="75" t="s">
        <v>508</v>
      </c>
      <c r="E90" s="34">
        <v>2013</v>
      </c>
      <c r="F90" s="34" t="s">
        <v>490</v>
      </c>
      <c r="G90" s="34" t="s">
        <v>509</v>
      </c>
      <c r="H90" s="34" t="s">
        <v>510</v>
      </c>
      <c r="I90" s="34">
        <f>PI()*(0.1735/2)^2</f>
        <v>2.3642251864130836E-2</v>
      </c>
      <c r="J90" s="34">
        <f>10*6</f>
        <v>60</v>
      </c>
      <c r="K90" s="34">
        <f>(2240 * 500)/10000</f>
        <v>112</v>
      </c>
      <c r="L90" s="34">
        <f t="shared" si="8"/>
        <v>1.4185351118478501E-4</v>
      </c>
      <c r="M90" s="34">
        <f>0.01667/(60*24)</f>
        <v>1.1576388888888889E-5</v>
      </c>
      <c r="N90" s="34">
        <f>15/(60*24)</f>
        <v>1.0416666666666666E-2</v>
      </c>
      <c r="O90" s="34">
        <f>M90*11808</f>
        <v>0.13669400000000001</v>
      </c>
      <c r="P90" s="34">
        <v>152</v>
      </c>
      <c r="Q90" s="34">
        <v>0</v>
      </c>
      <c r="R90" s="34">
        <v>2</v>
      </c>
      <c r="S90" s="34">
        <v>0</v>
      </c>
      <c r="T90" s="34">
        <v>0</v>
      </c>
      <c r="U90" s="34" t="s">
        <v>511</v>
      </c>
      <c r="V90" s="34" t="s">
        <v>516</v>
      </c>
      <c r="W90" s="34" t="s">
        <v>517</v>
      </c>
    </row>
    <row r="91" spans="1:23">
      <c r="A91" s="74" t="s">
        <v>484</v>
      </c>
      <c r="B91" s="32" t="s">
        <v>288</v>
      </c>
      <c r="C91" s="34" t="s">
        <v>115</v>
      </c>
      <c r="D91" s="75" t="s">
        <v>508</v>
      </c>
      <c r="E91" s="34">
        <v>2013</v>
      </c>
      <c r="F91" s="34" t="s">
        <v>4</v>
      </c>
      <c r="G91" s="34" t="s">
        <v>509</v>
      </c>
      <c r="H91" s="34" t="s">
        <v>510</v>
      </c>
      <c r="I91" s="34">
        <f>2*20</f>
        <v>40</v>
      </c>
      <c r="J91" s="34">
        <v>59</v>
      </c>
      <c r="K91" s="44">
        <f>((2240) * 1100)/10000</f>
        <v>246.4</v>
      </c>
      <c r="L91" s="34">
        <f t="shared" si="8"/>
        <v>0.23599999999999999</v>
      </c>
      <c r="M91" s="34">
        <f>1/(60*24)</f>
        <v>6.9444444444444447E-4</v>
      </c>
      <c r="N91" s="82">
        <v>0</v>
      </c>
      <c r="O91" s="80">
        <f>M91</f>
        <v>6.9444444444444447E-4</v>
      </c>
      <c r="P91" s="267">
        <f>O91</f>
        <v>6.9444444444444447E-4</v>
      </c>
      <c r="Q91" s="34">
        <v>1</v>
      </c>
      <c r="R91" s="34">
        <v>2</v>
      </c>
      <c r="S91" s="34">
        <v>0</v>
      </c>
      <c r="T91" s="34">
        <v>2</v>
      </c>
      <c r="U91" s="34" t="s">
        <v>511</v>
      </c>
      <c r="V91" s="34" t="s">
        <v>518</v>
      </c>
      <c r="W91" s="34" t="s">
        <v>519</v>
      </c>
    </row>
    <row r="92" spans="1:23">
      <c r="A92" s="74" t="s">
        <v>484</v>
      </c>
      <c r="B92" s="32" t="s">
        <v>288</v>
      </c>
      <c r="C92" s="34" t="s">
        <v>23</v>
      </c>
      <c r="D92" s="34" t="s">
        <v>520</v>
      </c>
      <c r="E92" s="34">
        <v>2013</v>
      </c>
      <c r="F92" s="34" t="s">
        <v>4</v>
      </c>
      <c r="G92" s="34" t="s">
        <v>521</v>
      </c>
      <c r="H92" s="34" t="s">
        <v>522</v>
      </c>
      <c r="I92" s="34">
        <f>550*30</f>
        <v>16500</v>
      </c>
      <c r="J92" s="34">
        <v>1</v>
      </c>
      <c r="K92" s="267">
        <f>(30*550)/10000</f>
        <v>1.65</v>
      </c>
      <c r="L92" s="34">
        <f t="shared" si="8"/>
        <v>1.65</v>
      </c>
      <c r="M92" s="34">
        <f>3/24</f>
        <v>0.125</v>
      </c>
      <c r="N92" s="34">
        <f>AVERAGE(2,325,31,343,17,45)</f>
        <v>127.16666666666667</v>
      </c>
      <c r="O92" s="34">
        <f>M92*10</f>
        <v>1.25</v>
      </c>
      <c r="P92" s="34">
        <f>821</f>
        <v>821</v>
      </c>
      <c r="Q92" s="34">
        <v>2</v>
      </c>
      <c r="R92" s="34">
        <v>1</v>
      </c>
      <c r="S92" s="34">
        <v>0</v>
      </c>
      <c r="T92" s="34">
        <v>1</v>
      </c>
      <c r="U92" s="34"/>
      <c r="V92" s="34" t="s">
        <v>356</v>
      </c>
      <c r="W92" s="34" t="s">
        <v>523</v>
      </c>
    </row>
    <row r="93" spans="1:23">
      <c r="A93" s="74" t="s">
        <v>484</v>
      </c>
      <c r="B93" s="32" t="s">
        <v>288</v>
      </c>
      <c r="C93" s="34" t="s">
        <v>23</v>
      </c>
      <c r="D93" s="34" t="s">
        <v>524</v>
      </c>
      <c r="E93" s="34">
        <v>2010</v>
      </c>
      <c r="F93" s="34" t="s">
        <v>490</v>
      </c>
      <c r="G93" s="34" t="s">
        <v>525</v>
      </c>
      <c r="H93" s="34" t="s">
        <v>526</v>
      </c>
      <c r="I93" s="33">
        <v>8.9490417352885163E-4</v>
      </c>
      <c r="J93" s="33">
        <v>10</v>
      </c>
      <c r="K93" s="33">
        <f>3.64*120+3.64*52</f>
        <v>626.08000000000004</v>
      </c>
      <c r="L93" s="33">
        <f t="shared" si="8"/>
        <v>8.9490417352885158E-7</v>
      </c>
      <c r="M93" s="76">
        <v>1</v>
      </c>
      <c r="N93" s="82">
        <v>1</v>
      </c>
      <c r="O93" s="82">
        <f>M93*61</f>
        <v>61</v>
      </c>
      <c r="P93" s="81">
        <v>61</v>
      </c>
      <c r="Q93" s="34">
        <v>0</v>
      </c>
      <c r="R93" s="34">
        <v>0</v>
      </c>
      <c r="S93" s="34">
        <v>0</v>
      </c>
      <c r="T93" s="34">
        <v>0</v>
      </c>
      <c r="U93" s="33"/>
      <c r="V93" s="34" t="s">
        <v>527</v>
      </c>
      <c r="W93" s="34" t="s">
        <v>528</v>
      </c>
    </row>
    <row r="94" spans="1:23">
      <c r="A94" s="74" t="s">
        <v>484</v>
      </c>
      <c r="B94" s="32" t="s">
        <v>288</v>
      </c>
      <c r="C94" s="34" t="s">
        <v>23</v>
      </c>
      <c r="D94" s="34" t="s">
        <v>524</v>
      </c>
      <c r="E94" s="34">
        <v>2010</v>
      </c>
      <c r="F94" s="34" t="s">
        <v>490</v>
      </c>
      <c r="G94" s="34" t="s">
        <v>525</v>
      </c>
      <c r="H94" s="34" t="s">
        <v>526</v>
      </c>
      <c r="I94" s="33">
        <v>1.1092388980384689E-3</v>
      </c>
      <c r="J94" s="33">
        <v>5</v>
      </c>
      <c r="K94" s="33">
        <f>3.64*120+3.64*52</f>
        <v>626.08000000000004</v>
      </c>
      <c r="L94" s="33">
        <f t="shared" si="8"/>
        <v>5.5461944901923441E-7</v>
      </c>
      <c r="M94" s="265">
        <v>1</v>
      </c>
      <c r="N94" s="82">
        <v>1</v>
      </c>
      <c r="O94" s="82">
        <f>M94*366</f>
        <v>366</v>
      </c>
      <c r="P94" s="81">
        <v>366</v>
      </c>
      <c r="Q94" s="34">
        <v>0</v>
      </c>
      <c r="R94" s="34">
        <v>0</v>
      </c>
      <c r="S94" s="34">
        <v>0</v>
      </c>
      <c r="T94" s="34">
        <v>0</v>
      </c>
      <c r="U94" s="33"/>
      <c r="V94" s="34" t="s">
        <v>527</v>
      </c>
      <c r="W94" s="34" t="s">
        <v>529</v>
      </c>
    </row>
    <row r="95" spans="1:23">
      <c r="A95" s="74" t="s">
        <v>484</v>
      </c>
      <c r="B95" s="32" t="s">
        <v>288</v>
      </c>
      <c r="C95" s="34" t="s">
        <v>23</v>
      </c>
      <c r="D95" s="34" t="s">
        <v>524</v>
      </c>
      <c r="E95" s="34">
        <v>2010</v>
      </c>
      <c r="F95" s="33" t="s">
        <v>4</v>
      </c>
      <c r="G95" s="34" t="s">
        <v>525</v>
      </c>
      <c r="H95" s="34" t="s">
        <v>526</v>
      </c>
      <c r="I95" s="311">
        <f>0.3048*0.3048</f>
        <v>9.2903040000000006E-2</v>
      </c>
      <c r="J95" s="267">
        <f>4.8*10</f>
        <v>48</v>
      </c>
      <c r="K95" s="311">
        <f>3.64*120+3.64*52</f>
        <v>626.08000000000004</v>
      </c>
      <c r="L95" s="311">
        <f t="shared" si="8"/>
        <v>4.4593459200000006E-4</v>
      </c>
      <c r="M95" s="311">
        <f>30/(60*24)</f>
        <v>2.0833333333333332E-2</v>
      </c>
      <c r="N95" s="267">
        <v>11.3</v>
      </c>
      <c r="O95" s="267">
        <f>M95*(DATEDIF("15/6/2002", "30/9/2002", "d")/11.3)*4</f>
        <v>0.78908554572271383</v>
      </c>
      <c r="P95" s="275">
        <v>1217</v>
      </c>
      <c r="Q95" s="34">
        <v>1</v>
      </c>
      <c r="R95" s="34">
        <v>0</v>
      </c>
      <c r="S95" s="34">
        <v>0</v>
      </c>
      <c r="T95" s="34">
        <v>2</v>
      </c>
      <c r="U95" s="33"/>
      <c r="V95" s="34" t="s">
        <v>530</v>
      </c>
      <c r="W95" s="34" t="s">
        <v>531</v>
      </c>
    </row>
    <row r="96" spans="1:23">
      <c r="A96" s="74" t="s">
        <v>484</v>
      </c>
      <c r="B96" s="32" t="s">
        <v>288</v>
      </c>
      <c r="C96" s="34" t="s">
        <v>23</v>
      </c>
      <c r="D96" s="34" t="s">
        <v>524</v>
      </c>
      <c r="E96" s="34">
        <v>2010</v>
      </c>
      <c r="F96" s="33" t="s">
        <v>4</v>
      </c>
      <c r="G96" s="34" t="s">
        <v>525</v>
      </c>
      <c r="H96" s="34" t="s">
        <v>526</v>
      </c>
      <c r="I96" s="33">
        <v>3.4500000000000003E-2</v>
      </c>
      <c r="J96" s="33">
        <v>2</v>
      </c>
      <c r="K96" s="33">
        <f>(3.64*120+3.64*52)/2</f>
        <v>313.04000000000002</v>
      </c>
      <c r="L96" s="33">
        <f t="shared" si="8"/>
        <v>6.9000000000000009E-6</v>
      </c>
      <c r="M96" s="267">
        <v>2</v>
      </c>
      <c r="N96" s="33">
        <v>2</v>
      </c>
      <c r="O96" s="267">
        <f>(M96*(1872/48))</f>
        <v>78</v>
      </c>
      <c r="P96" s="81">
        <v>78</v>
      </c>
      <c r="Q96" s="34">
        <v>1</v>
      </c>
      <c r="R96" s="34">
        <v>0</v>
      </c>
      <c r="S96" s="34">
        <v>0</v>
      </c>
      <c r="T96" s="34">
        <v>2</v>
      </c>
      <c r="U96" s="33"/>
      <c r="V96" s="34" t="s">
        <v>532</v>
      </c>
      <c r="W96" s="34" t="s">
        <v>533</v>
      </c>
    </row>
    <row r="97" spans="1:23">
      <c r="A97" s="74" t="s">
        <v>484</v>
      </c>
      <c r="B97" s="32" t="s">
        <v>288</v>
      </c>
      <c r="C97" s="34" t="s">
        <v>65</v>
      </c>
      <c r="D97" s="34" t="s">
        <v>534</v>
      </c>
      <c r="E97" s="34">
        <v>2014</v>
      </c>
      <c r="F97" s="34" t="s">
        <v>4</v>
      </c>
      <c r="G97" s="34" t="s">
        <v>535</v>
      </c>
      <c r="H97" s="34" t="s">
        <v>536</v>
      </c>
      <c r="I97" s="312">
        <f>(PI()*300^2)/4</f>
        <v>70685.83470577035</v>
      </c>
      <c r="J97" s="312">
        <f>((51392*1000)/4)/300</f>
        <v>42826.666666666664</v>
      </c>
      <c r="K97" s="62">
        <v>47804446.5</v>
      </c>
      <c r="L97" s="62">
        <f t="shared" si="8"/>
        <v>302723.86809991248</v>
      </c>
      <c r="M97" s="33">
        <f>5/(60*24)</f>
        <v>3.472222222222222E-3</v>
      </c>
      <c r="N97" s="267">
        <v>90</v>
      </c>
      <c r="O97" s="267">
        <f>M97*(DATEDIF("1/3/2006", "31/10/2009", "d")/90)</f>
        <v>5.1697530864197531E-2</v>
      </c>
      <c r="P97" s="33">
        <v>1340</v>
      </c>
      <c r="Q97" s="33">
        <v>2</v>
      </c>
      <c r="R97" s="33">
        <v>0</v>
      </c>
      <c r="S97" s="33">
        <v>0</v>
      </c>
      <c r="T97" s="33">
        <v>2</v>
      </c>
      <c r="U97" s="267" t="s">
        <v>907</v>
      </c>
      <c r="V97" s="34" t="s">
        <v>537</v>
      </c>
      <c r="W97" s="34" t="s">
        <v>538</v>
      </c>
    </row>
    <row r="98" spans="1:23">
      <c r="A98" s="74" t="s">
        <v>484</v>
      </c>
      <c r="B98" s="32" t="s">
        <v>288</v>
      </c>
      <c r="C98" s="33" t="s">
        <v>23</v>
      </c>
      <c r="D98" s="34" t="s">
        <v>539</v>
      </c>
      <c r="E98" s="33">
        <v>2008</v>
      </c>
      <c r="F98" s="34" t="s">
        <v>4</v>
      </c>
      <c r="G98" s="34" t="s">
        <v>540</v>
      </c>
      <c r="H98" s="34" t="s">
        <v>541</v>
      </c>
      <c r="I98" s="34">
        <f>(0.25*1.5)</f>
        <v>0.375</v>
      </c>
      <c r="J98" s="311">
        <v>664</v>
      </c>
      <c r="K98" s="33">
        <f>13924+146118+180190+7824+10+4000</f>
        <v>352066</v>
      </c>
      <c r="L98" s="33">
        <f t="shared" si="8"/>
        <v>2.4899999999999999E-2</v>
      </c>
      <c r="M98" s="33">
        <f>15/(60*24)</f>
        <v>1.0416666666666666E-2</v>
      </c>
      <c r="N98" s="34">
        <f>AVERAGE(120,60,91,89)</f>
        <v>90</v>
      </c>
      <c r="O98" s="267">
        <f>M98</f>
        <v>1.0416666666666666E-2</v>
      </c>
      <c r="P98" s="311">
        <f>515</f>
        <v>515</v>
      </c>
      <c r="Q98" s="33">
        <v>2</v>
      </c>
      <c r="R98" s="33">
        <v>1</v>
      </c>
      <c r="S98" s="33">
        <v>0</v>
      </c>
      <c r="T98" s="33">
        <v>0</v>
      </c>
      <c r="U98" s="33"/>
      <c r="V98" s="34" t="s">
        <v>409</v>
      </c>
      <c r="W98" s="34" t="s">
        <v>542</v>
      </c>
    </row>
    <row r="99" spans="1:23">
      <c r="A99" s="74" t="s">
        <v>484</v>
      </c>
      <c r="B99" s="32" t="s">
        <v>288</v>
      </c>
      <c r="C99" s="33" t="s">
        <v>161</v>
      </c>
      <c r="D99" s="33" t="s">
        <v>543</v>
      </c>
      <c r="E99" s="267">
        <v>2006</v>
      </c>
      <c r="F99" s="34" t="s">
        <v>4</v>
      </c>
      <c r="G99" s="33" t="s">
        <v>544</v>
      </c>
      <c r="H99" s="33"/>
      <c r="I99" s="33">
        <v>5.0000000000000001E-4</v>
      </c>
      <c r="J99" s="309">
        <f>24+(15+15+10)</f>
        <v>64</v>
      </c>
      <c r="K99" s="309">
        <f>(2570*20)/10000</f>
        <v>5.14</v>
      </c>
      <c r="L99" s="33">
        <f t="shared" si="8"/>
        <v>3.1999999999999999E-6</v>
      </c>
      <c r="M99" s="33">
        <f>5/(60*24)</f>
        <v>3.472222222222222E-3</v>
      </c>
      <c r="N99" s="313">
        <v>0</v>
      </c>
      <c r="O99" s="83">
        <f>M99*1</f>
        <v>3.472222222222222E-3</v>
      </c>
      <c r="P99" s="267">
        <f>O99</f>
        <v>3.472222222222222E-3</v>
      </c>
      <c r="Q99" s="33">
        <v>3</v>
      </c>
      <c r="R99" s="33">
        <v>0</v>
      </c>
      <c r="S99" s="33">
        <v>0</v>
      </c>
      <c r="T99" s="33">
        <v>3</v>
      </c>
      <c r="U99" s="314"/>
      <c r="V99" s="34" t="s">
        <v>339</v>
      </c>
      <c r="W99" s="80" t="s">
        <v>545</v>
      </c>
    </row>
    <row r="100" spans="1:23">
      <c r="A100" s="74" t="s">
        <v>484</v>
      </c>
      <c r="B100" s="32" t="s">
        <v>288</v>
      </c>
      <c r="C100" s="33" t="s">
        <v>161</v>
      </c>
      <c r="D100" s="33" t="s">
        <v>543</v>
      </c>
      <c r="E100" s="267">
        <v>2006</v>
      </c>
      <c r="F100" s="34" t="s">
        <v>4</v>
      </c>
      <c r="G100" s="33" t="s">
        <v>544</v>
      </c>
      <c r="H100" s="33"/>
      <c r="I100" s="33">
        <v>5.0000000000000001E-4</v>
      </c>
      <c r="J100" s="309">
        <f>(4*16)</f>
        <v>64</v>
      </c>
      <c r="K100" s="309">
        <f>(2000+19000+34000+2500+40000+8000+15000+3000+7000+44000+69000+1500+26000+9000+6000+500)/10000</f>
        <v>28.65</v>
      </c>
      <c r="L100" s="33">
        <f t="shared" si="8"/>
        <v>3.1999999999999999E-6</v>
      </c>
      <c r="M100" s="33">
        <f>5/(60*24)</f>
        <v>3.472222222222222E-3</v>
      </c>
      <c r="N100" s="313">
        <f>302</f>
        <v>302</v>
      </c>
      <c r="O100" s="83">
        <f>M100*2</f>
        <v>6.9444444444444441E-3</v>
      </c>
      <c r="P100" s="72">
        <f>15*30</f>
        <v>450</v>
      </c>
      <c r="Q100" s="33">
        <v>3</v>
      </c>
      <c r="R100" s="33">
        <v>0</v>
      </c>
      <c r="S100" s="33">
        <v>0</v>
      </c>
      <c r="T100" s="33">
        <v>3</v>
      </c>
      <c r="U100" s="34" t="s">
        <v>546</v>
      </c>
      <c r="V100" s="34" t="s">
        <v>339</v>
      </c>
      <c r="W100" s="80" t="s">
        <v>547</v>
      </c>
    </row>
    <row r="101" spans="1:23">
      <c r="A101" s="70" t="s">
        <v>484</v>
      </c>
      <c r="B101" s="71" t="s">
        <v>288</v>
      </c>
      <c r="C101" s="72" t="s">
        <v>161</v>
      </c>
      <c r="D101" s="72" t="s">
        <v>543</v>
      </c>
      <c r="E101" s="267">
        <v>2006</v>
      </c>
      <c r="F101" s="72" t="s">
        <v>4</v>
      </c>
      <c r="G101" s="72" t="s">
        <v>544</v>
      </c>
      <c r="H101" s="72"/>
      <c r="I101" s="72">
        <v>5.0000000000000001E-4</v>
      </c>
      <c r="J101" s="72">
        <f>15*3</f>
        <v>45</v>
      </c>
      <c r="K101" s="72">
        <f>(80*10+15*50*10+15*50*10)/10000/3*30</f>
        <v>15.800000000000002</v>
      </c>
      <c r="L101" s="72">
        <f t="shared" si="8"/>
        <v>2.2500000000000001E-6</v>
      </c>
      <c r="M101" s="72">
        <f>5/(60*24)</f>
        <v>3.472222222222222E-3</v>
      </c>
      <c r="N101" s="72">
        <v>0</v>
      </c>
      <c r="O101" s="267">
        <f>M101</f>
        <v>3.472222222222222E-3</v>
      </c>
      <c r="P101" s="267">
        <f>O101</f>
        <v>3.472222222222222E-3</v>
      </c>
      <c r="Q101" s="72">
        <v>3</v>
      </c>
      <c r="R101" s="72">
        <v>0</v>
      </c>
      <c r="S101" s="72">
        <v>0</v>
      </c>
      <c r="T101" s="72">
        <v>3</v>
      </c>
      <c r="U101" s="72" t="s">
        <v>548</v>
      </c>
      <c r="V101" s="72" t="s">
        <v>339</v>
      </c>
      <c r="W101" s="72" t="s">
        <v>549</v>
      </c>
    </row>
    <row r="102" spans="1:23">
      <c r="A102" s="74" t="s">
        <v>484</v>
      </c>
      <c r="B102" s="32" t="s">
        <v>288</v>
      </c>
      <c r="C102" s="315" t="s">
        <v>240</v>
      </c>
      <c r="D102" s="315" t="s">
        <v>550</v>
      </c>
      <c r="E102" s="315">
        <v>2013</v>
      </c>
      <c r="F102" s="315" t="s">
        <v>4</v>
      </c>
      <c r="G102" s="84" t="s">
        <v>551</v>
      </c>
      <c r="H102" s="84" t="s">
        <v>552</v>
      </c>
      <c r="I102" s="315">
        <f>50*2</f>
        <v>100</v>
      </c>
      <c r="J102" s="315">
        <v>812</v>
      </c>
      <c r="K102" s="315">
        <f>500*100</f>
        <v>50000</v>
      </c>
      <c r="L102" s="33">
        <f t="shared" si="8"/>
        <v>8.1199999999999992</v>
      </c>
      <c r="M102" s="33">
        <f>30/(60*24)</f>
        <v>2.0833333333333332E-2</v>
      </c>
      <c r="N102" s="72">
        <v>0</v>
      </c>
      <c r="O102" s="72">
        <f>M102</f>
        <v>2.0833333333333332E-2</v>
      </c>
      <c r="P102" s="311">
        <v>844</v>
      </c>
      <c r="Q102" s="315">
        <v>2</v>
      </c>
      <c r="R102" s="315">
        <v>1</v>
      </c>
      <c r="S102" s="315">
        <v>1</v>
      </c>
      <c r="T102" s="315">
        <v>1</v>
      </c>
      <c r="U102" s="315"/>
      <c r="V102" s="84" t="s">
        <v>553</v>
      </c>
      <c r="W102" s="315" t="s">
        <v>554</v>
      </c>
    </row>
    <row r="103" spans="1:23">
      <c r="A103" s="74" t="s">
        <v>484</v>
      </c>
      <c r="B103" s="32" t="s">
        <v>288</v>
      </c>
      <c r="C103" s="315" t="s">
        <v>555</v>
      </c>
      <c r="D103" s="315" t="s">
        <v>556</v>
      </c>
      <c r="E103" s="315">
        <v>2011</v>
      </c>
      <c r="F103" s="84" t="s">
        <v>4</v>
      </c>
      <c r="G103" s="84" t="s">
        <v>557</v>
      </c>
      <c r="H103" s="315"/>
      <c r="I103" s="315">
        <v>215.6</v>
      </c>
      <c r="J103" s="315">
        <v>90</v>
      </c>
      <c r="K103" s="315">
        <v>31</v>
      </c>
      <c r="L103" s="33">
        <f t="shared" si="8"/>
        <v>1.9403999999999999</v>
      </c>
      <c r="M103" s="34">
        <f>15/(60*24)</f>
        <v>1.0416666666666666E-2</v>
      </c>
      <c r="N103" s="313">
        <f>18/(24)</f>
        <v>0.75</v>
      </c>
      <c r="O103" s="309">
        <f>M103*3</f>
        <v>3.125E-2</v>
      </c>
      <c r="P103" s="82">
        <v>11</v>
      </c>
      <c r="Q103" s="315">
        <v>3</v>
      </c>
      <c r="R103" s="315">
        <v>3</v>
      </c>
      <c r="S103" s="315">
        <v>0</v>
      </c>
      <c r="T103" s="33">
        <v>2</v>
      </c>
      <c r="U103" s="315"/>
      <c r="V103" s="315" t="s">
        <v>558</v>
      </c>
      <c r="W103" s="84" t="s">
        <v>559</v>
      </c>
    </row>
    <row r="104" spans="1:23">
      <c r="A104" s="74" t="s">
        <v>484</v>
      </c>
      <c r="B104" s="32" t="s">
        <v>288</v>
      </c>
      <c r="C104" s="33" t="s">
        <v>555</v>
      </c>
      <c r="D104" s="33" t="s">
        <v>556</v>
      </c>
      <c r="E104" s="33">
        <v>2011</v>
      </c>
      <c r="F104" s="34" t="s">
        <v>4</v>
      </c>
      <c r="G104" s="34" t="s">
        <v>557</v>
      </c>
      <c r="H104" s="33"/>
      <c r="I104" s="33">
        <v>207.6</v>
      </c>
      <c r="J104" s="33">
        <v>60</v>
      </c>
      <c r="K104" s="33">
        <v>23</v>
      </c>
      <c r="L104" s="33">
        <f t="shared" si="8"/>
        <v>1.2456</v>
      </c>
      <c r="M104" s="34">
        <f>15/(60*24)</f>
        <v>1.0416666666666666E-2</v>
      </c>
      <c r="N104" s="313">
        <f>18/(24)</f>
        <v>0.75</v>
      </c>
      <c r="O104" s="309">
        <f>M104*3</f>
        <v>3.125E-2</v>
      </c>
      <c r="P104" s="82">
        <v>11</v>
      </c>
      <c r="Q104" s="33">
        <v>3</v>
      </c>
      <c r="R104" s="33">
        <v>2</v>
      </c>
      <c r="S104" s="33">
        <v>0</v>
      </c>
      <c r="T104" s="33">
        <v>2</v>
      </c>
      <c r="U104" s="33"/>
      <c r="V104" s="33" t="s">
        <v>558</v>
      </c>
      <c r="W104" s="33" t="s">
        <v>560</v>
      </c>
    </row>
    <row r="105" spans="1:23">
      <c r="A105" s="74" t="s">
        <v>484</v>
      </c>
      <c r="B105" s="32" t="s">
        <v>288</v>
      </c>
      <c r="C105" s="315" t="s">
        <v>555</v>
      </c>
      <c r="D105" s="315" t="s">
        <v>556</v>
      </c>
      <c r="E105" s="315">
        <v>2011</v>
      </c>
      <c r="F105" s="84" t="s">
        <v>4</v>
      </c>
      <c r="G105" s="84" t="s">
        <v>557</v>
      </c>
      <c r="H105" s="315"/>
      <c r="I105" s="315">
        <v>1</v>
      </c>
      <c r="J105" s="315">
        <f>(90+60)*(4)</f>
        <v>600</v>
      </c>
      <c r="K105" s="315">
        <f>31+23</f>
        <v>54</v>
      </c>
      <c r="L105" s="33">
        <f t="shared" si="8"/>
        <v>0.06</v>
      </c>
      <c r="M105" s="34">
        <f>5/(60*24)</f>
        <v>3.472222222222222E-3</v>
      </c>
      <c r="N105" s="72">
        <v>0</v>
      </c>
      <c r="O105" s="72">
        <f>M105</f>
        <v>3.472222222222222E-3</v>
      </c>
      <c r="P105" s="267">
        <f>O105</f>
        <v>3.472222222222222E-3</v>
      </c>
      <c r="Q105" s="315">
        <v>2</v>
      </c>
      <c r="R105" s="315">
        <v>1</v>
      </c>
      <c r="S105" s="315">
        <v>0</v>
      </c>
      <c r="T105" s="33">
        <v>0</v>
      </c>
      <c r="U105" s="315"/>
      <c r="V105" s="315" t="s">
        <v>558</v>
      </c>
      <c r="W105" s="309" t="s">
        <v>561</v>
      </c>
    </row>
    <row r="106" spans="1:23">
      <c r="A106" s="70" t="s">
        <v>484</v>
      </c>
      <c r="B106" s="71" t="s">
        <v>288</v>
      </c>
      <c r="C106" s="72" t="s">
        <v>555</v>
      </c>
      <c r="D106" s="72" t="s">
        <v>556</v>
      </c>
      <c r="E106" s="72">
        <v>2011</v>
      </c>
      <c r="F106" s="72" t="s">
        <v>4</v>
      </c>
      <c r="G106" s="72" t="s">
        <v>557</v>
      </c>
      <c r="H106" s="72"/>
      <c r="I106" s="72">
        <f>AVERAGE(I103:I104)</f>
        <v>211.6</v>
      </c>
      <c r="J106" s="72">
        <f>(90+60)</f>
        <v>150</v>
      </c>
      <c r="K106" s="72">
        <f>31+23</f>
        <v>54</v>
      </c>
      <c r="L106" s="72">
        <f t="shared" si="8"/>
        <v>3.1739999999999999</v>
      </c>
      <c r="M106" s="72">
        <f>60/(60+24)</f>
        <v>0.7142857142857143</v>
      </c>
      <c r="N106" s="72">
        <v>0</v>
      </c>
      <c r="O106" s="72">
        <f>M106</f>
        <v>0.7142857142857143</v>
      </c>
      <c r="P106" s="267">
        <f>O106</f>
        <v>0.7142857142857143</v>
      </c>
      <c r="Q106" s="72">
        <v>2</v>
      </c>
      <c r="R106" s="72">
        <v>1</v>
      </c>
      <c r="S106" s="72">
        <v>0</v>
      </c>
      <c r="T106" s="72">
        <v>0</v>
      </c>
      <c r="U106" s="72"/>
      <c r="V106" s="72" t="s">
        <v>562</v>
      </c>
      <c r="W106" s="267" t="s">
        <v>908</v>
      </c>
    </row>
    <row r="107" spans="1:23">
      <c r="A107" s="74" t="s">
        <v>484</v>
      </c>
      <c r="B107" s="32" t="s">
        <v>288</v>
      </c>
      <c r="C107" s="33" t="s">
        <v>87</v>
      </c>
      <c r="D107" s="33" t="s">
        <v>563</v>
      </c>
      <c r="E107" s="33">
        <v>2013</v>
      </c>
      <c r="F107" s="34" t="s">
        <v>490</v>
      </c>
      <c r="G107" s="34" t="s">
        <v>564</v>
      </c>
      <c r="H107" s="33" t="s">
        <v>565</v>
      </c>
      <c r="I107" s="33">
        <f>PI()*(0.039)^2</f>
        <v>4.7783624261100756E-3</v>
      </c>
      <c r="J107" s="33">
        <v>2</v>
      </c>
      <c r="K107" s="33">
        <v>6993</v>
      </c>
      <c r="L107" s="33">
        <f t="shared" si="8"/>
        <v>9.5567248522201522E-7</v>
      </c>
      <c r="M107" s="34">
        <f>1/(60*24)</f>
        <v>6.9444444444444447E-4</v>
      </c>
      <c r="N107" s="82">
        <v>0</v>
      </c>
      <c r="O107" s="82">
        <f>M107</f>
        <v>6.9444444444444447E-4</v>
      </c>
      <c r="P107" s="267">
        <f>O107</f>
        <v>6.9444444444444447E-4</v>
      </c>
      <c r="Q107" s="33">
        <v>0</v>
      </c>
      <c r="R107" s="33">
        <v>0</v>
      </c>
      <c r="S107" s="33">
        <v>1</v>
      </c>
      <c r="T107" s="33">
        <v>0</v>
      </c>
      <c r="U107" s="33"/>
      <c r="V107" s="33" t="s">
        <v>472</v>
      </c>
      <c r="W107" s="33" t="s">
        <v>566</v>
      </c>
    </row>
    <row r="108" spans="1:23">
      <c r="A108" s="74" t="s">
        <v>484</v>
      </c>
      <c r="B108" s="32" t="s">
        <v>288</v>
      </c>
      <c r="C108" s="33" t="s">
        <v>87</v>
      </c>
      <c r="D108" s="33" t="s">
        <v>563</v>
      </c>
      <c r="E108" s="33">
        <v>2013</v>
      </c>
      <c r="F108" s="34" t="s">
        <v>490</v>
      </c>
      <c r="G108" s="34" t="s">
        <v>564</v>
      </c>
      <c r="H108" s="33" t="s">
        <v>565</v>
      </c>
      <c r="I108" s="33">
        <f>PI()*(0.1)^2</f>
        <v>3.1415926535897934E-2</v>
      </c>
      <c r="J108" s="33">
        <f>(2*10)</f>
        <v>20</v>
      </c>
      <c r="K108" s="33">
        <v>6993</v>
      </c>
      <c r="L108" s="33">
        <f t="shared" si="8"/>
        <v>6.2831853071795856E-5</v>
      </c>
      <c r="M108" s="34">
        <f>5/(60*24)</f>
        <v>3.472222222222222E-3</v>
      </c>
      <c r="N108" s="82">
        <v>0</v>
      </c>
      <c r="O108" s="82">
        <f>M108</f>
        <v>3.472222222222222E-3</v>
      </c>
      <c r="P108" s="267">
        <f>O108</f>
        <v>3.472222222222222E-3</v>
      </c>
      <c r="Q108" s="33">
        <v>2</v>
      </c>
      <c r="R108" s="33">
        <v>1</v>
      </c>
      <c r="S108" s="33">
        <v>2</v>
      </c>
      <c r="T108" s="33">
        <v>3</v>
      </c>
      <c r="U108" s="33"/>
      <c r="V108" s="33" t="s">
        <v>472</v>
      </c>
      <c r="W108" s="33" t="s">
        <v>567</v>
      </c>
    </row>
    <row r="109" spans="1:23">
      <c r="A109" s="74" t="s">
        <v>484</v>
      </c>
      <c r="B109" s="32" t="s">
        <v>288</v>
      </c>
      <c r="C109" s="34" t="s">
        <v>2</v>
      </c>
      <c r="D109" s="34" t="s">
        <v>568</v>
      </c>
      <c r="E109" s="34">
        <v>2012</v>
      </c>
      <c r="F109" s="34" t="s">
        <v>4</v>
      </c>
      <c r="G109" s="34" t="s">
        <v>569</v>
      </c>
      <c r="H109" s="34" t="s">
        <v>570</v>
      </c>
      <c r="I109" s="34">
        <f>10*10</f>
        <v>100</v>
      </c>
      <c r="J109" s="34">
        <f>4*3</f>
        <v>12</v>
      </c>
      <c r="K109" s="34">
        <v>39.6</v>
      </c>
      <c r="L109" s="34">
        <f t="shared" si="8"/>
        <v>0.12</v>
      </c>
      <c r="M109" s="34">
        <f>1/24</f>
        <v>4.1666666666666664E-2</v>
      </c>
      <c r="N109" s="76">
        <f>AVERAGE(335,336,335)</f>
        <v>335.33333333333331</v>
      </c>
      <c r="O109" s="76">
        <f>M109*3</f>
        <v>0.125</v>
      </c>
      <c r="P109" s="76">
        <f>365*3</f>
        <v>1095</v>
      </c>
      <c r="Q109" s="34">
        <v>2</v>
      </c>
      <c r="R109" s="34">
        <v>2</v>
      </c>
      <c r="S109" s="34">
        <v>1</v>
      </c>
      <c r="T109" s="34">
        <v>1</v>
      </c>
      <c r="U109" s="34"/>
      <c r="V109" s="34" t="s">
        <v>571</v>
      </c>
      <c r="W109" s="34" t="s">
        <v>572</v>
      </c>
    </row>
    <row r="110" spans="1:23">
      <c r="A110" s="74" t="s">
        <v>484</v>
      </c>
      <c r="B110" s="32" t="s">
        <v>288</v>
      </c>
      <c r="C110" s="34" t="s">
        <v>2</v>
      </c>
      <c r="D110" s="34" t="s">
        <v>568</v>
      </c>
      <c r="E110" s="34">
        <v>2012</v>
      </c>
      <c r="F110" s="34" t="s">
        <v>490</v>
      </c>
      <c r="G110" s="34" t="s">
        <v>569</v>
      </c>
      <c r="H110" s="34" t="s">
        <v>570</v>
      </c>
      <c r="I110" s="34">
        <f>PI()*(0.03/2)^2</f>
        <v>7.0685834705770342E-4</v>
      </c>
      <c r="J110" s="267">
        <v>4</v>
      </c>
      <c r="K110" s="34">
        <v>39.6</v>
      </c>
      <c r="L110" s="34">
        <f t="shared" si="8"/>
        <v>2.8274333882308138E-7</v>
      </c>
      <c r="M110" s="85">
        <f>1/(60*24)*24</f>
        <v>1.6666666666666666E-2</v>
      </c>
      <c r="N110" s="85">
        <v>1</v>
      </c>
      <c r="O110" s="85">
        <f>M110*365</f>
        <v>6.083333333333333</v>
      </c>
      <c r="P110" s="267">
        <f>365</f>
        <v>365</v>
      </c>
      <c r="Q110" s="34">
        <v>0</v>
      </c>
      <c r="R110" s="34">
        <v>0</v>
      </c>
      <c r="S110" s="34">
        <v>0</v>
      </c>
      <c r="T110" s="34">
        <v>0</v>
      </c>
      <c r="U110" s="34"/>
      <c r="V110" s="267" t="s">
        <v>910</v>
      </c>
      <c r="W110" s="34" t="s">
        <v>573</v>
      </c>
    </row>
    <row r="111" spans="1:23">
      <c r="A111" s="74" t="s">
        <v>484</v>
      </c>
      <c r="B111" s="32" t="s">
        <v>288</v>
      </c>
      <c r="C111" s="34" t="s">
        <v>2</v>
      </c>
      <c r="D111" s="34" t="s">
        <v>568</v>
      </c>
      <c r="E111" s="34">
        <v>2012</v>
      </c>
      <c r="F111" s="34" t="s">
        <v>490</v>
      </c>
      <c r="G111" s="34" t="s">
        <v>569</v>
      </c>
      <c r="H111" s="34" t="s">
        <v>570</v>
      </c>
      <c r="I111" s="34">
        <f>PI()*(0.142/2)^2</f>
        <v>1.5836768566746144E-2</v>
      </c>
      <c r="J111" s="34">
        <f>2*2</f>
        <v>4</v>
      </c>
      <c r="K111" s="34">
        <v>39.6</v>
      </c>
      <c r="L111" s="34">
        <f t="shared" si="8"/>
        <v>6.3347074266984576E-6</v>
      </c>
      <c r="M111" s="85">
        <v>1</v>
      </c>
      <c r="N111" s="85">
        <f>1</f>
        <v>1</v>
      </c>
      <c r="O111" s="85">
        <f>M111*365</f>
        <v>365</v>
      </c>
      <c r="P111" s="267">
        <f>365</f>
        <v>365</v>
      </c>
      <c r="Q111" s="34">
        <v>0</v>
      </c>
      <c r="R111" s="34">
        <v>0</v>
      </c>
      <c r="S111" s="34">
        <v>1</v>
      </c>
      <c r="T111" s="34">
        <v>0</v>
      </c>
      <c r="U111" s="34"/>
      <c r="V111" s="267" t="s">
        <v>912</v>
      </c>
      <c r="W111" s="34" t="s">
        <v>575</v>
      </c>
    </row>
    <row r="112" spans="1:23">
      <c r="A112" s="74" t="s">
        <v>484</v>
      </c>
      <c r="B112" s="32" t="s">
        <v>288</v>
      </c>
      <c r="C112" s="34" t="s">
        <v>2</v>
      </c>
      <c r="D112" s="34" t="s">
        <v>568</v>
      </c>
      <c r="E112" s="34">
        <v>2012</v>
      </c>
      <c r="F112" s="34" t="s">
        <v>490</v>
      </c>
      <c r="G112" s="34" t="s">
        <v>569</v>
      </c>
      <c r="H112" s="34" t="s">
        <v>570</v>
      </c>
      <c r="I112" s="34">
        <f>2*(0.01206)</f>
        <v>2.4119999999999999E-2</v>
      </c>
      <c r="J112" s="34">
        <f>4*4</f>
        <v>16</v>
      </c>
      <c r="K112" s="34">
        <v>39.6</v>
      </c>
      <c r="L112" s="34">
        <f t="shared" si="8"/>
        <v>3.8591999999999999E-5</v>
      </c>
      <c r="M112" s="85">
        <v>1</v>
      </c>
      <c r="N112" s="85">
        <v>1</v>
      </c>
      <c r="O112" s="85">
        <f>M112*365</f>
        <v>365</v>
      </c>
      <c r="P112" s="267">
        <f>365</f>
        <v>365</v>
      </c>
      <c r="Q112" s="34">
        <v>0</v>
      </c>
      <c r="R112" s="34">
        <v>0</v>
      </c>
      <c r="S112" s="34">
        <v>1</v>
      </c>
      <c r="T112" s="34">
        <v>0</v>
      </c>
      <c r="U112" s="34"/>
      <c r="V112" s="267" t="s">
        <v>911</v>
      </c>
      <c r="W112" s="34" t="s">
        <v>576</v>
      </c>
    </row>
    <row r="113" spans="1:23">
      <c r="A113" s="74" t="s">
        <v>484</v>
      </c>
      <c r="B113" s="32" t="s">
        <v>288</v>
      </c>
      <c r="C113" s="34" t="s">
        <v>2</v>
      </c>
      <c r="D113" s="34" t="s">
        <v>568</v>
      </c>
      <c r="E113" s="34">
        <v>2012</v>
      </c>
      <c r="F113" s="34" t="s">
        <v>4</v>
      </c>
      <c r="G113" s="34" t="s">
        <v>569</v>
      </c>
      <c r="H113" s="34" t="s">
        <v>570</v>
      </c>
      <c r="I113" s="34">
        <v>0.5292</v>
      </c>
      <c r="J113" s="72">
        <v>12</v>
      </c>
      <c r="K113" s="34">
        <v>39.6</v>
      </c>
      <c r="L113" s="34">
        <f t="shared" si="8"/>
        <v>6.3504000000000002E-4</v>
      </c>
      <c r="M113" s="34">
        <f>(1/60)/(60*24)</f>
        <v>1.1574074074074073E-5</v>
      </c>
      <c r="N113" s="85">
        <v>0</v>
      </c>
      <c r="O113" s="85">
        <f>M113</f>
        <v>1.1574074074074073E-5</v>
      </c>
      <c r="P113" s="267">
        <f>O113</f>
        <v>1.1574074074074073E-5</v>
      </c>
      <c r="Q113" s="34">
        <v>2</v>
      </c>
      <c r="R113" s="34">
        <v>1</v>
      </c>
      <c r="S113" s="34">
        <v>0</v>
      </c>
      <c r="T113" s="34">
        <v>1</v>
      </c>
      <c r="U113" s="34"/>
      <c r="V113" s="267" t="s">
        <v>909</v>
      </c>
      <c r="W113" s="34" t="s">
        <v>577</v>
      </c>
    </row>
    <row r="114" spans="1:23">
      <c r="A114" s="74" t="s">
        <v>484</v>
      </c>
      <c r="B114" s="32" t="s">
        <v>288</v>
      </c>
      <c r="C114" s="34" t="s">
        <v>2</v>
      </c>
      <c r="D114" s="34" t="s">
        <v>568</v>
      </c>
      <c r="E114" s="34">
        <v>2012</v>
      </c>
      <c r="F114" s="34" t="s">
        <v>4</v>
      </c>
      <c r="G114" s="34" t="s">
        <v>569</v>
      </c>
      <c r="H114" s="34" t="s">
        <v>570</v>
      </c>
      <c r="I114" s="34">
        <v>1E-3</v>
      </c>
      <c r="J114" s="72">
        <v>12</v>
      </c>
      <c r="K114" s="34">
        <v>39.6</v>
      </c>
      <c r="L114" s="34">
        <f t="shared" si="8"/>
        <v>1.1999999999999999E-6</v>
      </c>
      <c r="M114" s="76">
        <f>1/(60*24)</f>
        <v>6.9444444444444447E-4</v>
      </c>
      <c r="N114" s="76">
        <v>365</v>
      </c>
      <c r="O114" s="85">
        <f>M114*2</f>
        <v>1.3888888888888889E-3</v>
      </c>
      <c r="P114" s="267">
        <f>N114</f>
        <v>365</v>
      </c>
      <c r="Q114" s="34">
        <v>2</v>
      </c>
      <c r="R114" s="34">
        <v>1</v>
      </c>
      <c r="S114" s="34">
        <v>0</v>
      </c>
      <c r="T114" s="34">
        <v>1</v>
      </c>
      <c r="U114" s="34"/>
      <c r="V114" s="34" t="s">
        <v>578</v>
      </c>
      <c r="W114" s="34" t="s">
        <v>579</v>
      </c>
    </row>
    <row r="115" spans="1:23">
      <c r="A115" s="74" t="s">
        <v>484</v>
      </c>
      <c r="B115" s="32" t="s">
        <v>288</v>
      </c>
      <c r="C115" s="34" t="s">
        <v>2</v>
      </c>
      <c r="D115" s="34" t="s">
        <v>568</v>
      </c>
      <c r="E115" s="34">
        <v>2012</v>
      </c>
      <c r="F115" s="34" t="s">
        <v>4</v>
      </c>
      <c r="G115" s="34" t="s">
        <v>569</v>
      </c>
      <c r="H115" s="34" t="s">
        <v>570</v>
      </c>
      <c r="I115" s="34">
        <v>0.25</v>
      </c>
      <c r="J115" s="34">
        <f>4*6</f>
        <v>24</v>
      </c>
      <c r="K115" s="34">
        <v>39.6</v>
      </c>
      <c r="L115" s="34">
        <f t="shared" si="8"/>
        <v>5.9999999999999995E-4</v>
      </c>
      <c r="M115" s="85">
        <v>60</v>
      </c>
      <c r="N115" s="82">
        <f>9*30.5</f>
        <v>274.5</v>
      </c>
      <c r="O115" s="85">
        <f>M115*2</f>
        <v>120</v>
      </c>
      <c r="P115" s="267">
        <f>N115+M115*2</f>
        <v>394.5</v>
      </c>
      <c r="Q115" s="34">
        <v>2</v>
      </c>
      <c r="R115" s="34">
        <v>1</v>
      </c>
      <c r="S115" s="34">
        <v>1</v>
      </c>
      <c r="T115" s="34">
        <v>1</v>
      </c>
      <c r="U115" s="34"/>
      <c r="V115" s="267" t="s">
        <v>913</v>
      </c>
      <c r="W115" s="34" t="s">
        <v>580</v>
      </c>
    </row>
    <row r="116" spans="1:23">
      <c r="A116" s="74" t="s">
        <v>484</v>
      </c>
      <c r="B116" s="32" t="s">
        <v>288</v>
      </c>
      <c r="C116" s="42" t="s">
        <v>2</v>
      </c>
      <c r="D116" s="42" t="s">
        <v>568</v>
      </c>
      <c r="E116" s="42">
        <v>2012</v>
      </c>
      <c r="F116" s="42" t="s">
        <v>4</v>
      </c>
      <c r="G116" s="42" t="s">
        <v>569</v>
      </c>
      <c r="H116" s="42" t="s">
        <v>570</v>
      </c>
      <c r="I116" s="42">
        <v>1</v>
      </c>
      <c r="J116" s="42">
        <f>4*2</f>
        <v>8</v>
      </c>
      <c r="K116" s="42">
        <v>39.6</v>
      </c>
      <c r="L116" s="42">
        <f t="shared" si="8"/>
        <v>8.0000000000000004E-4</v>
      </c>
      <c r="M116" s="42">
        <f>15/(60*24)</f>
        <v>1.0416666666666666E-2</v>
      </c>
      <c r="N116" s="267">
        <v>365</v>
      </c>
      <c r="O116" s="75">
        <f>M116*2</f>
        <v>2.0833333333333332E-2</v>
      </c>
      <c r="P116" s="267">
        <f>365</f>
        <v>365</v>
      </c>
      <c r="Q116" s="42">
        <v>1</v>
      </c>
      <c r="R116" s="42">
        <v>1</v>
      </c>
      <c r="S116" s="42">
        <v>1</v>
      </c>
      <c r="T116" s="42">
        <v>0</v>
      </c>
      <c r="U116" s="42"/>
      <c r="V116" s="42" t="s">
        <v>402</v>
      </c>
      <c r="W116" s="42" t="s">
        <v>581</v>
      </c>
    </row>
    <row r="117" spans="1:23">
      <c r="A117" s="74" t="s">
        <v>484</v>
      </c>
      <c r="B117" s="32" t="s">
        <v>288</v>
      </c>
      <c r="C117" s="34" t="s">
        <v>2</v>
      </c>
      <c r="D117" s="34" t="s">
        <v>568</v>
      </c>
      <c r="E117" s="34">
        <v>2012</v>
      </c>
      <c r="F117" s="34" t="s">
        <v>4</v>
      </c>
      <c r="G117" s="34" t="s">
        <v>569</v>
      </c>
      <c r="H117" s="34" t="s">
        <v>570</v>
      </c>
      <c r="I117" s="34">
        <f>PI()*(0.035/2)^2</f>
        <v>9.6211275016187424E-4</v>
      </c>
      <c r="J117" s="34">
        <f>4*40</f>
        <v>160</v>
      </c>
      <c r="K117" s="34">
        <v>39.6</v>
      </c>
      <c r="L117" s="34">
        <f t="shared" si="8"/>
        <v>1.5393804002589989E-5</v>
      </c>
      <c r="M117" s="34">
        <f>5/(60*24)</f>
        <v>3.472222222222222E-3</v>
      </c>
      <c r="N117" s="76">
        <v>365</v>
      </c>
      <c r="O117" s="76">
        <f>M117*2</f>
        <v>6.9444444444444441E-3</v>
      </c>
      <c r="P117" s="267">
        <f>365</f>
        <v>365</v>
      </c>
      <c r="Q117" s="34">
        <v>2</v>
      </c>
      <c r="R117" s="34">
        <v>1</v>
      </c>
      <c r="S117" s="34">
        <v>2</v>
      </c>
      <c r="T117" s="34">
        <v>0</v>
      </c>
      <c r="U117" s="34"/>
      <c r="V117" s="34" t="s">
        <v>582</v>
      </c>
      <c r="W117" s="34" t="s">
        <v>583</v>
      </c>
    </row>
    <row r="118" spans="1:23">
      <c r="A118" s="74" t="s">
        <v>484</v>
      </c>
      <c r="B118" s="32" t="s">
        <v>288</v>
      </c>
      <c r="C118" s="34" t="s">
        <v>2</v>
      </c>
      <c r="D118" s="34" t="s">
        <v>568</v>
      </c>
      <c r="E118" s="34">
        <v>2012</v>
      </c>
      <c r="F118" s="34" t="s">
        <v>490</v>
      </c>
      <c r="G118" s="34" t="s">
        <v>569</v>
      </c>
      <c r="H118" s="34" t="s">
        <v>570</v>
      </c>
      <c r="I118" s="75">
        <f>(PI()*(0.2/2)^2)</f>
        <v>3.1415926535897934E-2</v>
      </c>
      <c r="J118" s="34">
        <f>(12*2)</f>
        <v>24</v>
      </c>
      <c r="K118" s="34">
        <v>39.6</v>
      </c>
      <c r="L118" s="34">
        <f t="shared" si="8"/>
        <v>7.5398223686155047E-5</v>
      </c>
      <c r="M118" s="75">
        <f>(12*4)/(60*60*24)</f>
        <v>5.5555555555555556E-4</v>
      </c>
      <c r="N118" s="75">
        <v>14</v>
      </c>
      <c r="O118" s="75">
        <f>M118*(24)</f>
        <v>1.3333333333333332E-2</v>
      </c>
      <c r="P118" s="267">
        <v>365</v>
      </c>
      <c r="Q118" s="34">
        <v>2</v>
      </c>
      <c r="R118" s="34">
        <v>1</v>
      </c>
      <c r="S118" s="34">
        <v>2</v>
      </c>
      <c r="T118" s="34">
        <v>0</v>
      </c>
      <c r="U118" s="34"/>
      <c r="V118" s="34" t="s">
        <v>584</v>
      </c>
      <c r="W118" s="86" t="s">
        <v>585</v>
      </c>
    </row>
    <row r="119" spans="1:23">
      <c r="A119" s="74" t="s">
        <v>484</v>
      </c>
      <c r="B119" s="32" t="s">
        <v>288</v>
      </c>
      <c r="C119" s="34" t="s">
        <v>2</v>
      </c>
      <c r="D119" s="34" t="s">
        <v>568</v>
      </c>
      <c r="E119" s="34">
        <v>2012</v>
      </c>
      <c r="F119" s="34" t="s">
        <v>4</v>
      </c>
      <c r="G119" s="34" t="s">
        <v>569</v>
      </c>
      <c r="H119" s="34" t="s">
        <v>570</v>
      </c>
      <c r="I119" s="34">
        <f>2*PI()*(0.003)*(0.003+0.1)</f>
        <v>1.9415042599184923E-3</v>
      </c>
      <c r="J119" s="34">
        <f>12*2</f>
        <v>24</v>
      </c>
      <c r="K119" s="34">
        <v>39.6</v>
      </c>
      <c r="L119" s="34">
        <f t="shared" si="8"/>
        <v>4.6596102238043812E-6</v>
      </c>
      <c r="M119" s="75">
        <f>4/(60*24)</f>
        <v>2.7777777777777779E-3</v>
      </c>
      <c r="N119" s="75">
        <v>14</v>
      </c>
      <c r="O119" s="75">
        <f>M119*(24)</f>
        <v>6.6666666666666666E-2</v>
      </c>
      <c r="P119" s="267">
        <v>365</v>
      </c>
      <c r="Q119" s="34">
        <v>0</v>
      </c>
      <c r="R119" s="34">
        <v>0</v>
      </c>
      <c r="S119" s="34">
        <v>0</v>
      </c>
      <c r="T119" s="34">
        <v>0</v>
      </c>
      <c r="U119" s="34"/>
      <c r="V119" s="34" t="s">
        <v>586</v>
      </c>
      <c r="W119" s="86" t="s">
        <v>587</v>
      </c>
    </row>
    <row r="120" spans="1:23">
      <c r="A120" s="74" t="s">
        <v>484</v>
      </c>
      <c r="B120" s="32" t="s">
        <v>288</v>
      </c>
      <c r="C120" s="34" t="s">
        <v>2</v>
      </c>
      <c r="D120" s="34" t="s">
        <v>568</v>
      </c>
      <c r="E120" s="34">
        <v>2012</v>
      </c>
      <c r="F120" s="34" t="s">
        <v>4</v>
      </c>
      <c r="G120" s="34" t="s">
        <v>569</v>
      </c>
      <c r="H120" s="34" t="s">
        <v>570</v>
      </c>
      <c r="I120" s="34">
        <f>3*(2*PI()*(0.04)*(0.04+0.17))</f>
        <v>0.1583362697409256</v>
      </c>
      <c r="J120" s="34">
        <f>12*2</f>
        <v>24</v>
      </c>
      <c r="K120" s="34">
        <v>39.6</v>
      </c>
      <c r="L120" s="34">
        <f t="shared" si="8"/>
        <v>3.8000704737822143E-4</v>
      </c>
      <c r="M120" s="75">
        <f>4/(60*24)</f>
        <v>2.7777777777777779E-3</v>
      </c>
      <c r="N120" s="75">
        <v>14</v>
      </c>
      <c r="O120" s="75">
        <f>M120*(24)</f>
        <v>6.6666666666666666E-2</v>
      </c>
      <c r="P120" s="267">
        <v>365</v>
      </c>
      <c r="Q120" s="34">
        <v>0</v>
      </c>
      <c r="R120" s="34">
        <v>0</v>
      </c>
      <c r="S120" s="34">
        <v>1</v>
      </c>
      <c r="T120" s="34">
        <v>0</v>
      </c>
      <c r="U120" s="34"/>
      <c r="V120" s="34" t="s">
        <v>588</v>
      </c>
      <c r="W120" s="86" t="s">
        <v>589</v>
      </c>
    </row>
    <row r="121" spans="1:23">
      <c r="A121" s="74" t="s">
        <v>484</v>
      </c>
      <c r="B121" s="32" t="s">
        <v>288</v>
      </c>
      <c r="C121" s="34" t="s">
        <v>2</v>
      </c>
      <c r="D121" s="34" t="s">
        <v>568</v>
      </c>
      <c r="E121" s="34">
        <v>2012</v>
      </c>
      <c r="F121" s="34" t="s">
        <v>490</v>
      </c>
      <c r="G121" s="34" t="s">
        <v>569</v>
      </c>
      <c r="H121" s="34" t="s">
        <v>570</v>
      </c>
      <c r="I121" s="34">
        <f>PI()*(0.2/2)^2</f>
        <v>3.1415926535897934E-2</v>
      </c>
      <c r="J121" s="34">
        <f>4+7</f>
        <v>11</v>
      </c>
      <c r="K121" s="34">
        <f>1131</f>
        <v>1131</v>
      </c>
      <c r="L121" s="34">
        <f t="shared" si="8"/>
        <v>3.4557519189487729E-5</v>
      </c>
      <c r="M121" s="75">
        <f>(12*4)/(60*60*24)</f>
        <v>5.5555555555555556E-4</v>
      </c>
      <c r="N121" s="83">
        <f>62/4</f>
        <v>15.5</v>
      </c>
      <c r="O121" s="83">
        <f>M121*4</f>
        <v>2.2222222222222222E-3</v>
      </c>
      <c r="P121" s="34">
        <f>31*2</f>
        <v>62</v>
      </c>
      <c r="Q121" s="34">
        <v>2</v>
      </c>
      <c r="R121" s="34">
        <v>1</v>
      </c>
      <c r="S121" s="34">
        <v>2</v>
      </c>
      <c r="T121" s="34">
        <v>0</v>
      </c>
      <c r="U121" s="34"/>
      <c r="V121" s="34" t="s">
        <v>590</v>
      </c>
      <c r="W121" s="34" t="s">
        <v>591</v>
      </c>
    </row>
    <row r="122" spans="1:23">
      <c r="A122" s="74" t="s">
        <v>484</v>
      </c>
      <c r="B122" s="32" t="s">
        <v>288</v>
      </c>
      <c r="C122" s="34" t="s">
        <v>2</v>
      </c>
      <c r="D122" s="34" t="s">
        <v>568</v>
      </c>
      <c r="E122" s="34">
        <v>2012</v>
      </c>
      <c r="F122" s="34" t="s">
        <v>4</v>
      </c>
      <c r="G122" s="34" t="s">
        <v>569</v>
      </c>
      <c r="H122" s="34" t="s">
        <v>570</v>
      </c>
      <c r="I122" s="34">
        <f>PI()*(0.035/2)^2</f>
        <v>9.6211275016187424E-4</v>
      </c>
      <c r="J122" s="80">
        <f>4*2*6</f>
        <v>48</v>
      </c>
      <c r="K122" s="80">
        <v>39.6</v>
      </c>
      <c r="L122" s="34">
        <f t="shared" si="8"/>
        <v>4.6181412007769963E-6</v>
      </c>
      <c r="M122" s="34">
        <f>5/(60*24)</f>
        <v>3.472222222222222E-3</v>
      </c>
      <c r="N122" s="267">
        <v>0</v>
      </c>
      <c r="O122" s="267">
        <f>M122</f>
        <v>3.472222222222222E-3</v>
      </c>
      <c r="P122" s="267">
        <v>31</v>
      </c>
      <c r="Q122" s="34">
        <v>1</v>
      </c>
      <c r="R122" s="34">
        <v>1</v>
      </c>
      <c r="S122" s="34">
        <v>2</v>
      </c>
      <c r="T122" s="34">
        <v>0</v>
      </c>
      <c r="U122" s="34"/>
      <c r="V122" s="34" t="s">
        <v>582</v>
      </c>
      <c r="W122" s="34" t="s">
        <v>592</v>
      </c>
    </row>
    <row r="123" spans="1:23">
      <c r="A123" s="74" t="s">
        <v>484</v>
      </c>
      <c r="B123" s="32" t="s">
        <v>288</v>
      </c>
      <c r="C123" s="33" t="s">
        <v>23</v>
      </c>
      <c r="D123" s="33" t="s">
        <v>593</v>
      </c>
      <c r="E123" s="33">
        <v>2007</v>
      </c>
      <c r="F123" s="34" t="s">
        <v>4</v>
      </c>
      <c r="G123" s="34" t="s">
        <v>594</v>
      </c>
      <c r="H123" s="34" t="s">
        <v>595</v>
      </c>
      <c r="I123" s="34">
        <f>PI()*(0.0508/2)^2</f>
        <v>2.0268299163899908E-3</v>
      </c>
      <c r="J123" s="33">
        <v>4</v>
      </c>
      <c r="K123" s="33">
        <f>L123</f>
        <v>8.1073196655599628E-7</v>
      </c>
      <c r="L123" s="33">
        <f t="shared" si="8"/>
        <v>8.1073196655599628E-7</v>
      </c>
      <c r="M123" s="75">
        <f>2/(60*24)*4</f>
        <v>5.5555555555555558E-3</v>
      </c>
      <c r="N123" s="82">
        <v>0</v>
      </c>
      <c r="O123" s="75">
        <f>M123</f>
        <v>5.5555555555555558E-3</v>
      </c>
      <c r="P123" s="267">
        <f t="shared" ref="P123:P130" si="9">O123</f>
        <v>5.5555555555555558E-3</v>
      </c>
      <c r="Q123" s="33">
        <v>3</v>
      </c>
      <c r="R123" s="33">
        <v>1</v>
      </c>
      <c r="S123" s="33">
        <v>0</v>
      </c>
      <c r="T123" s="33">
        <v>3</v>
      </c>
      <c r="U123" s="33"/>
      <c r="V123" s="34" t="s">
        <v>596</v>
      </c>
      <c r="W123" s="34" t="s">
        <v>597</v>
      </c>
    </row>
    <row r="124" spans="1:23">
      <c r="A124" s="74" t="s">
        <v>484</v>
      </c>
      <c r="B124" s="32" t="s">
        <v>288</v>
      </c>
      <c r="C124" s="33" t="s">
        <v>23</v>
      </c>
      <c r="D124" s="33" t="s">
        <v>593</v>
      </c>
      <c r="E124" s="33">
        <v>2007</v>
      </c>
      <c r="F124" s="34" t="s">
        <v>4</v>
      </c>
      <c r="G124" s="34" t="s">
        <v>598</v>
      </c>
      <c r="H124" s="34" t="s">
        <v>595</v>
      </c>
      <c r="I124" s="34">
        <f>PI()*(0.1/2)^2</f>
        <v>7.8539816339744835E-3</v>
      </c>
      <c r="J124" s="33">
        <v>1</v>
      </c>
      <c r="K124" s="33">
        <f>PI()*50^2/10000</f>
        <v>0.78539816339744828</v>
      </c>
      <c r="L124" s="33">
        <f t="shared" si="8"/>
        <v>7.8539816339744833E-7</v>
      </c>
      <c r="M124" s="82">
        <f>5/(60*24)</f>
        <v>3.472222222222222E-3</v>
      </c>
      <c r="N124" s="82">
        <v>0</v>
      </c>
      <c r="O124" s="82">
        <f>M124</f>
        <v>3.472222222222222E-3</v>
      </c>
      <c r="P124" s="267">
        <f t="shared" si="9"/>
        <v>3.472222222222222E-3</v>
      </c>
      <c r="Q124" s="33">
        <v>3</v>
      </c>
      <c r="R124" s="33">
        <v>0</v>
      </c>
      <c r="S124" s="33">
        <v>0</v>
      </c>
      <c r="T124" s="33">
        <v>3</v>
      </c>
      <c r="U124" s="34" t="s">
        <v>599</v>
      </c>
      <c r="V124" s="34" t="s">
        <v>600</v>
      </c>
      <c r="W124" s="34" t="s">
        <v>601</v>
      </c>
    </row>
    <row r="125" spans="1:23">
      <c r="A125" s="74" t="s">
        <v>484</v>
      </c>
      <c r="B125" s="32" t="s">
        <v>288</v>
      </c>
      <c r="C125" s="33" t="s">
        <v>23</v>
      </c>
      <c r="D125" s="33" t="s">
        <v>593</v>
      </c>
      <c r="E125" s="33">
        <v>2007</v>
      </c>
      <c r="F125" s="34" t="s">
        <v>4</v>
      </c>
      <c r="G125" s="34" t="s">
        <v>602</v>
      </c>
      <c r="H125" s="34" t="s">
        <v>595</v>
      </c>
      <c r="I125" s="34">
        <f>PI()*(0.0508/2)^2</f>
        <v>2.0268299163899908E-3</v>
      </c>
      <c r="J125" s="33">
        <v>1</v>
      </c>
      <c r="K125" s="33">
        <f>PI()*50^2/10000</f>
        <v>0.78539816339744828</v>
      </c>
      <c r="L125" s="33">
        <f t="shared" si="8"/>
        <v>2.0268299163899907E-7</v>
      </c>
      <c r="M125" s="82">
        <v>15</v>
      </c>
      <c r="N125" s="82">
        <v>0</v>
      </c>
      <c r="O125" s="82">
        <f>M125</f>
        <v>15</v>
      </c>
      <c r="P125" s="267">
        <f t="shared" si="9"/>
        <v>15</v>
      </c>
      <c r="Q125" s="33">
        <v>3</v>
      </c>
      <c r="R125" s="33">
        <v>0</v>
      </c>
      <c r="S125" s="33">
        <v>0</v>
      </c>
      <c r="T125" s="33">
        <v>3</v>
      </c>
      <c r="U125" s="34" t="s">
        <v>599</v>
      </c>
      <c r="V125" s="34" t="s">
        <v>600</v>
      </c>
      <c r="W125" s="34" t="s">
        <v>603</v>
      </c>
    </row>
    <row r="126" spans="1:23">
      <c r="A126" s="74" t="s">
        <v>484</v>
      </c>
      <c r="B126" s="32" t="s">
        <v>288</v>
      </c>
      <c r="C126" s="33" t="s">
        <v>23</v>
      </c>
      <c r="D126" s="33" t="s">
        <v>593</v>
      </c>
      <c r="E126" s="33">
        <v>2007</v>
      </c>
      <c r="F126" s="34" t="s">
        <v>4</v>
      </c>
      <c r="G126" s="34" t="s">
        <v>604</v>
      </c>
      <c r="H126" s="34" t="s">
        <v>595</v>
      </c>
      <c r="I126" s="34">
        <f>PI()*(0.0508/2)^2</f>
        <v>2.0268299163899908E-3</v>
      </c>
      <c r="J126" s="33">
        <v>4</v>
      </c>
      <c r="K126" s="33">
        <f>L126</f>
        <v>8.1073196655599628E-7</v>
      </c>
      <c r="L126" s="33">
        <f t="shared" si="8"/>
        <v>8.1073196655599628E-7</v>
      </c>
      <c r="M126" s="33">
        <f>1/(60*24)</f>
        <v>6.9444444444444447E-4</v>
      </c>
      <c r="N126" s="82">
        <v>0</v>
      </c>
      <c r="O126" s="33">
        <f>M126*1</f>
        <v>6.9444444444444447E-4</v>
      </c>
      <c r="P126" s="267">
        <f t="shared" si="9"/>
        <v>6.9444444444444447E-4</v>
      </c>
      <c r="Q126" s="33">
        <v>3</v>
      </c>
      <c r="R126" s="33">
        <v>0</v>
      </c>
      <c r="S126" s="33">
        <v>0</v>
      </c>
      <c r="T126" s="33">
        <v>3</v>
      </c>
      <c r="U126" s="34" t="s">
        <v>605</v>
      </c>
      <c r="V126" s="34" t="s">
        <v>465</v>
      </c>
      <c r="W126" s="34" t="s">
        <v>606</v>
      </c>
    </row>
    <row r="127" spans="1:23">
      <c r="A127" s="74" t="s">
        <v>484</v>
      </c>
      <c r="B127" s="32" t="s">
        <v>288</v>
      </c>
      <c r="C127" s="33" t="s">
        <v>23</v>
      </c>
      <c r="D127" s="33" t="s">
        <v>593</v>
      </c>
      <c r="E127" s="33">
        <v>2007</v>
      </c>
      <c r="F127" s="34" t="s">
        <v>4</v>
      </c>
      <c r="G127" s="34" t="s">
        <v>607</v>
      </c>
      <c r="H127" s="34" t="s">
        <v>595</v>
      </c>
      <c r="I127" s="34">
        <f>PI()*(0.1/2)^2</f>
        <v>7.8539816339744835E-3</v>
      </c>
      <c r="J127" s="33">
        <v>1</v>
      </c>
      <c r="K127" s="33">
        <f>L127</f>
        <v>7.8539816339744833E-7</v>
      </c>
      <c r="L127" s="33">
        <f t="shared" si="8"/>
        <v>7.8539816339744833E-7</v>
      </c>
      <c r="M127" s="33">
        <f>5/(60*24)</f>
        <v>3.472222222222222E-3</v>
      </c>
      <c r="N127" s="33">
        <v>0</v>
      </c>
      <c r="O127" s="82">
        <f>M127</f>
        <v>3.472222222222222E-3</v>
      </c>
      <c r="P127" s="267">
        <f t="shared" si="9"/>
        <v>3.472222222222222E-3</v>
      </c>
      <c r="Q127" s="33">
        <v>3</v>
      </c>
      <c r="R127" s="33">
        <v>0</v>
      </c>
      <c r="S127" s="33">
        <v>0</v>
      </c>
      <c r="T127" s="33">
        <v>3</v>
      </c>
      <c r="U127" s="33" t="s">
        <v>608</v>
      </c>
      <c r="V127" s="34" t="s">
        <v>574</v>
      </c>
      <c r="W127" s="34" t="s">
        <v>609</v>
      </c>
    </row>
    <row r="128" spans="1:23">
      <c r="A128" s="74" t="s">
        <v>484</v>
      </c>
      <c r="B128" s="32" t="s">
        <v>288</v>
      </c>
      <c r="C128" s="33" t="s">
        <v>87</v>
      </c>
      <c r="D128" s="33" t="s">
        <v>610</v>
      </c>
      <c r="E128" s="33">
        <v>2013</v>
      </c>
      <c r="F128" s="33" t="s">
        <v>4</v>
      </c>
      <c r="G128" s="33" t="s">
        <v>611</v>
      </c>
      <c r="H128" s="34" t="s">
        <v>612</v>
      </c>
      <c r="I128" s="33">
        <f>PI()*(0.0635/2)^2</f>
        <v>3.1669217443593611E-3</v>
      </c>
      <c r="J128" s="33">
        <v>12</v>
      </c>
      <c r="K128" s="33">
        <f>1.5*100</f>
        <v>150</v>
      </c>
      <c r="L128" s="33">
        <f t="shared" si="8"/>
        <v>3.800306093231233E-6</v>
      </c>
      <c r="M128" s="33">
        <f>10/(60*24)</f>
        <v>6.9444444444444441E-3</v>
      </c>
      <c r="N128" s="82">
        <v>0</v>
      </c>
      <c r="O128" s="309">
        <f>M128*1</f>
        <v>6.9444444444444441E-3</v>
      </c>
      <c r="P128" s="267">
        <f t="shared" si="9"/>
        <v>6.9444444444444441E-3</v>
      </c>
      <c r="Q128" s="33">
        <v>2</v>
      </c>
      <c r="R128" s="33">
        <v>1</v>
      </c>
      <c r="S128" s="33">
        <v>1</v>
      </c>
      <c r="T128" s="33">
        <v>0</v>
      </c>
      <c r="U128" s="33"/>
      <c r="V128" s="267" t="s">
        <v>914</v>
      </c>
      <c r="W128" s="34" t="s">
        <v>613</v>
      </c>
    </row>
    <row r="129" spans="1:23">
      <c r="A129" s="74" t="s">
        <v>484</v>
      </c>
      <c r="B129" s="32" t="s">
        <v>288</v>
      </c>
      <c r="C129" s="33" t="s">
        <v>240</v>
      </c>
      <c r="D129" s="33" t="s">
        <v>614</v>
      </c>
      <c r="E129" s="33">
        <v>2011</v>
      </c>
      <c r="F129" s="34" t="s">
        <v>4</v>
      </c>
      <c r="G129" s="34" t="s">
        <v>615</v>
      </c>
      <c r="H129" s="34" t="s">
        <v>616</v>
      </c>
      <c r="I129" s="267">
        <f>0.75*10000</f>
        <v>7500</v>
      </c>
      <c r="J129" s="267">
        <f>270+289</f>
        <v>559</v>
      </c>
      <c r="K129" s="62">
        <f>((6.5*4.5)/2)*100</f>
        <v>1462.5</v>
      </c>
      <c r="L129" s="267">
        <f t="shared" si="8"/>
        <v>419.25</v>
      </c>
      <c r="M129" s="267">
        <f>10/(60*24)</f>
        <v>6.9444444444444441E-3</v>
      </c>
      <c r="N129" s="82">
        <v>0</v>
      </c>
      <c r="O129" s="267">
        <f>M129*1</f>
        <v>6.9444444444444441E-3</v>
      </c>
      <c r="P129" s="267">
        <f t="shared" si="9"/>
        <v>6.9444444444444441E-3</v>
      </c>
      <c r="Q129" s="33">
        <v>2</v>
      </c>
      <c r="R129" s="33">
        <v>3</v>
      </c>
      <c r="S129" s="33">
        <v>1</v>
      </c>
      <c r="T129" s="72">
        <v>2</v>
      </c>
      <c r="U129" s="33"/>
      <c r="V129" s="267" t="s">
        <v>915</v>
      </c>
      <c r="W129" s="34" t="s">
        <v>982</v>
      </c>
    </row>
    <row r="130" spans="1:23">
      <c r="A130" s="70" t="s">
        <v>484</v>
      </c>
      <c r="B130" s="71" t="s">
        <v>288</v>
      </c>
      <c r="C130" s="72" t="s">
        <v>240</v>
      </c>
      <c r="D130" s="72" t="s">
        <v>614</v>
      </c>
      <c r="E130" s="72">
        <v>2011</v>
      </c>
      <c r="F130" s="72" t="s">
        <v>55</v>
      </c>
      <c r="G130" s="72" t="s">
        <v>615</v>
      </c>
      <c r="H130" s="72" t="s">
        <v>616</v>
      </c>
      <c r="I130" s="72">
        <f>0.25^2</f>
        <v>6.25E-2</v>
      </c>
      <c r="J130" s="72">
        <f>(13000*10000)/I130</f>
        <v>2080000000</v>
      </c>
      <c r="K130" s="316">
        <f>13000</f>
        <v>13000</v>
      </c>
      <c r="L130" s="72">
        <f t="shared" si="8"/>
        <v>13000</v>
      </c>
      <c r="M130" s="72">
        <f>1/(60*60*24)</f>
        <v>1.1574074074074073E-5</v>
      </c>
      <c r="N130" s="72">
        <v>0</v>
      </c>
      <c r="O130" s="72">
        <f>M130*1</f>
        <v>1.1574074074074073E-5</v>
      </c>
      <c r="P130" s="267">
        <f t="shared" si="9"/>
        <v>1.1574074074074073E-5</v>
      </c>
      <c r="Q130" s="72">
        <v>0</v>
      </c>
      <c r="R130" s="72">
        <v>1</v>
      </c>
      <c r="S130" s="72">
        <v>1</v>
      </c>
      <c r="T130" s="72">
        <v>0</v>
      </c>
      <c r="U130" s="72"/>
      <c r="V130" s="267" t="s">
        <v>915</v>
      </c>
      <c r="W130" s="72" t="s">
        <v>617</v>
      </c>
    </row>
    <row r="131" spans="1:23">
      <c r="A131" s="74" t="s">
        <v>484</v>
      </c>
      <c r="B131" s="32" t="s">
        <v>288</v>
      </c>
      <c r="C131" s="33" t="s">
        <v>10</v>
      </c>
      <c r="D131" s="34" t="s">
        <v>618</v>
      </c>
      <c r="E131" s="33">
        <v>2006</v>
      </c>
      <c r="F131" s="34" t="s">
        <v>4</v>
      </c>
      <c r="G131" s="34" t="s">
        <v>619</v>
      </c>
      <c r="H131" s="34" t="s">
        <v>620</v>
      </c>
      <c r="I131" s="33">
        <v>0.25</v>
      </c>
      <c r="J131" s="33">
        <f>(10*27*16)</f>
        <v>4320</v>
      </c>
      <c r="K131" s="62">
        <f>(12267999*20)/10000</f>
        <v>24535.998</v>
      </c>
      <c r="L131" s="33">
        <f>(I131*J131)/10000</f>
        <v>0.108</v>
      </c>
      <c r="M131" s="33">
        <f>10/(60*24)</f>
        <v>6.9444444444444441E-3</v>
      </c>
      <c r="N131" s="34">
        <v>365</v>
      </c>
      <c r="O131" s="309">
        <f>M131*5</f>
        <v>3.4722222222222224E-2</v>
      </c>
      <c r="P131" s="33">
        <f>5*365</f>
        <v>1825</v>
      </c>
      <c r="Q131" s="33">
        <v>3</v>
      </c>
      <c r="R131" s="33">
        <v>1</v>
      </c>
      <c r="S131" s="33">
        <v>2</v>
      </c>
      <c r="T131" s="33">
        <v>3</v>
      </c>
      <c r="U131" s="33"/>
      <c r="V131" s="34" t="s">
        <v>621</v>
      </c>
      <c r="W131" s="80" t="s">
        <v>622</v>
      </c>
    </row>
    <row r="132" spans="1:23">
      <c r="A132" s="74" t="s">
        <v>484</v>
      </c>
      <c r="B132" s="32" t="s">
        <v>288</v>
      </c>
      <c r="C132" s="33" t="s">
        <v>393</v>
      </c>
      <c r="D132" s="33" t="s">
        <v>623</v>
      </c>
      <c r="E132" s="267">
        <v>2011</v>
      </c>
      <c r="F132" s="34" t="s">
        <v>4</v>
      </c>
      <c r="G132" s="34" t="s">
        <v>624</v>
      </c>
      <c r="H132" s="34" t="s">
        <v>625</v>
      </c>
      <c r="I132" s="33">
        <f t="shared" ref="I132:I137" si="10">1.23*0.0254</f>
        <v>3.1241999999999999E-2</v>
      </c>
      <c r="J132" s="72">
        <v>878</v>
      </c>
      <c r="K132" s="62">
        <f>2411950*258.999</f>
        <v>624692638.05000007</v>
      </c>
      <c r="L132" s="33">
        <f>(I132*J132)/10000</f>
        <v>2.7430476E-3</v>
      </c>
      <c r="M132" s="33">
        <f>15/(60*24)</f>
        <v>1.0416666666666666E-2</v>
      </c>
      <c r="N132" s="82">
        <v>0</v>
      </c>
      <c r="O132" s="309">
        <f t="shared" ref="O132:O137" si="11">M132*1</f>
        <v>1.0416666666666666E-2</v>
      </c>
      <c r="P132" s="317">
        <f t="shared" ref="P132:P137" si="12">O132</f>
        <v>1.0416666666666666E-2</v>
      </c>
      <c r="Q132" s="33">
        <v>0</v>
      </c>
      <c r="R132" s="33">
        <v>0</v>
      </c>
      <c r="S132" s="33">
        <v>1</v>
      </c>
      <c r="T132" s="33">
        <v>0</v>
      </c>
      <c r="U132" s="33" t="s">
        <v>626</v>
      </c>
      <c r="V132" s="33" t="s">
        <v>627</v>
      </c>
      <c r="W132" s="72" t="s">
        <v>628</v>
      </c>
    </row>
    <row r="133" spans="1:23">
      <c r="A133" s="70" t="s">
        <v>484</v>
      </c>
      <c r="B133" s="71" t="s">
        <v>288</v>
      </c>
      <c r="C133" s="72" t="s">
        <v>393</v>
      </c>
      <c r="D133" s="72" t="s">
        <v>623</v>
      </c>
      <c r="E133" s="267">
        <v>2011</v>
      </c>
      <c r="F133" s="72" t="s">
        <v>4</v>
      </c>
      <c r="G133" s="72" t="s">
        <v>624</v>
      </c>
      <c r="H133" s="72" t="s">
        <v>625</v>
      </c>
      <c r="I133" s="72">
        <f t="shared" si="10"/>
        <v>3.1241999999999999E-2</v>
      </c>
      <c r="J133" s="72">
        <f>636</f>
        <v>636</v>
      </c>
      <c r="K133" s="316">
        <f>30999*258.999</f>
        <v>8028710.0010000011</v>
      </c>
      <c r="L133" s="72">
        <f>(I133*J133)/10000</f>
        <v>1.9869912000000001E-3</v>
      </c>
      <c r="M133" s="72">
        <f>15/(60*24)</f>
        <v>1.0416666666666666E-2</v>
      </c>
      <c r="N133" s="72">
        <v>0</v>
      </c>
      <c r="O133" s="72">
        <f t="shared" si="11"/>
        <v>1.0416666666666666E-2</v>
      </c>
      <c r="P133" s="317">
        <f t="shared" si="12"/>
        <v>1.0416666666666666E-2</v>
      </c>
      <c r="Q133" s="72">
        <v>0</v>
      </c>
      <c r="R133" s="72">
        <v>0</v>
      </c>
      <c r="S133" s="72">
        <v>1</v>
      </c>
      <c r="T133" s="72">
        <v>0</v>
      </c>
      <c r="U133" s="72" t="s">
        <v>626</v>
      </c>
      <c r="V133" s="72" t="s">
        <v>627</v>
      </c>
      <c r="W133" s="72" t="s">
        <v>629</v>
      </c>
    </row>
    <row r="134" spans="1:23">
      <c r="A134" s="74" t="s">
        <v>484</v>
      </c>
      <c r="B134" s="32" t="s">
        <v>288</v>
      </c>
      <c r="C134" s="33" t="s">
        <v>393</v>
      </c>
      <c r="D134" s="33" t="s">
        <v>623</v>
      </c>
      <c r="E134" s="267">
        <v>2011</v>
      </c>
      <c r="F134" s="34" t="s">
        <v>4</v>
      </c>
      <c r="G134" s="34" t="s">
        <v>630</v>
      </c>
      <c r="H134" s="34" t="s">
        <v>625</v>
      </c>
      <c r="I134" s="33">
        <f t="shared" si="10"/>
        <v>3.1241999999999999E-2</v>
      </c>
      <c r="J134" s="33">
        <v>108</v>
      </c>
      <c r="K134" s="87">
        <f>18106*258.999</f>
        <v>4689435.8940000003</v>
      </c>
      <c r="L134" s="33">
        <f>(I134*J134)/10000</f>
        <v>3.3741359999999999E-4</v>
      </c>
      <c r="M134" s="33">
        <f>20/(60*24)</f>
        <v>1.3888888888888888E-2</v>
      </c>
      <c r="N134" s="82">
        <v>0</v>
      </c>
      <c r="O134" s="309">
        <f t="shared" si="11"/>
        <v>1.3888888888888888E-2</v>
      </c>
      <c r="P134" s="317">
        <f t="shared" si="12"/>
        <v>1.3888888888888888E-2</v>
      </c>
      <c r="Q134" s="33">
        <v>0</v>
      </c>
      <c r="R134" s="33">
        <v>0</v>
      </c>
      <c r="S134" s="33">
        <v>1</v>
      </c>
      <c r="T134" s="33">
        <v>0</v>
      </c>
      <c r="U134" s="34" t="s">
        <v>631</v>
      </c>
      <c r="V134" s="33" t="s">
        <v>627</v>
      </c>
      <c r="W134" s="34" t="s">
        <v>632</v>
      </c>
    </row>
    <row r="135" spans="1:23">
      <c r="A135" s="74" t="s">
        <v>484</v>
      </c>
      <c r="B135" s="32" t="s">
        <v>288</v>
      </c>
      <c r="C135" s="33" t="s">
        <v>393</v>
      </c>
      <c r="D135" s="33" t="s">
        <v>623</v>
      </c>
      <c r="E135" s="267">
        <v>2011</v>
      </c>
      <c r="F135" s="34" t="s">
        <v>4</v>
      </c>
      <c r="G135" s="34" t="s">
        <v>633</v>
      </c>
      <c r="H135" s="34" t="s">
        <v>625</v>
      </c>
      <c r="I135" s="33">
        <f t="shared" si="10"/>
        <v>3.1241999999999999E-2</v>
      </c>
      <c r="J135" s="33">
        <f>116+12</f>
        <v>128</v>
      </c>
      <c r="K135" s="62">
        <f>(64356+53283+3260+1036+3737)*258.999</f>
        <v>32548922.328000002</v>
      </c>
      <c r="L135" s="33">
        <f t="shared" ref="L135:L137" si="13">(I135*J135)/10000</f>
        <v>3.9989760000000001E-4</v>
      </c>
      <c r="M135" s="33">
        <f>15/(60*24)</f>
        <v>1.0416666666666666E-2</v>
      </c>
      <c r="N135" s="82">
        <v>0</v>
      </c>
      <c r="O135" s="309">
        <f t="shared" si="11"/>
        <v>1.0416666666666666E-2</v>
      </c>
      <c r="P135" s="317">
        <f t="shared" si="12"/>
        <v>1.0416666666666666E-2</v>
      </c>
      <c r="Q135" s="33">
        <v>0</v>
      </c>
      <c r="R135" s="33">
        <v>0</v>
      </c>
      <c r="S135" s="33">
        <v>1</v>
      </c>
      <c r="T135" s="33">
        <v>0</v>
      </c>
      <c r="U135" s="33" t="s">
        <v>634</v>
      </c>
      <c r="V135" s="33" t="s">
        <v>627</v>
      </c>
      <c r="W135" s="34" t="s">
        <v>635</v>
      </c>
    </row>
    <row r="136" spans="1:23">
      <c r="A136" s="74" t="s">
        <v>484</v>
      </c>
      <c r="B136" s="32" t="s">
        <v>288</v>
      </c>
      <c r="C136" s="33" t="s">
        <v>393</v>
      </c>
      <c r="D136" s="33" t="s">
        <v>623</v>
      </c>
      <c r="E136" s="267">
        <v>2011</v>
      </c>
      <c r="F136" s="34" t="s">
        <v>4</v>
      </c>
      <c r="G136" s="72" t="s">
        <v>636</v>
      </c>
      <c r="H136" s="34" t="s">
        <v>625</v>
      </c>
      <c r="I136" s="33">
        <f t="shared" si="10"/>
        <v>3.1241999999999999E-2</v>
      </c>
      <c r="J136" s="72">
        <f>5+5+40</f>
        <v>50</v>
      </c>
      <c r="K136" s="62">
        <f>312161*258.999</f>
        <v>80849386.839000002</v>
      </c>
      <c r="L136" s="33">
        <f t="shared" si="13"/>
        <v>1.5621E-4</v>
      </c>
      <c r="M136" s="33">
        <f>5/(60*24)</f>
        <v>3.472222222222222E-3</v>
      </c>
      <c r="N136" s="82">
        <v>0</v>
      </c>
      <c r="O136" s="309">
        <f t="shared" si="11"/>
        <v>3.472222222222222E-3</v>
      </c>
      <c r="P136" s="317">
        <f t="shared" si="12"/>
        <v>3.472222222222222E-3</v>
      </c>
      <c r="Q136" s="33">
        <v>0</v>
      </c>
      <c r="R136" s="33">
        <v>0</v>
      </c>
      <c r="S136" s="33">
        <v>1</v>
      </c>
      <c r="T136" s="33">
        <v>0</v>
      </c>
      <c r="U136" s="33" t="s">
        <v>637</v>
      </c>
      <c r="V136" s="33" t="s">
        <v>627</v>
      </c>
      <c r="W136" s="34" t="s">
        <v>638</v>
      </c>
    </row>
    <row r="137" spans="1:23">
      <c r="A137" s="74" t="s">
        <v>484</v>
      </c>
      <c r="B137" s="32" t="s">
        <v>288</v>
      </c>
      <c r="C137" s="33" t="s">
        <v>393</v>
      </c>
      <c r="D137" s="33" t="s">
        <v>623</v>
      </c>
      <c r="E137" s="267">
        <v>2011</v>
      </c>
      <c r="F137" s="34" t="s">
        <v>4</v>
      </c>
      <c r="G137" s="72" t="s">
        <v>639</v>
      </c>
      <c r="H137" s="34" t="s">
        <v>625</v>
      </c>
      <c r="I137" s="33">
        <f t="shared" si="10"/>
        <v>3.1241999999999999E-2</v>
      </c>
      <c r="J137" s="33">
        <f>40+41</f>
        <v>81</v>
      </c>
      <c r="K137" s="33">
        <f>425736*258.999</f>
        <v>110265198.26400001</v>
      </c>
      <c r="L137" s="33">
        <f t="shared" si="13"/>
        <v>2.5306020000000001E-4</v>
      </c>
      <c r="M137" s="33">
        <f>5/(60*24)</f>
        <v>3.472222222222222E-3</v>
      </c>
      <c r="N137" s="82">
        <v>0</v>
      </c>
      <c r="O137" s="309">
        <f t="shared" si="11"/>
        <v>3.472222222222222E-3</v>
      </c>
      <c r="P137" s="317">
        <f t="shared" si="12"/>
        <v>3.472222222222222E-3</v>
      </c>
      <c r="Q137" s="33">
        <v>0</v>
      </c>
      <c r="R137" s="33">
        <v>0</v>
      </c>
      <c r="S137" s="33">
        <v>1</v>
      </c>
      <c r="T137" s="33">
        <v>0</v>
      </c>
      <c r="U137" s="33"/>
      <c r="V137" s="33" t="s">
        <v>627</v>
      </c>
      <c r="W137" s="34" t="s">
        <v>640</v>
      </c>
    </row>
    <row r="138" spans="1:23">
      <c r="A138" s="74" t="s">
        <v>484</v>
      </c>
      <c r="B138" s="32" t="s">
        <v>288</v>
      </c>
      <c r="C138" s="315" t="s">
        <v>65</v>
      </c>
      <c r="D138" s="315" t="s">
        <v>641</v>
      </c>
      <c r="E138" s="315">
        <v>2006</v>
      </c>
      <c r="F138" s="34" t="s">
        <v>490</v>
      </c>
      <c r="G138" s="34" t="s">
        <v>642</v>
      </c>
      <c r="H138" s="315"/>
      <c r="I138" s="315">
        <f>1.4*0.3683</f>
        <v>0.51561999999999997</v>
      </c>
      <c r="J138" s="315">
        <v>44</v>
      </c>
      <c r="K138" s="318">
        <f>144*258.999</f>
        <v>37295.856</v>
      </c>
      <c r="L138" s="33">
        <f>(I138*J138)/10000</f>
        <v>2.2687279999999998E-3</v>
      </c>
      <c r="M138" s="315">
        <f>1/(60*24)</f>
        <v>6.9444444444444447E-4</v>
      </c>
      <c r="N138" s="315">
        <f>11.46</f>
        <v>11.46</v>
      </c>
      <c r="O138" s="72">
        <f>M138*(5743 / ((20+5+4+3+6+8)/6))</f>
        <v>0.5201992753623188</v>
      </c>
      <c r="P138" s="319">
        <v>2283</v>
      </c>
      <c r="Q138" s="315">
        <v>1</v>
      </c>
      <c r="R138" s="315">
        <v>1</v>
      </c>
      <c r="S138" s="315">
        <v>0</v>
      </c>
      <c r="T138" s="315">
        <v>0</v>
      </c>
      <c r="U138" s="315"/>
      <c r="V138" s="315" t="s">
        <v>643</v>
      </c>
      <c r="W138" s="315" t="s">
        <v>917</v>
      </c>
    </row>
    <row r="139" spans="1:23">
      <c r="A139" s="74" t="s">
        <v>484</v>
      </c>
      <c r="B139" s="32" t="s">
        <v>288</v>
      </c>
      <c r="C139" s="84" t="s">
        <v>153</v>
      </c>
      <c r="D139" s="315" t="s">
        <v>644</v>
      </c>
      <c r="E139" s="315">
        <v>2013</v>
      </c>
      <c r="F139" s="315" t="s">
        <v>4</v>
      </c>
      <c r="G139" s="84" t="s">
        <v>645</v>
      </c>
      <c r="H139" s="84" t="s">
        <v>646</v>
      </c>
      <c r="I139" s="315">
        <f>500*5</f>
        <v>2500</v>
      </c>
      <c r="J139" s="315">
        <f>43+47</f>
        <v>90</v>
      </c>
      <c r="K139" s="318">
        <f>1041*258.999</f>
        <v>269617.95900000003</v>
      </c>
      <c r="L139" s="33">
        <f>(I139*J139)/10000</f>
        <v>22.5</v>
      </c>
      <c r="M139" s="315">
        <f>30/(60*24)</f>
        <v>2.0833333333333332E-2</v>
      </c>
      <c r="N139" s="315">
        <f>2*7</f>
        <v>14</v>
      </c>
      <c r="O139" s="309">
        <f>(M139*5.4*3)</f>
        <v>0.33750000000000002</v>
      </c>
      <c r="P139" s="315">
        <v>822</v>
      </c>
      <c r="Q139" s="315">
        <v>0</v>
      </c>
      <c r="R139" s="315">
        <v>1</v>
      </c>
      <c r="S139" s="315">
        <v>0</v>
      </c>
      <c r="T139" s="315">
        <v>0</v>
      </c>
      <c r="U139" s="315"/>
      <c r="V139" s="309" t="s">
        <v>339</v>
      </c>
      <c r="W139" s="84" t="s">
        <v>983</v>
      </c>
    </row>
    <row r="140" spans="1:23">
      <c r="A140" s="74" t="s">
        <v>484</v>
      </c>
      <c r="B140" s="32" t="s">
        <v>288</v>
      </c>
      <c r="C140" s="84" t="s">
        <v>153</v>
      </c>
      <c r="D140" s="315" t="s">
        <v>644</v>
      </c>
      <c r="E140" s="315">
        <v>2013</v>
      </c>
      <c r="F140" s="315" t="s">
        <v>4</v>
      </c>
      <c r="G140" s="84" t="s">
        <v>645</v>
      </c>
      <c r="H140" s="84" t="s">
        <v>646</v>
      </c>
      <c r="I140" s="315">
        <v>0.25</v>
      </c>
      <c r="J140" s="315">
        <v>20</v>
      </c>
      <c r="K140" s="318">
        <f>1041*258.999</f>
        <v>269617.95900000003</v>
      </c>
      <c r="L140" s="33">
        <f>(I140*J140)/10000</f>
        <v>5.0000000000000001E-4</v>
      </c>
      <c r="M140" s="315">
        <f>10/(60*24)</f>
        <v>6.9444444444444441E-3</v>
      </c>
      <c r="N140" s="82">
        <f>365*2</f>
        <v>730</v>
      </c>
      <c r="O140" s="309">
        <f>(M140*2)</f>
        <v>1.3888888888888888E-2</v>
      </c>
      <c r="P140" s="315">
        <v>822</v>
      </c>
      <c r="Q140" s="315">
        <v>2</v>
      </c>
      <c r="R140" s="315">
        <v>2</v>
      </c>
      <c r="S140" s="315">
        <v>0</v>
      </c>
      <c r="T140" s="315">
        <v>1</v>
      </c>
      <c r="U140" s="315"/>
      <c r="V140" s="80" t="s">
        <v>472</v>
      </c>
      <c r="W140" s="84" t="s">
        <v>647</v>
      </c>
    </row>
    <row r="141" spans="1:23">
      <c r="A141" s="74" t="s">
        <v>0</v>
      </c>
      <c r="B141" s="74" t="s">
        <v>1</v>
      </c>
      <c r="C141" s="88" t="s">
        <v>2</v>
      </c>
      <c r="D141" s="88" t="s">
        <v>3</v>
      </c>
      <c r="E141" s="2">
        <v>2009</v>
      </c>
      <c r="F141" s="88" t="s">
        <v>4</v>
      </c>
      <c r="G141" s="88" t="s">
        <v>5</v>
      </c>
      <c r="H141" s="89" t="s">
        <v>6</v>
      </c>
      <c r="I141" s="90">
        <f>(24610.28+35797.63+1301.22)/3</f>
        <v>20569.71</v>
      </c>
      <c r="J141" s="2">
        <v>8</v>
      </c>
      <c r="K141" s="2">
        <f>I141</f>
        <v>20569.71</v>
      </c>
      <c r="L141" s="91">
        <f t="shared" ref="L141:L191" si="14">(I141*J141)/10000</f>
        <v>16.455767999999999</v>
      </c>
      <c r="M141" s="88">
        <v>0.25</v>
      </c>
      <c r="N141" s="88">
        <f>(8+17+22+6+20+20+22+8+12+20+13+13)/12</f>
        <v>15.083333333333334</v>
      </c>
      <c r="O141" s="88">
        <f>(0.25*2.5)</f>
        <v>0.625</v>
      </c>
      <c r="P141" s="88">
        <v>56</v>
      </c>
      <c r="Q141" s="88">
        <v>3</v>
      </c>
      <c r="R141" s="88">
        <v>1</v>
      </c>
      <c r="S141" s="88">
        <v>0</v>
      </c>
      <c r="T141" s="88">
        <v>0</v>
      </c>
      <c r="U141" s="92" t="s">
        <v>7</v>
      </c>
      <c r="V141" s="88" t="s">
        <v>8</v>
      </c>
      <c r="W141" s="88" t="s">
        <v>9</v>
      </c>
    </row>
    <row r="142" spans="1:23">
      <c r="A142" s="74" t="s">
        <v>0</v>
      </c>
      <c r="B142" s="74" t="s">
        <v>1</v>
      </c>
      <c r="C142" s="93" t="s">
        <v>10</v>
      </c>
      <c r="D142" s="94" t="s">
        <v>648</v>
      </c>
      <c r="E142" s="3">
        <v>2013</v>
      </c>
      <c r="F142" s="95" t="s">
        <v>4</v>
      </c>
      <c r="G142" s="95" t="s">
        <v>11</v>
      </c>
      <c r="H142" s="95" t="s">
        <v>12</v>
      </c>
      <c r="I142" s="96">
        <v>12.57</v>
      </c>
      <c r="J142" s="95">
        <v>17</v>
      </c>
      <c r="K142" s="97">
        <v>544184</v>
      </c>
      <c r="L142" s="91">
        <f t="shared" si="14"/>
        <v>2.1368999999999999E-2</v>
      </c>
      <c r="M142" s="4">
        <f>1/24</f>
        <v>4.1666666666666664E-2</v>
      </c>
      <c r="N142" s="95">
        <v>2</v>
      </c>
      <c r="O142" s="4">
        <f>M142*(1*52.1429)</f>
        <v>2.1726208333333332</v>
      </c>
      <c r="P142" s="4">
        <f>365*20</f>
        <v>7300</v>
      </c>
      <c r="Q142" s="95">
        <v>3</v>
      </c>
      <c r="R142" s="95">
        <v>1</v>
      </c>
      <c r="S142" s="95">
        <v>1</v>
      </c>
      <c r="T142" s="95">
        <v>0</v>
      </c>
      <c r="U142" s="5" t="s">
        <v>13</v>
      </c>
      <c r="V142" s="95" t="s">
        <v>936</v>
      </c>
      <c r="W142" s="95" t="s">
        <v>14</v>
      </c>
    </row>
    <row r="143" spans="1:23">
      <c r="A143" s="74" t="s">
        <v>0</v>
      </c>
      <c r="B143" s="74" t="s">
        <v>1</v>
      </c>
      <c r="C143" s="98" t="s">
        <v>10</v>
      </c>
      <c r="D143" s="99" t="s">
        <v>648</v>
      </c>
      <c r="E143" s="2">
        <v>2013</v>
      </c>
      <c r="F143" s="88" t="s">
        <v>4</v>
      </c>
      <c r="G143" s="88" t="s">
        <v>11</v>
      </c>
      <c r="H143" s="88" t="s">
        <v>12</v>
      </c>
      <c r="I143" s="100">
        <v>12.57</v>
      </c>
      <c r="J143" s="88">
        <v>15</v>
      </c>
      <c r="K143" s="97">
        <v>544184</v>
      </c>
      <c r="L143" s="91">
        <f t="shared" si="14"/>
        <v>1.8855E-2</v>
      </c>
      <c r="M143" s="1">
        <f>1/24</f>
        <v>4.1666666666666664E-2</v>
      </c>
      <c r="N143" s="88">
        <v>2</v>
      </c>
      <c r="O143" s="1">
        <f>M143*(2*17.2857)</f>
        <v>1.4404749999999997</v>
      </c>
      <c r="P143" s="88">
        <v>7300</v>
      </c>
      <c r="Q143" s="88">
        <v>3</v>
      </c>
      <c r="R143" s="88">
        <v>1</v>
      </c>
      <c r="S143" s="88">
        <v>1</v>
      </c>
      <c r="T143" s="88">
        <v>0</v>
      </c>
      <c r="U143" s="6" t="s">
        <v>13</v>
      </c>
      <c r="V143" s="95" t="s">
        <v>936</v>
      </c>
      <c r="W143" s="88" t="s">
        <v>14</v>
      </c>
    </row>
    <row r="144" spans="1:23">
      <c r="A144" s="74" t="s">
        <v>0</v>
      </c>
      <c r="B144" s="74" t="s">
        <v>1</v>
      </c>
      <c r="C144" s="101" t="s">
        <v>15</v>
      </c>
      <c r="D144" s="102" t="s">
        <v>16</v>
      </c>
      <c r="E144" s="102">
        <v>2009</v>
      </c>
      <c r="F144" s="102" t="s">
        <v>4</v>
      </c>
      <c r="G144" s="102" t="s">
        <v>17</v>
      </c>
      <c r="H144" s="102" t="s">
        <v>18</v>
      </c>
      <c r="I144" s="103">
        <f>PI()*0.0125^2</f>
        <v>4.9087385212340522E-4</v>
      </c>
      <c r="J144" s="8">
        <f>3*4.35</f>
        <v>13.049999999999999</v>
      </c>
      <c r="K144" s="104">
        <v>111234</v>
      </c>
      <c r="L144" s="91">
        <f t="shared" si="14"/>
        <v>6.4059037702104367E-7</v>
      </c>
      <c r="M144" s="7">
        <f>2/24</f>
        <v>8.3333333333333329E-2</v>
      </c>
      <c r="N144" s="105">
        <v>0</v>
      </c>
      <c r="O144" s="105">
        <f>2/24</f>
        <v>8.3333333333333329E-2</v>
      </c>
      <c r="P144" s="267">
        <f>O144</f>
        <v>8.3333333333333329E-2</v>
      </c>
      <c r="Q144" s="102">
        <v>3</v>
      </c>
      <c r="R144" s="102">
        <v>2</v>
      </c>
      <c r="S144" s="102">
        <v>2</v>
      </c>
      <c r="T144" s="102">
        <v>1</v>
      </c>
      <c r="U144" s="102"/>
      <c r="V144" s="102" t="s">
        <v>937</v>
      </c>
      <c r="W144" s="106" t="s">
        <v>19</v>
      </c>
    </row>
    <row r="145" spans="1:23">
      <c r="A145" s="74" t="s">
        <v>0</v>
      </c>
      <c r="B145" s="74" t="s">
        <v>1</v>
      </c>
      <c r="C145" s="107" t="s">
        <v>15</v>
      </c>
      <c r="D145" s="97" t="s">
        <v>16</v>
      </c>
      <c r="E145" s="97">
        <v>2009</v>
      </c>
      <c r="F145" s="97" t="s">
        <v>4</v>
      </c>
      <c r="G145" s="97" t="s">
        <v>17</v>
      </c>
      <c r="H145" s="97" t="s">
        <v>20</v>
      </c>
      <c r="I145" s="108">
        <v>10</v>
      </c>
      <c r="J145" s="104">
        <v>11</v>
      </c>
      <c r="K145" s="104">
        <v>111234</v>
      </c>
      <c r="L145" s="91">
        <f t="shared" si="14"/>
        <v>1.0999999999999999E-2</v>
      </c>
      <c r="M145" s="1">
        <f>1/24</f>
        <v>4.1666666666666664E-2</v>
      </c>
      <c r="N145" s="97">
        <v>0</v>
      </c>
      <c r="O145" s="1">
        <f>1/24</f>
        <v>4.1666666666666664E-2</v>
      </c>
      <c r="P145" s="267">
        <f>O145</f>
        <v>4.1666666666666664E-2</v>
      </c>
      <c r="Q145" s="97">
        <v>3</v>
      </c>
      <c r="R145" s="97">
        <v>2</v>
      </c>
      <c r="S145" s="97">
        <v>2</v>
      </c>
      <c r="T145" s="97">
        <v>1</v>
      </c>
      <c r="U145" s="97"/>
      <c r="V145" s="102" t="s">
        <v>937</v>
      </c>
      <c r="W145" s="109" t="s">
        <v>19</v>
      </c>
    </row>
    <row r="146" spans="1:23">
      <c r="A146" s="74" t="s">
        <v>0</v>
      </c>
      <c r="B146" s="74" t="s">
        <v>1</v>
      </c>
      <c r="C146" s="110" t="s">
        <v>15</v>
      </c>
      <c r="D146" s="111" t="s">
        <v>16</v>
      </c>
      <c r="E146" s="111">
        <v>2009</v>
      </c>
      <c r="F146" s="111" t="s">
        <v>4</v>
      </c>
      <c r="G146" s="111" t="s">
        <v>17</v>
      </c>
      <c r="H146" s="111" t="s">
        <v>21</v>
      </c>
      <c r="I146" s="112">
        <f>0.063*0.034</f>
        <v>2.1420000000000002E-3</v>
      </c>
      <c r="J146" s="13">
        <f>1.5*12</f>
        <v>18</v>
      </c>
      <c r="K146" s="104">
        <v>111234</v>
      </c>
      <c r="L146" s="91">
        <f t="shared" si="14"/>
        <v>3.8556000000000008E-6</v>
      </c>
      <c r="M146" s="12">
        <f>2/24</f>
        <v>8.3333333333333329E-2</v>
      </c>
      <c r="N146" s="113">
        <v>106.25</v>
      </c>
      <c r="O146" s="111">
        <f>M146*(1.5*3.43529411765)</f>
        <v>0.42941176470624998</v>
      </c>
      <c r="P146" s="111">
        <v>1095</v>
      </c>
      <c r="Q146" s="111">
        <v>3</v>
      </c>
      <c r="R146" s="111">
        <v>2</v>
      </c>
      <c r="S146" s="111">
        <v>2</v>
      </c>
      <c r="T146" s="111">
        <v>1</v>
      </c>
      <c r="U146" s="111"/>
      <c r="V146" s="111" t="s">
        <v>938</v>
      </c>
      <c r="W146" s="114" t="s">
        <v>19</v>
      </c>
    </row>
    <row r="147" spans="1:23">
      <c r="A147" s="74" t="s">
        <v>0</v>
      </c>
      <c r="B147" s="74" t="s">
        <v>1</v>
      </c>
      <c r="C147" s="98" t="s">
        <v>23</v>
      </c>
      <c r="D147" s="97" t="s">
        <v>24</v>
      </c>
      <c r="E147" s="97">
        <v>2007</v>
      </c>
      <c r="F147" s="97" t="s">
        <v>4</v>
      </c>
      <c r="G147" s="97" t="s">
        <v>17</v>
      </c>
      <c r="H147" s="97" t="s">
        <v>25</v>
      </c>
      <c r="I147" s="99">
        <f>PI()*(0.3048/2)^2</f>
        <v>7.2965876990039674E-2</v>
      </c>
      <c r="J147" s="97">
        <v>476</v>
      </c>
      <c r="K147" s="97">
        <v>20000</v>
      </c>
      <c r="L147" s="91">
        <f t="shared" si="14"/>
        <v>3.4731757447258884E-3</v>
      </c>
      <c r="M147" s="97">
        <v>0.5</v>
      </c>
      <c r="N147" s="97">
        <v>2</v>
      </c>
      <c r="O147" s="97">
        <f>0.05*16.625</f>
        <v>0.83125000000000004</v>
      </c>
      <c r="P147" s="277">
        <v>1735</v>
      </c>
      <c r="Q147" s="97">
        <v>3</v>
      </c>
      <c r="R147" s="97">
        <v>0</v>
      </c>
      <c r="S147" s="97">
        <v>1</v>
      </c>
      <c r="T147" s="97">
        <v>0</v>
      </c>
      <c r="U147" s="115" t="s">
        <v>26</v>
      </c>
      <c r="V147" s="97" t="s">
        <v>939</v>
      </c>
      <c r="W147" s="91"/>
    </row>
    <row r="148" spans="1:23">
      <c r="A148" s="74" t="s">
        <v>0</v>
      </c>
      <c r="B148" s="74" t="s">
        <v>1</v>
      </c>
      <c r="C148" s="101" t="s">
        <v>27</v>
      </c>
      <c r="D148" s="102" t="s">
        <v>28</v>
      </c>
      <c r="E148" s="102">
        <v>2004</v>
      </c>
      <c r="F148" s="102" t="s">
        <v>4</v>
      </c>
      <c r="G148" s="116" t="s">
        <v>29</v>
      </c>
      <c r="H148" s="102" t="s">
        <v>30</v>
      </c>
      <c r="I148" s="103">
        <f>0.05*0.15</f>
        <v>7.4999999999999997E-3</v>
      </c>
      <c r="J148" s="102">
        <v>24</v>
      </c>
      <c r="K148" s="97">
        <v>1656</v>
      </c>
      <c r="L148" s="91">
        <f t="shared" si="14"/>
        <v>1.8E-5</v>
      </c>
      <c r="M148" s="7">
        <f>1/24</f>
        <v>4.1666666666666664E-2</v>
      </c>
      <c r="N148" s="102">
        <v>0</v>
      </c>
      <c r="O148" s="105">
        <f>1/24</f>
        <v>4.1666666666666664E-2</v>
      </c>
      <c r="P148" s="278">
        <f>O148</f>
        <v>4.1666666666666664E-2</v>
      </c>
      <c r="Q148" s="102">
        <v>3</v>
      </c>
      <c r="R148" s="102">
        <v>2</v>
      </c>
      <c r="S148" s="102">
        <v>2</v>
      </c>
      <c r="T148" s="102">
        <v>1</v>
      </c>
      <c r="U148" s="7"/>
      <c r="V148" s="102" t="s">
        <v>940</v>
      </c>
      <c r="W148" s="106"/>
    </row>
    <row r="149" spans="1:23">
      <c r="A149" s="74" t="s">
        <v>0</v>
      </c>
      <c r="B149" s="74" t="s">
        <v>1</v>
      </c>
      <c r="C149" s="107" t="s">
        <v>27</v>
      </c>
      <c r="D149" s="97" t="s">
        <v>28</v>
      </c>
      <c r="E149" s="97">
        <v>2004</v>
      </c>
      <c r="F149" s="97" t="s">
        <v>4</v>
      </c>
      <c r="G149" s="117" t="s">
        <v>29</v>
      </c>
      <c r="H149" s="97" t="s">
        <v>31</v>
      </c>
      <c r="I149" s="118">
        <f>PI()*0.3048^2</f>
        <v>0.2918635079601587</v>
      </c>
      <c r="J149" s="97">
        <v>2</v>
      </c>
      <c r="K149" s="97">
        <v>1656</v>
      </c>
      <c r="L149" s="91">
        <f t="shared" si="14"/>
        <v>5.8372701592031741E-5</v>
      </c>
      <c r="M149" s="91">
        <f>1/24</f>
        <v>4.1666666666666664E-2</v>
      </c>
      <c r="N149" s="97">
        <v>14</v>
      </c>
      <c r="O149" s="97">
        <f>(365/14)*(1/24)</f>
        <v>1.0863095238095237</v>
      </c>
      <c r="P149" s="279">
        <v>365</v>
      </c>
      <c r="Q149" s="97">
        <v>3</v>
      </c>
      <c r="R149" s="97">
        <v>2</v>
      </c>
      <c r="S149" s="97">
        <v>2</v>
      </c>
      <c r="T149" s="97">
        <v>1</v>
      </c>
      <c r="U149" s="91"/>
      <c r="V149" s="102" t="s">
        <v>941</v>
      </c>
      <c r="W149" s="109" t="s">
        <v>32</v>
      </c>
    </row>
    <row r="150" spans="1:23">
      <c r="A150" s="74" t="s">
        <v>0</v>
      </c>
      <c r="B150" s="74" t="s">
        <v>1</v>
      </c>
      <c r="C150" s="110" t="s">
        <v>27</v>
      </c>
      <c r="D150" s="111" t="s">
        <v>28</v>
      </c>
      <c r="E150" s="111">
        <v>2004</v>
      </c>
      <c r="F150" s="111" t="s">
        <v>4</v>
      </c>
      <c r="G150" s="119" t="s">
        <v>29</v>
      </c>
      <c r="H150" s="111" t="s">
        <v>31</v>
      </c>
      <c r="I150" s="118">
        <f>PI()*0.3048^2</f>
        <v>0.2918635079601587</v>
      </c>
      <c r="J150" s="111">
        <v>2</v>
      </c>
      <c r="K150" s="97">
        <v>1656</v>
      </c>
      <c r="L150" s="91">
        <f t="shared" si="14"/>
        <v>5.8372701592031741E-5</v>
      </c>
      <c r="M150" s="12">
        <f>1/24</f>
        <v>4.1666666666666664E-2</v>
      </c>
      <c r="N150" s="12">
        <v>28</v>
      </c>
      <c r="O150" s="111">
        <f>(365/28)*(1/24)</f>
        <v>0.54315476190476186</v>
      </c>
      <c r="P150" s="280">
        <v>365</v>
      </c>
      <c r="Q150" s="111">
        <v>3</v>
      </c>
      <c r="R150" s="111">
        <v>2</v>
      </c>
      <c r="S150" s="111">
        <v>2</v>
      </c>
      <c r="T150" s="111">
        <v>1</v>
      </c>
      <c r="U150" s="12"/>
      <c r="V150" s="102" t="s">
        <v>941</v>
      </c>
      <c r="W150" s="114" t="s">
        <v>33</v>
      </c>
    </row>
    <row r="151" spans="1:23">
      <c r="A151" s="74" t="s">
        <v>0</v>
      </c>
      <c r="B151" s="74" t="s">
        <v>1</v>
      </c>
      <c r="C151" s="98" t="s">
        <v>34</v>
      </c>
      <c r="D151" s="88" t="s">
        <v>35</v>
      </c>
      <c r="E151" s="88">
        <v>2013</v>
      </c>
      <c r="F151" s="88" t="s">
        <v>4</v>
      </c>
      <c r="G151" s="88" t="s">
        <v>36</v>
      </c>
      <c r="H151" s="88" t="s">
        <v>37</v>
      </c>
      <c r="I151" s="120">
        <f>PI()*0.3048^2</f>
        <v>0.2918635079601587</v>
      </c>
      <c r="J151" s="88">
        <v>5</v>
      </c>
      <c r="K151" s="88">
        <v>690</v>
      </c>
      <c r="L151" s="91">
        <f t="shared" si="14"/>
        <v>1.4593175398007935E-4</v>
      </c>
      <c r="M151" s="88">
        <v>0.25</v>
      </c>
      <c r="N151" s="88">
        <v>1</v>
      </c>
      <c r="O151" s="88">
        <f>18*0.25</f>
        <v>4.5</v>
      </c>
      <c r="P151" s="281">
        <v>18</v>
      </c>
      <c r="Q151" s="88">
        <v>3</v>
      </c>
      <c r="R151" s="88">
        <v>0</v>
      </c>
      <c r="S151" s="88">
        <v>1</v>
      </c>
      <c r="T151" s="88">
        <v>0</v>
      </c>
      <c r="U151" s="1"/>
      <c r="V151" s="88" t="s">
        <v>942</v>
      </c>
      <c r="W151" s="88" t="s">
        <v>38</v>
      </c>
    </row>
    <row r="152" spans="1:23">
      <c r="A152" s="74" t="s">
        <v>0</v>
      </c>
      <c r="B152" s="74" t="s">
        <v>1</v>
      </c>
      <c r="C152" s="121" t="s">
        <v>34</v>
      </c>
      <c r="D152" s="120" t="s">
        <v>35</v>
      </c>
      <c r="E152" s="122">
        <v>2013</v>
      </c>
      <c r="F152" s="122" t="s">
        <v>4</v>
      </c>
      <c r="G152" s="122" t="s">
        <v>36</v>
      </c>
      <c r="H152" s="122" t="s">
        <v>37</v>
      </c>
      <c r="I152" s="123">
        <f>0.05*0.0025</f>
        <v>1.25E-4</v>
      </c>
      <c r="J152" s="122">
        <v>20</v>
      </c>
      <c r="K152" s="97">
        <v>690</v>
      </c>
      <c r="L152" s="91">
        <f t="shared" si="14"/>
        <v>2.4999999999999999E-7</v>
      </c>
      <c r="M152" s="122">
        <v>0.5</v>
      </c>
      <c r="N152" s="122">
        <v>1</v>
      </c>
      <c r="O152" s="282">
        <v>18.5</v>
      </c>
      <c r="P152" s="282">
        <v>37</v>
      </c>
      <c r="Q152" s="122">
        <v>3</v>
      </c>
      <c r="R152" s="122">
        <v>0</v>
      </c>
      <c r="S152" s="122">
        <v>1</v>
      </c>
      <c r="T152" s="122">
        <v>0</v>
      </c>
      <c r="U152" s="16"/>
      <c r="V152" s="88" t="s">
        <v>942</v>
      </c>
      <c r="W152" s="122" t="s">
        <v>38</v>
      </c>
    </row>
    <row r="153" spans="1:23">
      <c r="A153" s="74" t="s">
        <v>0</v>
      </c>
      <c r="B153" s="74" t="s">
        <v>1</v>
      </c>
      <c r="C153" s="93" t="s">
        <v>15</v>
      </c>
      <c r="D153" s="95" t="s">
        <v>39</v>
      </c>
      <c r="E153" s="95">
        <v>2011</v>
      </c>
      <c r="F153" s="124" t="s">
        <v>4</v>
      </c>
      <c r="G153" s="95" t="s">
        <v>40</v>
      </c>
      <c r="H153" s="95" t="s">
        <v>41</v>
      </c>
      <c r="I153" s="124">
        <f>0.3*0.3</f>
        <v>0.09</v>
      </c>
      <c r="J153" s="95">
        <f>464/8</f>
        <v>58</v>
      </c>
      <c r="K153" s="97">
        <v>4.88</v>
      </c>
      <c r="L153" s="91">
        <f t="shared" si="14"/>
        <v>5.22E-4</v>
      </c>
      <c r="M153" s="124">
        <f>30/(60*24)</f>
        <v>2.0833333333333332E-2</v>
      </c>
      <c r="N153" s="124">
        <v>0</v>
      </c>
      <c r="O153" s="124">
        <f>M153</f>
        <v>2.0833333333333332E-2</v>
      </c>
      <c r="P153" s="283">
        <f>O153</f>
        <v>2.0833333333333332E-2</v>
      </c>
      <c r="Q153" s="95">
        <v>2</v>
      </c>
      <c r="R153" s="95">
        <v>1</v>
      </c>
      <c r="S153" s="95">
        <v>1</v>
      </c>
      <c r="T153" s="95">
        <v>0</v>
      </c>
      <c r="U153" s="4"/>
      <c r="V153" s="95" t="s">
        <v>943</v>
      </c>
      <c r="W153" s="22" t="s">
        <v>42</v>
      </c>
    </row>
    <row r="154" spans="1:23">
      <c r="A154" s="74" t="s">
        <v>0</v>
      </c>
      <c r="B154" s="74" t="s">
        <v>1</v>
      </c>
      <c r="C154" s="101" t="s">
        <v>27</v>
      </c>
      <c r="D154" s="102" t="s">
        <v>43</v>
      </c>
      <c r="E154" s="102">
        <v>2013</v>
      </c>
      <c r="F154" s="102" t="s">
        <v>4</v>
      </c>
      <c r="G154" s="102" t="s">
        <v>44</v>
      </c>
      <c r="H154" s="102" t="s">
        <v>45</v>
      </c>
      <c r="I154" s="103">
        <f>PI()*0.02^2</f>
        <v>1.2566370614359172E-3</v>
      </c>
      <c r="J154" s="102">
        <f>(22+21)*6</f>
        <v>258</v>
      </c>
      <c r="K154" s="97">
        <v>68000</v>
      </c>
      <c r="L154" s="91">
        <f t="shared" si="14"/>
        <v>3.2421236185046666E-5</v>
      </c>
      <c r="M154" s="102">
        <f>1/24</f>
        <v>4.1666666666666664E-2</v>
      </c>
      <c r="N154" s="102">
        <v>0</v>
      </c>
      <c r="O154" s="105">
        <f>(1/24)</f>
        <v>4.1666666666666664E-2</v>
      </c>
      <c r="P154" s="278">
        <f>O154</f>
        <v>4.1666666666666664E-2</v>
      </c>
      <c r="Q154" s="102">
        <v>3</v>
      </c>
      <c r="R154" s="102">
        <v>2</v>
      </c>
      <c r="S154" s="102">
        <v>2</v>
      </c>
      <c r="T154" s="102">
        <v>0</v>
      </c>
      <c r="U154" s="7"/>
      <c r="V154" s="102" t="s">
        <v>944</v>
      </c>
      <c r="W154" s="18">
        <v>39845</v>
      </c>
    </row>
    <row r="155" spans="1:23">
      <c r="A155" s="74" t="s">
        <v>0</v>
      </c>
      <c r="B155" s="74" t="s">
        <v>1</v>
      </c>
      <c r="C155" s="125" t="s">
        <v>27</v>
      </c>
      <c r="D155" s="103" t="s">
        <v>43</v>
      </c>
      <c r="E155" s="126">
        <v>2013</v>
      </c>
      <c r="F155" s="126" t="s">
        <v>4</v>
      </c>
      <c r="G155" s="126" t="s">
        <v>44</v>
      </c>
      <c r="H155" s="126" t="s">
        <v>47</v>
      </c>
      <c r="I155" s="126">
        <f>0.02*0.02*20</f>
        <v>8.0000000000000002E-3</v>
      </c>
      <c r="J155" s="126">
        <f>8+7</f>
        <v>15</v>
      </c>
      <c r="K155" s="126">
        <v>68000</v>
      </c>
      <c r="L155" s="127">
        <f t="shared" si="14"/>
        <v>1.2E-5</v>
      </c>
      <c r="M155" s="126">
        <f>1/24/2</f>
        <v>2.0833333333333332E-2</v>
      </c>
      <c r="N155" s="126">
        <f>365</f>
        <v>365</v>
      </c>
      <c r="O155" s="126">
        <f>M155*2</f>
        <v>4.1666666666666664E-2</v>
      </c>
      <c r="P155" s="263">
        <v>365</v>
      </c>
      <c r="Q155" s="126"/>
      <c r="R155" s="126"/>
      <c r="S155" s="126"/>
      <c r="T155" s="126"/>
      <c r="U155" s="127"/>
      <c r="V155" s="126" t="s">
        <v>48</v>
      </c>
      <c r="W155" s="128" t="s">
        <v>49</v>
      </c>
    </row>
    <row r="156" spans="1:23">
      <c r="A156" s="74" t="s">
        <v>0</v>
      </c>
      <c r="B156" s="74" t="s">
        <v>1</v>
      </c>
      <c r="C156" s="107" t="s">
        <v>27</v>
      </c>
      <c r="D156" s="103" t="s">
        <v>43</v>
      </c>
      <c r="E156" s="97">
        <v>2013</v>
      </c>
      <c r="F156" s="97" t="s">
        <v>4</v>
      </c>
      <c r="G156" s="97" t="s">
        <v>44</v>
      </c>
      <c r="H156" s="129" t="s">
        <v>50</v>
      </c>
      <c r="I156" s="126">
        <f>0.5^2</f>
        <v>0.25</v>
      </c>
      <c r="J156" s="126">
        <f>1.5*43</f>
        <v>64.5</v>
      </c>
      <c r="K156" s="126">
        <v>68000</v>
      </c>
      <c r="L156" s="91">
        <f t="shared" si="14"/>
        <v>1.6125E-3</v>
      </c>
      <c r="M156" s="97">
        <f>1/24</f>
        <v>4.1666666666666664E-2</v>
      </c>
      <c r="N156" s="97">
        <v>183</v>
      </c>
      <c r="O156" s="97">
        <f>(1/24)*1.5</f>
        <v>6.25E-2</v>
      </c>
      <c r="P156" s="279">
        <v>184</v>
      </c>
      <c r="Q156" s="97">
        <v>3</v>
      </c>
      <c r="R156" s="97">
        <v>2</v>
      </c>
      <c r="S156" s="97">
        <v>2</v>
      </c>
      <c r="T156" s="97">
        <v>0</v>
      </c>
      <c r="U156" s="91"/>
      <c r="V156" s="97" t="s">
        <v>46</v>
      </c>
      <c r="W156" s="20" t="s">
        <v>51</v>
      </c>
    </row>
    <row r="157" spans="1:23">
      <c r="A157" s="74" t="s">
        <v>0</v>
      </c>
      <c r="B157" s="74" t="s">
        <v>1</v>
      </c>
      <c r="C157" s="107" t="s">
        <v>27</v>
      </c>
      <c r="D157" s="103" t="s">
        <v>43</v>
      </c>
      <c r="E157" s="97">
        <v>2013</v>
      </c>
      <c r="F157" s="97" t="s">
        <v>4</v>
      </c>
      <c r="G157" s="97" t="s">
        <v>44</v>
      </c>
      <c r="H157" s="129" t="s">
        <v>52</v>
      </c>
      <c r="I157" s="126">
        <f>3^2</f>
        <v>9</v>
      </c>
      <c r="J157" s="126">
        <f>20*20</f>
        <v>400</v>
      </c>
      <c r="K157" s="126">
        <v>68000</v>
      </c>
      <c r="L157" s="91">
        <f t="shared" si="14"/>
        <v>0.36</v>
      </c>
      <c r="M157" s="97">
        <f>1/24</f>
        <v>4.1666666666666664E-2</v>
      </c>
      <c r="N157" s="126">
        <v>183</v>
      </c>
      <c r="O157" s="126">
        <f>1/24*2</f>
        <v>8.3333333333333329E-2</v>
      </c>
      <c r="P157" s="279">
        <v>184</v>
      </c>
      <c r="Q157" s="97">
        <v>3</v>
      </c>
      <c r="R157" s="97">
        <v>2</v>
      </c>
      <c r="S157" s="97">
        <v>2</v>
      </c>
      <c r="T157" s="97">
        <v>0</v>
      </c>
      <c r="U157" s="91"/>
      <c r="V157" s="97" t="s">
        <v>53</v>
      </c>
      <c r="W157" s="20"/>
    </row>
    <row r="158" spans="1:23">
      <c r="A158" s="74" t="s">
        <v>0</v>
      </c>
      <c r="B158" s="74" t="s">
        <v>1</v>
      </c>
      <c r="C158" s="101" t="s">
        <v>15</v>
      </c>
      <c r="D158" s="102" t="s">
        <v>54</v>
      </c>
      <c r="E158" s="102">
        <v>2011</v>
      </c>
      <c r="F158" s="102" t="s">
        <v>55</v>
      </c>
      <c r="G158" s="102" t="s">
        <v>56</v>
      </c>
      <c r="H158" s="102" t="s">
        <v>57</v>
      </c>
      <c r="I158" s="103">
        <f>1.1*3</f>
        <v>3.3000000000000003</v>
      </c>
      <c r="J158" s="103">
        <f>6700/3</f>
        <v>2233.3333333333335</v>
      </c>
      <c r="K158" s="126">
        <v>180200</v>
      </c>
      <c r="L158" s="91">
        <f t="shared" si="14"/>
        <v>0.7370000000000001</v>
      </c>
      <c r="M158" s="103">
        <f>1/(24*3600)</f>
        <v>1.1574074074074073E-5</v>
      </c>
      <c r="N158" s="103">
        <f>13 / 110</f>
        <v>0.11818181818181818</v>
      </c>
      <c r="O158" s="130">
        <f>110*M158</f>
        <v>1.273148148148148E-3</v>
      </c>
      <c r="P158" s="264">
        <v>23</v>
      </c>
      <c r="Q158" s="102">
        <v>0</v>
      </c>
      <c r="R158" s="102">
        <v>1</v>
      </c>
      <c r="S158" s="102">
        <v>1</v>
      </c>
      <c r="T158" s="102">
        <v>0</v>
      </c>
      <c r="U158" s="7"/>
      <c r="V158" s="103" t="s">
        <v>58</v>
      </c>
      <c r="W158" s="131" t="s">
        <v>59</v>
      </c>
    </row>
    <row r="159" spans="1:23">
      <c r="A159" s="74" t="s">
        <v>0</v>
      </c>
      <c r="B159" s="74" t="s">
        <v>1</v>
      </c>
      <c r="C159" s="132" t="s">
        <v>15</v>
      </c>
      <c r="D159" s="103" t="s">
        <v>54</v>
      </c>
      <c r="E159" s="103">
        <v>2011</v>
      </c>
      <c r="F159" s="103" t="s">
        <v>55</v>
      </c>
      <c r="G159" s="103" t="s">
        <v>56</v>
      </c>
      <c r="H159" s="103" t="s">
        <v>57</v>
      </c>
      <c r="I159" s="103">
        <f>1.1*3</f>
        <v>3.3000000000000003</v>
      </c>
      <c r="J159" s="103">
        <f>16800/3</f>
        <v>5600</v>
      </c>
      <c r="K159" s="126">
        <v>180200</v>
      </c>
      <c r="L159" s="127">
        <f t="shared" si="14"/>
        <v>1.8480000000000001</v>
      </c>
      <c r="M159" s="103">
        <f>1/(24*3600)</f>
        <v>1.1574074074074073E-5</v>
      </c>
      <c r="N159" s="103">
        <f>13 / 42</f>
        <v>0.30952380952380953</v>
      </c>
      <c r="O159" s="103">
        <f>42*M159</f>
        <v>4.861111111111111E-4</v>
      </c>
      <c r="P159" s="263">
        <v>23</v>
      </c>
      <c r="Q159" s="126"/>
      <c r="R159" s="126"/>
      <c r="S159" s="126"/>
      <c r="T159" s="126"/>
      <c r="U159" s="127"/>
      <c r="V159" s="103" t="s">
        <v>58</v>
      </c>
      <c r="W159" s="131" t="s">
        <v>60</v>
      </c>
    </row>
    <row r="160" spans="1:23">
      <c r="A160" s="74" t="s">
        <v>0</v>
      </c>
      <c r="B160" s="74" t="s">
        <v>1</v>
      </c>
      <c r="C160" s="132" t="s">
        <v>15</v>
      </c>
      <c r="D160" s="103" t="s">
        <v>54</v>
      </c>
      <c r="E160" s="103">
        <v>2011</v>
      </c>
      <c r="F160" s="103" t="s">
        <v>55</v>
      </c>
      <c r="G160" s="103" t="s">
        <v>56</v>
      </c>
      <c r="H160" s="103" t="s">
        <v>57</v>
      </c>
      <c r="I160" s="103">
        <f>1.1*3</f>
        <v>3.3000000000000003</v>
      </c>
      <c r="J160" s="126">
        <f>5500/3</f>
        <v>1833.3333333333333</v>
      </c>
      <c r="K160" s="126">
        <v>180200</v>
      </c>
      <c r="L160" s="127">
        <f t="shared" si="14"/>
        <v>0.60499999999999998</v>
      </c>
      <c r="M160" s="103">
        <f>1/(24*3600)</f>
        <v>1.1574074074074073E-5</v>
      </c>
      <c r="N160" s="103">
        <f>13 / 35</f>
        <v>0.37142857142857144</v>
      </c>
      <c r="O160" s="103">
        <f>35*M160</f>
        <v>4.0509259259259258E-4</v>
      </c>
      <c r="P160" s="263">
        <v>23</v>
      </c>
      <c r="Q160" s="126"/>
      <c r="R160" s="126"/>
      <c r="S160" s="126"/>
      <c r="T160" s="126"/>
      <c r="U160" s="127"/>
      <c r="V160" s="103" t="s">
        <v>58</v>
      </c>
      <c r="W160" s="133" t="s">
        <v>61</v>
      </c>
    </row>
    <row r="161" spans="1:23">
      <c r="A161" s="74" t="s">
        <v>0</v>
      </c>
      <c r="B161" s="74" t="s">
        <v>1</v>
      </c>
      <c r="C161" s="132" t="s">
        <v>15</v>
      </c>
      <c r="D161" s="103" t="s">
        <v>54</v>
      </c>
      <c r="E161" s="103">
        <v>2011</v>
      </c>
      <c r="F161" s="103" t="s">
        <v>55</v>
      </c>
      <c r="G161" s="103" t="s">
        <v>56</v>
      </c>
      <c r="H161" s="103" t="s">
        <v>57</v>
      </c>
      <c r="I161" s="126">
        <f>232^2</f>
        <v>53824</v>
      </c>
      <c r="J161" s="126">
        <f>(1802*100*10000)/I161</f>
        <v>33479.488703923897</v>
      </c>
      <c r="K161" s="126">
        <v>180200</v>
      </c>
      <c r="L161" s="127">
        <f t="shared" si="14"/>
        <v>180199.99999999997</v>
      </c>
      <c r="M161" s="103">
        <f>1/(24*3600)</f>
        <v>1.1574074074074073E-5</v>
      </c>
      <c r="N161" s="126">
        <v>0</v>
      </c>
      <c r="O161" s="126">
        <f>M161</f>
        <v>1.1574074074074073E-5</v>
      </c>
      <c r="P161" s="279">
        <f>O161</f>
        <v>1.1574074074074073E-5</v>
      </c>
      <c r="Q161" s="126"/>
      <c r="R161" s="126"/>
      <c r="S161" s="126"/>
      <c r="T161" s="126"/>
      <c r="U161" s="127"/>
      <c r="V161" s="103" t="s">
        <v>945</v>
      </c>
      <c r="W161" s="133" t="s">
        <v>62</v>
      </c>
    </row>
    <row r="162" spans="1:23">
      <c r="A162" s="74" t="s">
        <v>0</v>
      </c>
      <c r="B162" s="74" t="s">
        <v>1</v>
      </c>
      <c r="C162" s="110" t="s">
        <v>15</v>
      </c>
      <c r="D162" s="111" t="s">
        <v>54</v>
      </c>
      <c r="E162" s="111">
        <v>2012</v>
      </c>
      <c r="F162" s="134" t="s">
        <v>63</v>
      </c>
      <c r="G162" s="111" t="s">
        <v>56</v>
      </c>
      <c r="H162" s="111" t="s">
        <v>64</v>
      </c>
      <c r="I162" s="118">
        <f>PI()*0.01^2</f>
        <v>3.1415926535897931E-4</v>
      </c>
      <c r="J162" s="111">
        <v>3</v>
      </c>
      <c r="K162" s="97">
        <v>180200</v>
      </c>
      <c r="L162" s="91">
        <f t="shared" si="14"/>
        <v>9.4247779607693799E-8</v>
      </c>
      <c r="M162" s="118">
        <f>0.5/24</f>
        <v>2.0833333333333332E-2</v>
      </c>
      <c r="N162" s="135">
        <f>M162</f>
        <v>2.0833333333333332E-2</v>
      </c>
      <c r="O162" s="118">
        <f>(17+7)/2</f>
        <v>12</v>
      </c>
      <c r="P162" s="280">
        <v>23</v>
      </c>
      <c r="Q162" s="111">
        <v>0</v>
      </c>
      <c r="R162" s="111">
        <v>1</v>
      </c>
      <c r="S162" s="111">
        <v>1</v>
      </c>
      <c r="T162" s="111">
        <v>0</v>
      </c>
      <c r="U162" s="12"/>
      <c r="V162" s="111" t="s">
        <v>22</v>
      </c>
      <c r="W162" s="14"/>
    </row>
    <row r="163" spans="1:23">
      <c r="A163" s="74" t="s">
        <v>0</v>
      </c>
      <c r="B163" s="74" t="s">
        <v>1</v>
      </c>
      <c r="C163" s="121" t="s">
        <v>65</v>
      </c>
      <c r="D163" s="122" t="s">
        <v>66</v>
      </c>
      <c r="E163" s="122">
        <v>2012</v>
      </c>
      <c r="F163" s="122" t="s">
        <v>4</v>
      </c>
      <c r="G163" s="122" t="s">
        <v>67</v>
      </c>
      <c r="H163" s="122" t="s">
        <v>68</v>
      </c>
      <c r="I163" s="122">
        <v>1</v>
      </c>
      <c r="J163" s="122">
        <f>48*20</f>
        <v>960</v>
      </c>
      <c r="K163" s="97">
        <v>70234.37</v>
      </c>
      <c r="L163" s="91">
        <f t="shared" si="14"/>
        <v>9.6000000000000002E-2</v>
      </c>
      <c r="M163" s="122">
        <f>1/24</f>
        <v>4.1666666666666664E-2</v>
      </c>
      <c r="N163" s="122">
        <v>0</v>
      </c>
      <c r="O163" s="136">
        <f>1/24</f>
        <v>4.1666666666666664E-2</v>
      </c>
      <c r="P163" s="282">
        <f>O163</f>
        <v>4.1666666666666664E-2</v>
      </c>
      <c r="Q163" s="122">
        <v>3</v>
      </c>
      <c r="R163" s="122">
        <v>2</v>
      </c>
      <c r="S163" s="122">
        <v>2</v>
      </c>
      <c r="T163" s="122">
        <v>3</v>
      </c>
      <c r="U163" s="16"/>
      <c r="V163" s="122" t="s">
        <v>946</v>
      </c>
      <c r="W163" s="21" t="s">
        <v>69</v>
      </c>
    </row>
    <row r="164" spans="1:23">
      <c r="A164" s="74" t="s">
        <v>0</v>
      </c>
      <c r="B164" s="74" t="s">
        <v>1</v>
      </c>
      <c r="C164" s="93" t="s">
        <v>15</v>
      </c>
      <c r="D164" s="95" t="s">
        <v>70</v>
      </c>
      <c r="E164" s="95">
        <v>2006</v>
      </c>
      <c r="F164" s="95" t="s">
        <v>63</v>
      </c>
      <c r="G164" s="95" t="s">
        <v>71</v>
      </c>
      <c r="H164" s="95" t="s">
        <v>72</v>
      </c>
      <c r="I164" s="124">
        <f>0.02*0.02</f>
        <v>4.0000000000000002E-4</v>
      </c>
      <c r="J164" s="95">
        <v>1</v>
      </c>
      <c r="K164" s="97">
        <v>2070.11</v>
      </c>
      <c r="L164" s="91">
        <f t="shared" si="14"/>
        <v>4.0000000000000001E-8</v>
      </c>
      <c r="M164" s="124">
        <f>30/(24*60)</f>
        <v>2.0833333333333332E-2</v>
      </c>
      <c r="N164" s="137">
        <f>M164</f>
        <v>2.0833333333333332E-2</v>
      </c>
      <c r="O164" s="124">
        <f>365*2</f>
        <v>730</v>
      </c>
      <c r="P164" s="95">
        <v>730</v>
      </c>
      <c r="Q164" s="95">
        <v>1</v>
      </c>
      <c r="R164" s="95">
        <v>3</v>
      </c>
      <c r="S164" s="95">
        <v>3</v>
      </c>
      <c r="T164" s="95">
        <v>0</v>
      </c>
      <c r="U164" s="4"/>
      <c r="V164" s="95" t="s">
        <v>947</v>
      </c>
      <c r="W164" s="22"/>
    </row>
    <row r="165" spans="1:23">
      <c r="A165" s="74" t="s">
        <v>0</v>
      </c>
      <c r="B165" s="74" t="s">
        <v>1</v>
      </c>
      <c r="C165" s="138" t="s">
        <v>15</v>
      </c>
      <c r="D165" s="124" t="s">
        <v>70</v>
      </c>
      <c r="E165" s="124">
        <v>2006</v>
      </c>
      <c r="F165" s="124" t="s">
        <v>63</v>
      </c>
      <c r="G165" s="124" t="s">
        <v>71</v>
      </c>
      <c r="H165" s="124" t="s">
        <v>72</v>
      </c>
      <c r="I165" s="139">
        <v>1</v>
      </c>
      <c r="J165" s="139">
        <f>3</f>
        <v>3</v>
      </c>
      <c r="K165" s="139">
        <v>2070.11</v>
      </c>
      <c r="L165" s="140">
        <f t="shared" si="14"/>
        <v>2.9999999999999997E-4</v>
      </c>
      <c r="M165" s="141">
        <f>30/(60*24)</f>
        <v>2.0833333333333332E-2</v>
      </c>
      <c r="N165" s="140">
        <f>14</f>
        <v>14</v>
      </c>
      <c r="O165" s="141">
        <f>10*M165</f>
        <v>0.20833333333333331</v>
      </c>
      <c r="P165" s="139">
        <f>365*2</f>
        <v>730</v>
      </c>
      <c r="Q165" s="139"/>
      <c r="R165" s="139"/>
      <c r="S165" s="139"/>
      <c r="T165" s="139"/>
      <c r="U165" s="140"/>
      <c r="V165" s="139" t="s">
        <v>948</v>
      </c>
      <c r="W165" s="140"/>
    </row>
    <row r="166" spans="1:23">
      <c r="A166" s="74" t="s">
        <v>0</v>
      </c>
      <c r="B166" s="74" t="s">
        <v>1</v>
      </c>
      <c r="C166" s="101" t="s">
        <v>73</v>
      </c>
      <c r="D166" s="101" t="s">
        <v>74</v>
      </c>
      <c r="E166" s="102">
        <v>2010</v>
      </c>
      <c r="F166" s="102" t="s">
        <v>4</v>
      </c>
      <c r="G166" s="102" t="s">
        <v>75</v>
      </c>
      <c r="H166" s="102" t="s">
        <v>76</v>
      </c>
      <c r="I166" s="142">
        <f>AVERAGE(150*0.304*4*0.304, 4*0.304*20*0.304)</f>
        <v>31.42144</v>
      </c>
      <c r="J166" s="102">
        <v>10</v>
      </c>
      <c r="K166" s="97">
        <v>12575.63</v>
      </c>
      <c r="L166" s="91">
        <f t="shared" si="14"/>
        <v>3.1421440000000002E-2</v>
      </c>
      <c r="M166" s="142">
        <f>2/24</f>
        <v>8.3333333333333329E-2</v>
      </c>
      <c r="N166" s="143">
        <f>365</f>
        <v>365</v>
      </c>
      <c r="O166" s="142">
        <f>M166*2</f>
        <v>0.16666666666666666</v>
      </c>
      <c r="P166" s="278">
        <v>730</v>
      </c>
      <c r="Q166" s="102">
        <v>1</v>
      </c>
      <c r="R166" s="102">
        <v>0</v>
      </c>
      <c r="S166" s="102">
        <v>0</v>
      </c>
      <c r="T166" s="102">
        <v>0</v>
      </c>
      <c r="U166" s="144"/>
      <c r="V166" s="102" t="s">
        <v>949</v>
      </c>
      <c r="W166" s="10" t="s">
        <v>77</v>
      </c>
    </row>
    <row r="167" spans="1:23">
      <c r="A167" s="74" t="s">
        <v>0</v>
      </c>
      <c r="B167" s="74" t="s">
        <v>1</v>
      </c>
      <c r="C167" s="110" t="s">
        <v>73</v>
      </c>
      <c r="D167" s="145" t="s">
        <v>74</v>
      </c>
      <c r="E167" s="111">
        <v>2010</v>
      </c>
      <c r="F167" s="111" t="s">
        <v>4</v>
      </c>
      <c r="G167" s="111" t="s">
        <v>75</v>
      </c>
      <c r="H167" s="111" t="s">
        <v>76</v>
      </c>
      <c r="I167" s="146">
        <v>1100</v>
      </c>
      <c r="J167" s="146">
        <v>1</v>
      </c>
      <c r="K167" s="139">
        <v>12575.63</v>
      </c>
      <c r="L167" s="91">
        <f t="shared" si="14"/>
        <v>0.11</v>
      </c>
      <c r="M167" s="142">
        <v>7</v>
      </c>
      <c r="N167" s="143">
        <f>365</f>
        <v>365</v>
      </c>
      <c r="O167" s="142">
        <f>M167*9</f>
        <v>63</v>
      </c>
      <c r="P167" s="284">
        <f>365*8</f>
        <v>2920</v>
      </c>
      <c r="Q167" s="111">
        <v>1</v>
      </c>
      <c r="R167" s="111">
        <v>0</v>
      </c>
      <c r="S167" s="111">
        <v>0</v>
      </c>
      <c r="T167" s="111">
        <v>0</v>
      </c>
      <c r="U167" s="147" t="s">
        <v>78</v>
      </c>
      <c r="V167" s="111" t="s">
        <v>949</v>
      </c>
      <c r="W167" s="14" t="s">
        <v>79</v>
      </c>
    </row>
    <row r="168" spans="1:23">
      <c r="A168" s="74" t="s">
        <v>0</v>
      </c>
      <c r="B168" s="74" t="s">
        <v>1</v>
      </c>
      <c r="C168" s="98" t="s">
        <v>80</v>
      </c>
      <c r="D168" s="97" t="s">
        <v>81</v>
      </c>
      <c r="E168" s="97">
        <v>2010</v>
      </c>
      <c r="F168" s="97" t="s">
        <v>4</v>
      </c>
      <c r="G168" s="97" t="s">
        <v>82</v>
      </c>
      <c r="H168" s="97" t="s">
        <v>83</v>
      </c>
      <c r="I168" s="108">
        <v>1</v>
      </c>
      <c r="J168" s="97">
        <v>80</v>
      </c>
      <c r="K168" s="97">
        <v>6.88</v>
      </c>
      <c r="L168" s="91">
        <f t="shared" si="14"/>
        <v>8.0000000000000002E-3</v>
      </c>
      <c r="M168" s="142">
        <f>30/(60*24)</f>
        <v>2.0833333333333332E-2</v>
      </c>
      <c r="N168" s="97">
        <v>0</v>
      </c>
      <c r="O168" s="139">
        <f t="shared" ref="O168:O175" si="15">M168</f>
        <v>2.0833333333333332E-2</v>
      </c>
      <c r="P168" s="279">
        <f t="shared" ref="P168:P175" si="16">O168</f>
        <v>2.0833333333333332E-2</v>
      </c>
      <c r="Q168" s="97">
        <v>3</v>
      </c>
      <c r="R168" s="97">
        <v>2</v>
      </c>
      <c r="S168" s="97">
        <v>1</v>
      </c>
      <c r="T168" s="97">
        <v>2</v>
      </c>
      <c r="U168" s="91"/>
      <c r="V168" s="97" t="s">
        <v>950</v>
      </c>
      <c r="W168" s="17"/>
    </row>
    <row r="169" spans="1:23">
      <c r="A169" s="74" t="s">
        <v>0</v>
      </c>
      <c r="B169" s="74" t="s">
        <v>1</v>
      </c>
      <c r="C169" s="148" t="s">
        <v>80</v>
      </c>
      <c r="D169" s="139" t="s">
        <v>81</v>
      </c>
      <c r="E169" s="139">
        <v>2010</v>
      </c>
      <c r="F169" s="139" t="s">
        <v>4</v>
      </c>
      <c r="G169" s="139" t="s">
        <v>82</v>
      </c>
      <c r="H169" s="139" t="s">
        <v>83</v>
      </c>
      <c r="I169" s="139">
        <f>0.02*0.02</f>
        <v>4.0000000000000002E-4</v>
      </c>
      <c r="J169" s="139">
        <f>8*10*AVERAGE(6, 30)</f>
        <v>1440</v>
      </c>
      <c r="K169" s="139">
        <v>6.88</v>
      </c>
      <c r="L169" s="140">
        <f t="shared" si="14"/>
        <v>5.7600000000000004E-5</v>
      </c>
      <c r="M169" s="139">
        <f>5/(24*60)</f>
        <v>3.472222222222222E-3</v>
      </c>
      <c r="N169" s="139">
        <f>0</f>
        <v>0</v>
      </c>
      <c r="O169" s="139">
        <f t="shared" si="15"/>
        <v>3.472222222222222E-3</v>
      </c>
      <c r="P169" s="279">
        <f t="shared" si="16"/>
        <v>3.472222222222222E-3</v>
      </c>
      <c r="Q169" s="139"/>
      <c r="R169" s="139"/>
      <c r="S169" s="139"/>
      <c r="T169" s="139"/>
      <c r="U169" s="140"/>
      <c r="V169" s="139" t="s">
        <v>951</v>
      </c>
      <c r="W169" s="149" t="s">
        <v>84</v>
      </c>
    </row>
    <row r="170" spans="1:23">
      <c r="A170" s="74" t="s">
        <v>0</v>
      </c>
      <c r="B170" s="74" t="s">
        <v>1</v>
      </c>
      <c r="C170" s="148" t="s">
        <v>80</v>
      </c>
      <c r="D170" s="139" t="s">
        <v>81</v>
      </c>
      <c r="E170" s="139">
        <v>2010</v>
      </c>
      <c r="F170" s="139" t="s">
        <v>4</v>
      </c>
      <c r="G170" s="139" t="s">
        <v>82</v>
      </c>
      <c r="H170" s="139" t="s">
        <v>83</v>
      </c>
      <c r="I170" s="139">
        <f>0.2*0.2</f>
        <v>4.0000000000000008E-2</v>
      </c>
      <c r="J170" s="139">
        <f>8*10*AVERAGE(6, 30)</f>
        <v>1440</v>
      </c>
      <c r="K170" s="139">
        <v>6.88</v>
      </c>
      <c r="L170" s="140">
        <f t="shared" si="14"/>
        <v>5.7600000000000012E-3</v>
      </c>
      <c r="M170" s="139">
        <f>5/(24*60)</f>
        <v>3.472222222222222E-3</v>
      </c>
      <c r="N170" s="139">
        <f>0</f>
        <v>0</v>
      </c>
      <c r="O170" s="139">
        <f t="shared" si="15"/>
        <v>3.472222222222222E-3</v>
      </c>
      <c r="P170" s="279">
        <f t="shared" si="16"/>
        <v>3.472222222222222E-3</v>
      </c>
      <c r="Q170" s="139"/>
      <c r="R170" s="139"/>
      <c r="S170" s="139"/>
      <c r="T170" s="139"/>
      <c r="U170" s="140"/>
      <c r="V170" s="139" t="s">
        <v>951</v>
      </c>
      <c r="W170" s="149" t="s">
        <v>85</v>
      </c>
    </row>
    <row r="171" spans="1:23" ht="13" thickBot="1">
      <c r="A171" s="74" t="s">
        <v>0</v>
      </c>
      <c r="B171" s="74" t="s">
        <v>1</v>
      </c>
      <c r="C171" s="148" t="s">
        <v>80</v>
      </c>
      <c r="D171" s="139" t="s">
        <v>81</v>
      </c>
      <c r="E171" s="139">
        <v>2010</v>
      </c>
      <c r="F171" s="139" t="s">
        <v>4</v>
      </c>
      <c r="G171" s="139" t="s">
        <v>82</v>
      </c>
      <c r="H171" s="139" t="s">
        <v>83</v>
      </c>
      <c r="I171" s="139">
        <f>0.01^2*PI()</f>
        <v>3.1415926535897931E-4</v>
      </c>
      <c r="J171" s="139">
        <f>16</f>
        <v>16</v>
      </c>
      <c r="K171" s="139">
        <v>6.88</v>
      </c>
      <c r="L171" s="140">
        <f t="shared" si="14"/>
        <v>5.0265482457436689E-7</v>
      </c>
      <c r="M171" s="139">
        <f>15/(24*60)</f>
        <v>1.0416666666666666E-2</v>
      </c>
      <c r="N171" s="139">
        <v>0</v>
      </c>
      <c r="O171" s="139">
        <f t="shared" si="15"/>
        <v>1.0416666666666666E-2</v>
      </c>
      <c r="P171" s="279">
        <f t="shared" si="16"/>
        <v>1.0416666666666666E-2</v>
      </c>
      <c r="Q171" s="139"/>
      <c r="R171" s="139"/>
      <c r="S171" s="139"/>
      <c r="T171" s="139"/>
      <c r="U171" s="140"/>
      <c r="V171" s="139" t="s">
        <v>952</v>
      </c>
      <c r="W171" s="149" t="s">
        <v>86</v>
      </c>
    </row>
    <row r="172" spans="1:23" ht="13" thickBot="1">
      <c r="A172" s="74" t="s">
        <v>0</v>
      </c>
      <c r="B172" s="74" t="s">
        <v>1</v>
      </c>
      <c r="C172" s="150" t="s">
        <v>87</v>
      </c>
      <c r="D172" s="151" t="s">
        <v>88</v>
      </c>
      <c r="E172" s="151">
        <v>2009</v>
      </c>
      <c r="F172" s="151" t="s">
        <v>4</v>
      </c>
      <c r="G172" s="151" t="s">
        <v>89</v>
      </c>
      <c r="H172" s="151" t="s">
        <v>90</v>
      </c>
      <c r="I172" s="152">
        <f>0.075^2*PI()*36</f>
        <v>0.63617251235193317</v>
      </c>
      <c r="J172" s="152">
        <v>159</v>
      </c>
      <c r="K172" s="152">
        <v>112463</v>
      </c>
      <c r="L172" s="23">
        <f t="shared" si="14"/>
        <v>1.0115142946395737E-2</v>
      </c>
      <c r="M172" s="152">
        <f>6/24</f>
        <v>0.25</v>
      </c>
      <c r="N172" s="153">
        <v>0</v>
      </c>
      <c r="O172" s="154">
        <f t="shared" si="15"/>
        <v>0.25</v>
      </c>
      <c r="P172" s="285">
        <f t="shared" si="16"/>
        <v>0.25</v>
      </c>
      <c r="Q172" s="151">
        <v>0</v>
      </c>
      <c r="R172" s="151">
        <v>1</v>
      </c>
      <c r="S172" s="151">
        <v>1</v>
      </c>
      <c r="T172" s="151">
        <v>0</v>
      </c>
      <c r="U172" s="155" t="s">
        <v>91</v>
      </c>
      <c r="V172" s="152" t="s">
        <v>952</v>
      </c>
      <c r="W172" s="156" t="s">
        <v>92</v>
      </c>
    </row>
    <row r="173" spans="1:23" ht="13" thickBot="1">
      <c r="A173" s="74" t="s">
        <v>0</v>
      </c>
      <c r="B173" s="74" t="s">
        <v>1</v>
      </c>
      <c r="C173" s="157" t="s">
        <v>87</v>
      </c>
      <c r="D173" s="158" t="s">
        <v>88</v>
      </c>
      <c r="E173" s="97">
        <v>2009</v>
      </c>
      <c r="F173" s="97" t="s">
        <v>4</v>
      </c>
      <c r="G173" s="97" t="s">
        <v>89</v>
      </c>
      <c r="H173" s="97" t="s">
        <v>90</v>
      </c>
      <c r="I173" s="139">
        <f>PI()*0.05^2*36</f>
        <v>0.28274333882308139</v>
      </c>
      <c r="J173" s="91">
        <v>107</v>
      </c>
      <c r="K173" s="91">
        <v>89974</v>
      </c>
      <c r="L173" s="91">
        <f t="shared" si="14"/>
        <v>3.0253537254069708E-3</v>
      </c>
      <c r="M173" s="152">
        <f>6/24</f>
        <v>0.25</v>
      </c>
      <c r="N173" s="153">
        <v>0</v>
      </c>
      <c r="O173" s="154">
        <f t="shared" si="15"/>
        <v>0.25</v>
      </c>
      <c r="P173" s="279">
        <f t="shared" si="16"/>
        <v>0.25</v>
      </c>
      <c r="Q173" s="97">
        <v>0</v>
      </c>
      <c r="R173" s="97">
        <v>1</v>
      </c>
      <c r="S173" s="97">
        <v>1</v>
      </c>
      <c r="T173" s="97">
        <v>0</v>
      </c>
      <c r="U173" s="97" t="s">
        <v>93</v>
      </c>
      <c r="V173" s="152" t="s">
        <v>952</v>
      </c>
      <c r="W173" s="159" t="s">
        <v>94</v>
      </c>
    </row>
    <row r="174" spans="1:23" ht="13" thickBot="1">
      <c r="A174" s="74" t="s">
        <v>0</v>
      </c>
      <c r="B174" s="74" t="s">
        <v>1</v>
      </c>
      <c r="C174" s="157" t="s">
        <v>87</v>
      </c>
      <c r="D174" s="158" t="s">
        <v>88</v>
      </c>
      <c r="E174" s="97">
        <v>2009</v>
      </c>
      <c r="F174" s="97" t="s">
        <v>4</v>
      </c>
      <c r="G174" s="97" t="s">
        <v>89</v>
      </c>
      <c r="H174" s="97" t="s">
        <v>90</v>
      </c>
      <c r="I174" s="139">
        <f>PI()*0.075^2</f>
        <v>1.7671458676442587E-2</v>
      </c>
      <c r="J174" s="139">
        <v>52</v>
      </c>
      <c r="K174" s="139">
        <v>31269</v>
      </c>
      <c r="L174" s="91">
        <f t="shared" si="14"/>
        <v>9.1891585117501452E-5</v>
      </c>
      <c r="M174" s="152">
        <f>6/24</f>
        <v>0.25</v>
      </c>
      <c r="N174" s="153">
        <v>0</v>
      </c>
      <c r="O174" s="154">
        <f t="shared" si="15"/>
        <v>0.25</v>
      </c>
      <c r="P174" s="279">
        <f t="shared" si="16"/>
        <v>0.25</v>
      </c>
      <c r="Q174" s="97">
        <v>0</v>
      </c>
      <c r="R174" s="97">
        <v>1</v>
      </c>
      <c r="S174" s="97">
        <v>1</v>
      </c>
      <c r="T174" s="97">
        <v>0</v>
      </c>
      <c r="U174" s="139" t="s">
        <v>95</v>
      </c>
      <c r="V174" s="139" t="s">
        <v>952</v>
      </c>
      <c r="W174" s="159" t="s">
        <v>96</v>
      </c>
    </row>
    <row r="175" spans="1:23" ht="13" thickBot="1">
      <c r="A175" s="74" t="s">
        <v>0</v>
      </c>
      <c r="B175" s="74" t="s">
        <v>1</v>
      </c>
      <c r="C175" s="160" t="s">
        <v>87</v>
      </c>
      <c r="D175" s="161" t="s">
        <v>88</v>
      </c>
      <c r="E175" s="162">
        <v>2009</v>
      </c>
      <c r="F175" s="162" t="s">
        <v>4</v>
      </c>
      <c r="G175" s="162" t="s">
        <v>89</v>
      </c>
      <c r="H175" s="162" t="s">
        <v>90</v>
      </c>
      <c r="I175" s="139">
        <f>PI()*0.075^2</f>
        <v>1.7671458676442587E-2</v>
      </c>
      <c r="J175" s="163">
        <v>150</v>
      </c>
      <c r="K175" s="163">
        <v>128666</v>
      </c>
      <c r="L175" s="24">
        <f t="shared" si="14"/>
        <v>2.6507188014663881E-4</v>
      </c>
      <c r="M175" s="152">
        <f>6/24</f>
        <v>0.25</v>
      </c>
      <c r="N175" s="153">
        <v>0</v>
      </c>
      <c r="O175" s="154">
        <f t="shared" si="15"/>
        <v>0.25</v>
      </c>
      <c r="P175" s="286">
        <f t="shared" si="16"/>
        <v>0.25</v>
      </c>
      <c r="Q175" s="162">
        <v>0</v>
      </c>
      <c r="R175" s="162">
        <v>1</v>
      </c>
      <c r="S175" s="162">
        <v>1</v>
      </c>
      <c r="T175" s="162">
        <v>0</v>
      </c>
      <c r="U175" s="164" t="s">
        <v>97</v>
      </c>
      <c r="V175" s="165" t="s">
        <v>953</v>
      </c>
      <c r="W175" s="156" t="s">
        <v>98</v>
      </c>
    </row>
    <row r="176" spans="1:23">
      <c r="A176" s="74" t="s">
        <v>0</v>
      </c>
      <c r="B176" s="74" t="s">
        <v>1</v>
      </c>
      <c r="C176" s="107" t="s">
        <v>65</v>
      </c>
      <c r="D176" s="97" t="s">
        <v>99</v>
      </c>
      <c r="E176" s="97">
        <v>2012</v>
      </c>
      <c r="F176" s="97" t="s">
        <v>4</v>
      </c>
      <c r="G176" s="97" t="s">
        <v>100</v>
      </c>
      <c r="H176" s="97" t="s">
        <v>101</v>
      </c>
      <c r="I176" s="139">
        <f>397*1000</f>
        <v>397000</v>
      </c>
      <c r="J176" s="139">
        <f>(15667 * 1000)/397</f>
        <v>39463.476070528966</v>
      </c>
      <c r="K176" s="139">
        <v>374014</v>
      </c>
      <c r="L176" s="277">
        <f>K176</f>
        <v>374014</v>
      </c>
      <c r="M176" s="139">
        <f>(397/51.4)/60/60/24</f>
        <v>8.9395085747225828E-5</v>
      </c>
      <c r="N176" s="139">
        <f>365</f>
        <v>365</v>
      </c>
      <c r="O176" s="139">
        <f>M176*3</f>
        <v>2.681852572416775E-4</v>
      </c>
      <c r="P176" s="277">
        <v>1187</v>
      </c>
      <c r="Q176" s="97">
        <v>1</v>
      </c>
      <c r="R176" s="97">
        <v>1</v>
      </c>
      <c r="S176" s="97">
        <v>0</v>
      </c>
      <c r="T176" s="97">
        <v>1</v>
      </c>
      <c r="U176" s="91"/>
      <c r="V176" s="97" t="s">
        <v>954</v>
      </c>
      <c r="W176" s="11" t="s">
        <v>102</v>
      </c>
    </row>
    <row r="177" spans="1:23">
      <c r="A177" s="74" t="s">
        <v>0</v>
      </c>
      <c r="B177" s="74" t="s">
        <v>1</v>
      </c>
      <c r="C177" s="110" t="s">
        <v>65</v>
      </c>
      <c r="D177" s="103" t="s">
        <v>99</v>
      </c>
      <c r="E177" s="111">
        <v>2012</v>
      </c>
      <c r="F177" s="111" t="s">
        <v>4</v>
      </c>
      <c r="G177" s="111" t="s">
        <v>100</v>
      </c>
      <c r="H177" s="111" t="s">
        <v>101</v>
      </c>
      <c r="I177" s="146">
        <f>300*1000</f>
        <v>300000</v>
      </c>
      <c r="J177" s="146">
        <f>(6424.666667 * 1000)/300</f>
        <v>21415.555556666666</v>
      </c>
      <c r="K177" s="139">
        <v>374014</v>
      </c>
      <c r="L177" s="277">
        <f>K177</f>
        <v>374014</v>
      </c>
      <c r="M177" s="146">
        <f>2/(60*24)</f>
        <v>1.3888888888888889E-3</v>
      </c>
      <c r="N177" s="146">
        <f>365</f>
        <v>365</v>
      </c>
      <c r="O177" s="142">
        <f>M177*19</f>
        <v>2.6388888888888889E-2</v>
      </c>
      <c r="P177" s="143">
        <f>19*365</f>
        <v>6935</v>
      </c>
      <c r="Q177" s="111">
        <v>1</v>
      </c>
      <c r="R177" s="111">
        <v>1</v>
      </c>
      <c r="S177" s="111">
        <v>0</v>
      </c>
      <c r="T177" s="111">
        <v>1</v>
      </c>
      <c r="U177" s="12"/>
      <c r="V177" s="111" t="s">
        <v>896</v>
      </c>
      <c r="W177" s="14" t="s">
        <v>103</v>
      </c>
    </row>
    <row r="178" spans="1:23">
      <c r="A178" s="74" t="s">
        <v>0</v>
      </c>
      <c r="B178" s="74" t="s">
        <v>1</v>
      </c>
      <c r="C178" s="166" t="s">
        <v>2</v>
      </c>
      <c r="D178" s="167" t="s">
        <v>104</v>
      </c>
      <c r="E178" s="167">
        <v>2008</v>
      </c>
      <c r="F178" s="167" t="s">
        <v>4</v>
      </c>
      <c r="G178" s="167" t="s">
        <v>105</v>
      </c>
      <c r="H178" s="167" t="s">
        <v>106</v>
      </c>
      <c r="I178" s="168">
        <v>25</v>
      </c>
      <c r="J178" s="167">
        <v>4</v>
      </c>
      <c r="K178" s="167">
        <v>64791.74</v>
      </c>
      <c r="L178" s="167">
        <f t="shared" si="14"/>
        <v>0.01</v>
      </c>
      <c r="M178" s="169">
        <f>1/24</f>
        <v>4.1666666666666664E-2</v>
      </c>
      <c r="N178" s="167">
        <v>0</v>
      </c>
      <c r="O178" s="170">
        <f>M178</f>
        <v>4.1666666666666664E-2</v>
      </c>
      <c r="P178" s="287">
        <f>O178</f>
        <v>4.1666666666666664E-2</v>
      </c>
      <c r="Q178" s="167">
        <v>3</v>
      </c>
      <c r="R178" s="167">
        <v>1</v>
      </c>
      <c r="S178" s="167">
        <v>1</v>
      </c>
      <c r="T178" s="167">
        <v>1</v>
      </c>
      <c r="U178" s="25"/>
      <c r="V178" s="167" t="s">
        <v>955</v>
      </c>
      <c r="W178" s="171" t="s">
        <v>107</v>
      </c>
    </row>
    <row r="179" spans="1:23">
      <c r="A179" s="74" t="s">
        <v>0</v>
      </c>
      <c r="B179" s="74" t="s">
        <v>1</v>
      </c>
      <c r="C179" s="172" t="s">
        <v>65</v>
      </c>
      <c r="D179" s="173" t="s">
        <v>108</v>
      </c>
      <c r="E179" s="174">
        <v>2010</v>
      </c>
      <c r="F179" s="173" t="s">
        <v>55</v>
      </c>
      <c r="G179" s="173" t="s">
        <v>109</v>
      </c>
      <c r="H179" s="173" t="s">
        <v>110</v>
      </c>
      <c r="I179" s="175">
        <f>2700^2</f>
        <v>7290000</v>
      </c>
      <c r="J179" s="175">
        <f>(21186*598)/(2.7^2)</f>
        <v>1737891.3580246912</v>
      </c>
      <c r="K179" s="175">
        <v>14894000000</v>
      </c>
      <c r="L179" s="176">
        <f t="shared" si="14"/>
        <v>1266922800</v>
      </c>
      <c r="M179" s="177">
        <f>(1/24/3600)</f>
        <v>1.1574074074074073E-5</v>
      </c>
      <c r="N179" s="176">
        <v>1</v>
      </c>
      <c r="O179" s="177">
        <f>M179*365*2</f>
        <v>8.4490740740740741E-3</v>
      </c>
      <c r="P179" s="26">
        <v>365</v>
      </c>
      <c r="Q179" s="176">
        <v>1</v>
      </c>
      <c r="R179" s="176">
        <v>1</v>
      </c>
      <c r="S179" s="176">
        <v>1</v>
      </c>
      <c r="T179" s="176">
        <v>0</v>
      </c>
      <c r="U179" s="178" t="s">
        <v>111</v>
      </c>
      <c r="V179" s="179" t="s">
        <v>956</v>
      </c>
      <c r="W179" s="180" t="s">
        <v>112</v>
      </c>
    </row>
    <row r="180" spans="1:23">
      <c r="A180" s="74" t="s">
        <v>0</v>
      </c>
      <c r="B180" s="74" t="s">
        <v>1</v>
      </c>
      <c r="C180" s="181" t="s">
        <v>65</v>
      </c>
      <c r="D180" s="179" t="s">
        <v>108</v>
      </c>
      <c r="E180" s="182">
        <v>2010</v>
      </c>
      <c r="F180" s="179" t="s">
        <v>55</v>
      </c>
      <c r="G180" s="179" t="s">
        <v>109</v>
      </c>
      <c r="H180" s="179" t="s">
        <v>110</v>
      </c>
      <c r="I180" s="183">
        <f>1000^2</f>
        <v>1000000</v>
      </c>
      <c r="J180" s="175">
        <f>(21186*598)</f>
        <v>12669228</v>
      </c>
      <c r="K180" s="175">
        <v>14894000000</v>
      </c>
      <c r="L180" s="182">
        <f t="shared" si="14"/>
        <v>1266922800</v>
      </c>
      <c r="M180" s="182">
        <f>(1/24/3600)</f>
        <v>1.1574074074074073E-5</v>
      </c>
      <c r="N180" s="184">
        <f>10</f>
        <v>10</v>
      </c>
      <c r="O180" s="182">
        <f>M180*3*12</f>
        <v>4.1666666666666664E-4</v>
      </c>
      <c r="P180" s="263">
        <v>365</v>
      </c>
      <c r="Q180" s="184"/>
      <c r="R180" s="184"/>
      <c r="S180" s="184"/>
      <c r="T180" s="184"/>
      <c r="U180" s="185" t="s">
        <v>113</v>
      </c>
      <c r="V180" s="185" t="s">
        <v>957</v>
      </c>
      <c r="W180" s="186" t="s">
        <v>114</v>
      </c>
    </row>
    <row r="181" spans="1:23">
      <c r="A181" s="74" t="s">
        <v>0</v>
      </c>
      <c r="B181" s="74" t="s">
        <v>1</v>
      </c>
      <c r="C181" s="98" t="s">
        <v>115</v>
      </c>
      <c r="D181" s="187" t="s">
        <v>116</v>
      </c>
      <c r="E181" s="104">
        <v>2009</v>
      </c>
      <c r="F181" s="97" t="s">
        <v>55</v>
      </c>
      <c r="G181" s="97" t="s">
        <v>71</v>
      </c>
      <c r="H181" s="97" t="s">
        <v>117</v>
      </c>
      <c r="I181" s="188">
        <f>30^2</f>
        <v>900</v>
      </c>
      <c r="J181" s="288">
        <f>(6093 * 100 * 10000) / I181</f>
        <v>6770000</v>
      </c>
      <c r="K181" s="189">
        <v>609300</v>
      </c>
      <c r="L181" s="288">
        <f t="shared" si="14"/>
        <v>609300</v>
      </c>
      <c r="M181" s="188">
        <f>1/(24*3600)</f>
        <v>1.1574074074074073E-5</v>
      </c>
      <c r="N181" s="189">
        <f>DATEDIF("18/9/2007","8/7/2008","d")</f>
        <v>294</v>
      </c>
      <c r="O181" s="189">
        <f>M181*2</f>
        <v>2.3148148148148147E-5</v>
      </c>
      <c r="P181" s="288">
        <v>780</v>
      </c>
      <c r="Q181" s="104">
        <v>1</v>
      </c>
      <c r="R181" s="104">
        <v>1</v>
      </c>
      <c r="S181" s="104">
        <v>1</v>
      </c>
      <c r="T181" s="104">
        <v>1</v>
      </c>
      <c r="U181" s="97"/>
      <c r="V181" s="97" t="s">
        <v>118</v>
      </c>
      <c r="W181" s="190"/>
    </row>
    <row r="182" spans="1:23">
      <c r="A182" s="74" t="s">
        <v>0</v>
      </c>
      <c r="B182" s="74" t="s">
        <v>1</v>
      </c>
      <c r="C182" s="191" t="s">
        <v>15</v>
      </c>
      <c r="D182" s="192" t="s">
        <v>119</v>
      </c>
      <c r="E182" s="193">
        <v>2011</v>
      </c>
      <c r="F182" s="192" t="s">
        <v>4</v>
      </c>
      <c r="G182" s="192" t="s">
        <v>120</v>
      </c>
      <c r="H182" s="192" t="s">
        <v>121</v>
      </c>
      <c r="I182" s="194">
        <f>PI()*0.025^2</f>
        <v>1.9634954084936209E-3</v>
      </c>
      <c r="J182" s="195">
        <v>48</v>
      </c>
      <c r="K182" s="189">
        <v>8000</v>
      </c>
      <c r="L182" s="140">
        <f t="shared" si="14"/>
        <v>9.4247779607693808E-6</v>
      </c>
      <c r="M182" s="195">
        <f>20/(60*24)</f>
        <v>1.3888888888888888E-2</v>
      </c>
      <c r="N182" s="195">
        <f>30</f>
        <v>30</v>
      </c>
      <c r="O182" s="195">
        <f>M182*2</f>
        <v>2.7777777777777776E-2</v>
      </c>
      <c r="P182" s="289">
        <v>62</v>
      </c>
      <c r="Q182" s="193">
        <v>1</v>
      </c>
      <c r="R182" s="193">
        <v>2</v>
      </c>
      <c r="S182" s="193">
        <v>1</v>
      </c>
      <c r="T182" s="193">
        <v>0</v>
      </c>
      <c r="U182" s="192"/>
      <c r="V182" s="192" t="s">
        <v>122</v>
      </c>
      <c r="W182" s="196" t="s">
        <v>123</v>
      </c>
    </row>
    <row r="183" spans="1:23">
      <c r="A183" s="74" t="s">
        <v>0</v>
      </c>
      <c r="B183" s="74" t="s">
        <v>1</v>
      </c>
      <c r="C183" s="197" t="s">
        <v>15</v>
      </c>
      <c r="D183" s="142" t="s">
        <v>119</v>
      </c>
      <c r="E183" s="195">
        <v>2011</v>
      </c>
      <c r="F183" s="142" t="s">
        <v>4</v>
      </c>
      <c r="G183" s="142" t="s">
        <v>120</v>
      </c>
      <c r="H183" s="142" t="s">
        <v>121</v>
      </c>
      <c r="I183" s="194">
        <f>PI()*0.025^2</f>
        <v>1.9634954084936209E-3</v>
      </c>
      <c r="J183" s="189">
        <v>15</v>
      </c>
      <c r="K183" s="189">
        <v>8000</v>
      </c>
      <c r="L183" s="140">
        <f t="shared" si="14"/>
        <v>2.9452431127404312E-6</v>
      </c>
      <c r="M183" s="195">
        <f>20/(60*24)</f>
        <v>1.3888888888888888E-2</v>
      </c>
      <c r="N183" s="195">
        <f>30</f>
        <v>30</v>
      </c>
      <c r="O183" s="195">
        <f>M183*2</f>
        <v>2.7777777777777776E-2</v>
      </c>
      <c r="P183" s="288">
        <v>62</v>
      </c>
      <c r="Q183" s="189"/>
      <c r="R183" s="189"/>
      <c r="S183" s="189"/>
      <c r="T183" s="189"/>
      <c r="U183" s="139"/>
      <c r="V183" s="142" t="s">
        <v>122</v>
      </c>
      <c r="W183" s="198" t="s">
        <v>124</v>
      </c>
    </row>
    <row r="184" spans="1:23">
      <c r="A184" s="74" t="s">
        <v>0</v>
      </c>
      <c r="B184" s="74" t="s">
        <v>1</v>
      </c>
      <c r="C184" s="110" t="s">
        <v>15</v>
      </c>
      <c r="D184" s="111" t="s">
        <v>119</v>
      </c>
      <c r="E184" s="13">
        <v>2011</v>
      </c>
      <c r="F184" s="111" t="s">
        <v>4</v>
      </c>
      <c r="G184" s="111" t="s">
        <v>120</v>
      </c>
      <c r="H184" s="111" t="s">
        <v>125</v>
      </c>
      <c r="I184" s="199">
        <f>(0.076/2)^2*PI()</f>
        <v>4.5364597917836608E-3</v>
      </c>
      <c r="J184" s="13">
        <v>4</v>
      </c>
      <c r="K184" s="104">
        <v>8000</v>
      </c>
      <c r="L184" s="91">
        <f t="shared" si="14"/>
        <v>1.8145839167134644E-6</v>
      </c>
      <c r="M184" s="199">
        <f>70/24</f>
        <v>2.9166666666666665</v>
      </c>
      <c r="N184" s="13">
        <v>0</v>
      </c>
      <c r="O184" s="199">
        <f>M184</f>
        <v>2.9166666666666665</v>
      </c>
      <c r="P184" s="290">
        <f>O184</f>
        <v>2.9166666666666665</v>
      </c>
      <c r="Q184" s="13">
        <v>1</v>
      </c>
      <c r="R184" s="13">
        <v>2</v>
      </c>
      <c r="S184" s="13">
        <v>1</v>
      </c>
      <c r="T184" s="13">
        <v>0</v>
      </c>
      <c r="U184" s="111"/>
      <c r="V184" s="102" t="s">
        <v>958</v>
      </c>
      <c r="W184" s="114" t="s">
        <v>126</v>
      </c>
    </row>
    <row r="185" spans="1:23">
      <c r="A185" s="74" t="s">
        <v>0</v>
      </c>
      <c r="B185" s="74" t="s">
        <v>1</v>
      </c>
      <c r="C185" s="200" t="s">
        <v>23</v>
      </c>
      <c r="D185" s="201" t="s">
        <v>127</v>
      </c>
      <c r="E185" s="308">
        <v>2011</v>
      </c>
      <c r="F185" s="201" t="s">
        <v>4</v>
      </c>
      <c r="G185" s="203" t="s">
        <v>128</v>
      </c>
      <c r="H185" s="204" t="s">
        <v>129</v>
      </c>
      <c r="I185" s="205">
        <f>PI()*0.05^2</f>
        <v>7.8539816339744835E-3</v>
      </c>
      <c r="J185" s="205">
        <f>20</f>
        <v>20</v>
      </c>
      <c r="K185" s="205">
        <v>33352971</v>
      </c>
      <c r="L185" s="202">
        <f t="shared" si="14"/>
        <v>1.5707963267948964E-5</v>
      </c>
      <c r="M185" s="205">
        <f>0.5/24</f>
        <v>2.0833333333333332E-2</v>
      </c>
      <c r="N185" s="201">
        <v>0</v>
      </c>
      <c r="O185" s="205">
        <f>M185</f>
        <v>2.0833333333333332E-2</v>
      </c>
      <c r="P185" s="291">
        <f>O185</f>
        <v>2.0833333333333332E-2</v>
      </c>
      <c r="Q185" s="201">
        <v>1</v>
      </c>
      <c r="R185" s="201">
        <v>1</v>
      </c>
      <c r="S185" s="201">
        <v>1</v>
      </c>
      <c r="T185" s="201">
        <v>0</v>
      </c>
      <c r="U185" s="201" t="s">
        <v>130</v>
      </c>
      <c r="V185" s="201" t="s">
        <v>959</v>
      </c>
      <c r="W185" s="206"/>
    </row>
    <row r="186" spans="1:23">
      <c r="A186" s="74" t="s">
        <v>0</v>
      </c>
      <c r="B186" s="74" t="s">
        <v>1</v>
      </c>
      <c r="C186" s="121" t="s">
        <v>2</v>
      </c>
      <c r="D186" s="207" t="s">
        <v>131</v>
      </c>
      <c r="E186" s="27">
        <v>2007</v>
      </c>
      <c r="F186" s="122" t="s">
        <v>4</v>
      </c>
      <c r="G186" s="207" t="s">
        <v>132</v>
      </c>
      <c r="H186" s="208" t="s">
        <v>133</v>
      </c>
      <c r="I186" s="209">
        <f>0.17*0.25</f>
        <v>4.2500000000000003E-2</v>
      </c>
      <c r="J186" s="27">
        <v>40</v>
      </c>
      <c r="K186" s="104">
        <v>1644.8</v>
      </c>
      <c r="L186" s="91">
        <f t="shared" si="14"/>
        <v>1.7000000000000001E-4</v>
      </c>
      <c r="M186" s="27">
        <v>0.5</v>
      </c>
      <c r="N186" s="27">
        <v>14</v>
      </c>
      <c r="O186" s="210">
        <f>0.5*26.0715/2*3</f>
        <v>19.553625</v>
      </c>
      <c r="P186" s="27">
        <f>365*3</f>
        <v>1095</v>
      </c>
      <c r="Q186" s="27">
        <v>1</v>
      </c>
      <c r="R186" s="27">
        <v>2</v>
      </c>
      <c r="S186" s="27">
        <v>1</v>
      </c>
      <c r="T186" s="27">
        <v>1</v>
      </c>
      <c r="U186" s="122"/>
      <c r="V186" s="122" t="s">
        <v>960</v>
      </c>
      <c r="W186" s="211"/>
    </row>
    <row r="187" spans="1:23">
      <c r="A187" s="74" t="s">
        <v>0</v>
      </c>
      <c r="B187" s="74" t="s">
        <v>1</v>
      </c>
      <c r="C187" s="166" t="s">
        <v>23</v>
      </c>
      <c r="D187" s="167" t="s">
        <v>134</v>
      </c>
      <c r="E187" s="28">
        <v>2006</v>
      </c>
      <c r="F187" s="167" t="s">
        <v>4</v>
      </c>
      <c r="G187" s="212" t="s">
        <v>135</v>
      </c>
      <c r="H187" s="213" t="s">
        <v>136</v>
      </c>
      <c r="I187" s="167">
        <v>1</v>
      </c>
      <c r="J187" s="167">
        <v>28</v>
      </c>
      <c r="K187" s="167">
        <v>27200</v>
      </c>
      <c r="L187" s="28">
        <f t="shared" si="14"/>
        <v>2.8E-3</v>
      </c>
      <c r="M187" s="167">
        <v>0.5</v>
      </c>
      <c r="N187" s="167">
        <v>0</v>
      </c>
      <c r="O187" s="214">
        <f>M187</f>
        <v>0.5</v>
      </c>
      <c r="P187" s="287">
        <f>O187</f>
        <v>0.5</v>
      </c>
      <c r="Q187" s="167">
        <v>1</v>
      </c>
      <c r="R187" s="167">
        <v>1</v>
      </c>
      <c r="S187" s="167">
        <v>1</v>
      </c>
      <c r="T187" s="167">
        <v>0</v>
      </c>
      <c r="U187" s="167"/>
      <c r="V187" s="167" t="s">
        <v>961</v>
      </c>
      <c r="W187" s="171"/>
    </row>
    <row r="188" spans="1:23">
      <c r="A188" s="74" t="s">
        <v>0</v>
      </c>
      <c r="B188" s="74" t="s">
        <v>1</v>
      </c>
      <c r="C188" s="121" t="s">
        <v>87</v>
      </c>
      <c r="D188" s="122" t="s">
        <v>137</v>
      </c>
      <c r="E188" s="27">
        <v>2011</v>
      </c>
      <c r="F188" s="122" t="s">
        <v>4</v>
      </c>
      <c r="G188" s="122" t="s">
        <v>138</v>
      </c>
      <c r="H188" s="122" t="s">
        <v>139</v>
      </c>
      <c r="I188" s="215">
        <f>0.075^2*PI()</f>
        <v>1.7671458676442587E-2</v>
      </c>
      <c r="J188" s="27">
        <v>1</v>
      </c>
      <c r="K188" s="104">
        <v>1960</v>
      </c>
      <c r="L188" s="91">
        <f t="shared" si="14"/>
        <v>1.7671458676442588E-6</v>
      </c>
      <c r="M188" s="216">
        <f>1/24</f>
        <v>4.1666666666666664E-2</v>
      </c>
      <c r="N188" s="27">
        <v>60</v>
      </c>
      <c r="O188" s="216">
        <f>M188*2</f>
        <v>8.3333333333333329E-2</v>
      </c>
      <c r="P188" s="292">
        <v>60</v>
      </c>
      <c r="Q188" s="27">
        <v>1</v>
      </c>
      <c r="R188" s="27">
        <v>2</v>
      </c>
      <c r="S188" s="27">
        <v>1</v>
      </c>
      <c r="T188" s="27">
        <v>0</v>
      </c>
      <c r="U188" s="122"/>
      <c r="V188" s="122" t="s">
        <v>140</v>
      </c>
      <c r="W188" s="211"/>
    </row>
    <row r="189" spans="1:23">
      <c r="A189" s="74" t="s">
        <v>0</v>
      </c>
      <c r="B189" s="74" t="s">
        <v>1</v>
      </c>
      <c r="C189" s="98" t="s">
        <v>2</v>
      </c>
      <c r="D189" s="217" t="s">
        <v>141</v>
      </c>
      <c r="E189" s="2">
        <v>2013</v>
      </c>
      <c r="F189" s="88" t="s">
        <v>4</v>
      </c>
      <c r="G189" s="217" t="s">
        <v>142</v>
      </c>
      <c r="H189" s="217" t="s">
        <v>143</v>
      </c>
      <c r="I189" s="218">
        <f>250*80</f>
        <v>20000</v>
      </c>
      <c r="J189" s="2">
        <v>139</v>
      </c>
      <c r="K189" s="2">
        <v>1600000</v>
      </c>
      <c r="L189" s="91">
        <f t="shared" si="14"/>
        <v>278</v>
      </c>
      <c r="M189" s="2">
        <f>(20/60)/24</f>
        <v>1.3888888888888888E-2</v>
      </c>
      <c r="N189" s="2">
        <f>365/8</f>
        <v>45.625</v>
      </c>
      <c r="O189" s="2">
        <f>M189*8</f>
        <v>0.1111111111111111</v>
      </c>
      <c r="P189" s="293">
        <f>6*365</f>
        <v>2190</v>
      </c>
      <c r="Q189" s="2">
        <v>1</v>
      </c>
      <c r="R189" s="2">
        <v>3</v>
      </c>
      <c r="S189" s="2">
        <v>2</v>
      </c>
      <c r="T189" s="2">
        <v>1</v>
      </c>
      <c r="U189" s="88"/>
      <c r="V189" s="88"/>
      <c r="W189" s="190" t="s">
        <v>144</v>
      </c>
    </row>
    <row r="190" spans="1:23">
      <c r="A190" s="74" t="s">
        <v>0</v>
      </c>
      <c r="B190" s="74" t="s">
        <v>1</v>
      </c>
      <c r="C190" s="98" t="s">
        <v>2</v>
      </c>
      <c r="D190" s="120" t="s">
        <v>141</v>
      </c>
      <c r="E190" s="2">
        <v>2013</v>
      </c>
      <c r="F190" s="88" t="s">
        <v>4</v>
      </c>
      <c r="G190" s="217" t="s">
        <v>142</v>
      </c>
      <c r="H190" s="217" t="s">
        <v>143</v>
      </c>
      <c r="I190" s="218">
        <f>250*80</f>
        <v>20000</v>
      </c>
      <c r="J190" s="2">
        <v>18</v>
      </c>
      <c r="K190" s="2">
        <v>1600000</v>
      </c>
      <c r="L190" s="91">
        <f t="shared" si="14"/>
        <v>36</v>
      </c>
      <c r="M190" s="2">
        <f>(20/60)/24</f>
        <v>1.3888888888888888E-2</v>
      </c>
      <c r="N190" s="2">
        <f>365/8</f>
        <v>45.625</v>
      </c>
      <c r="O190" s="2">
        <f>M190*8</f>
        <v>0.1111111111111111</v>
      </c>
      <c r="P190" s="293">
        <f>6*365</f>
        <v>2190</v>
      </c>
      <c r="Q190" s="2">
        <v>1</v>
      </c>
      <c r="R190" s="2">
        <v>3</v>
      </c>
      <c r="S190" s="2">
        <v>2</v>
      </c>
      <c r="T190" s="2">
        <v>1</v>
      </c>
      <c r="U190" s="88"/>
      <c r="V190" s="88"/>
      <c r="W190" s="190" t="s">
        <v>145</v>
      </c>
    </row>
    <row r="191" spans="1:23">
      <c r="A191" s="74" t="s">
        <v>0</v>
      </c>
      <c r="B191" s="74" t="s">
        <v>1</v>
      </c>
      <c r="C191" s="121" t="s">
        <v>2</v>
      </c>
      <c r="D191" s="120" t="s">
        <v>141</v>
      </c>
      <c r="E191" s="27">
        <v>2013</v>
      </c>
      <c r="F191" s="122" t="s">
        <v>4</v>
      </c>
      <c r="G191" s="207" t="s">
        <v>142</v>
      </c>
      <c r="H191" s="207" t="s">
        <v>143</v>
      </c>
      <c r="I191" s="218">
        <f>250*80</f>
        <v>20000</v>
      </c>
      <c r="J191" s="27">
        <v>40</v>
      </c>
      <c r="K191" s="2">
        <v>1600000</v>
      </c>
      <c r="L191" s="91">
        <f t="shared" si="14"/>
        <v>80</v>
      </c>
      <c r="M191" s="2">
        <f>(20/60)/24</f>
        <v>1.3888888888888888E-2</v>
      </c>
      <c r="N191" s="2">
        <f>365/8</f>
        <v>45.625</v>
      </c>
      <c r="O191" s="2">
        <f>M191*8</f>
        <v>0.1111111111111111</v>
      </c>
      <c r="P191" s="292">
        <f>6*365</f>
        <v>2190</v>
      </c>
      <c r="Q191" s="27">
        <v>1</v>
      </c>
      <c r="R191" s="27">
        <v>3</v>
      </c>
      <c r="S191" s="27">
        <v>2</v>
      </c>
      <c r="T191" s="27">
        <v>1</v>
      </c>
      <c r="U191" s="122"/>
      <c r="V191" s="122"/>
      <c r="W191" s="211" t="s">
        <v>146</v>
      </c>
    </row>
    <row r="192" spans="1:23">
      <c r="A192" s="32" t="s">
        <v>1</v>
      </c>
      <c r="B192" s="74" t="s">
        <v>1</v>
      </c>
      <c r="C192" s="67" t="s">
        <v>2</v>
      </c>
      <c r="D192" s="219" t="s">
        <v>147</v>
      </c>
      <c r="E192" s="67">
        <v>2005</v>
      </c>
      <c r="F192" s="67" t="s">
        <v>4</v>
      </c>
      <c r="G192" s="67" t="s">
        <v>148</v>
      </c>
      <c r="H192" s="67" t="s">
        <v>149</v>
      </c>
      <c r="I192" s="67">
        <v>4</v>
      </c>
      <c r="J192" s="67">
        <f>16+4+(28+29-27)</f>
        <v>50</v>
      </c>
      <c r="K192" s="67">
        <v>13021</v>
      </c>
      <c r="L192" s="220">
        <f>J192*I192/10000</f>
        <v>0.02</v>
      </c>
      <c r="M192" s="67">
        <v>1</v>
      </c>
      <c r="N192" s="67">
        <v>0</v>
      </c>
      <c r="O192" s="221">
        <v>1</v>
      </c>
      <c r="P192" s="294">
        <f>O192</f>
        <v>1</v>
      </c>
      <c r="Q192" s="67">
        <v>3</v>
      </c>
      <c r="R192" s="67">
        <v>2</v>
      </c>
      <c r="S192" s="67">
        <v>2</v>
      </c>
      <c r="T192" s="67">
        <v>1</v>
      </c>
      <c r="U192" s="67"/>
      <c r="V192" s="67" t="s">
        <v>962</v>
      </c>
      <c r="W192" s="219" t="s">
        <v>150</v>
      </c>
    </row>
    <row r="193" spans="1:23">
      <c r="A193" s="32" t="s">
        <v>1</v>
      </c>
      <c r="B193" s="74" t="s">
        <v>1</v>
      </c>
      <c r="C193" s="67" t="s">
        <v>2</v>
      </c>
      <c r="D193" s="219" t="s">
        <v>147</v>
      </c>
      <c r="E193" s="67">
        <v>2005</v>
      </c>
      <c r="F193" s="67" t="s">
        <v>4</v>
      </c>
      <c r="G193" s="67" t="s">
        <v>148</v>
      </c>
      <c r="H193" s="67" t="s">
        <v>149</v>
      </c>
      <c r="I193" s="67">
        <f>0.5*0.1</f>
        <v>0.05</v>
      </c>
      <c r="J193" s="67">
        <v>6</v>
      </c>
      <c r="K193" s="67">
        <v>13021</v>
      </c>
      <c r="L193" s="222">
        <f>J193*I193/10000</f>
        <v>3.0000000000000004E-5</v>
      </c>
      <c r="M193" s="67">
        <v>1</v>
      </c>
      <c r="N193" s="67">
        <v>0</v>
      </c>
      <c r="O193" s="223">
        <f>M193</f>
        <v>1</v>
      </c>
      <c r="P193" s="294">
        <f>O193</f>
        <v>1</v>
      </c>
      <c r="Q193" s="67">
        <v>3</v>
      </c>
      <c r="R193" s="67">
        <v>0</v>
      </c>
      <c r="S193" s="67">
        <v>2</v>
      </c>
      <c r="T193" s="67">
        <v>1</v>
      </c>
      <c r="U193" s="67"/>
      <c r="V193" s="67" t="s">
        <v>963</v>
      </c>
      <c r="W193" s="219" t="s">
        <v>152</v>
      </c>
    </row>
    <row r="194" spans="1:23">
      <c r="A194" s="224" t="s">
        <v>1</v>
      </c>
      <c r="B194" s="74" t="s">
        <v>1</v>
      </c>
      <c r="C194" s="225" t="s">
        <v>153</v>
      </c>
      <c r="D194" s="225" t="s">
        <v>154</v>
      </c>
      <c r="E194" s="225">
        <v>2008</v>
      </c>
      <c r="F194" s="225" t="s">
        <v>4</v>
      </c>
      <c r="G194" s="225" t="s">
        <v>155</v>
      </c>
      <c r="H194" s="225" t="s">
        <v>156</v>
      </c>
      <c r="I194" s="226">
        <f>(L194/J194*10000)</f>
        <v>649056.60377358482</v>
      </c>
      <c r="J194" s="225">
        <f>10+6+22+15</f>
        <v>53</v>
      </c>
      <c r="K194" s="225">
        <v>351858</v>
      </c>
      <c r="L194" s="227">
        <f>827+632+1114+867</f>
        <v>3440</v>
      </c>
      <c r="M194" s="225">
        <v>1</v>
      </c>
      <c r="N194" s="225">
        <f>AVERAGE(15,30,30)</f>
        <v>25</v>
      </c>
      <c r="O194" s="225">
        <f>M194*2.5</f>
        <v>2.5</v>
      </c>
      <c r="P194" s="225">
        <f>(5*365)+30</f>
        <v>1855</v>
      </c>
      <c r="Q194" s="225">
        <v>3</v>
      </c>
      <c r="R194" s="225">
        <v>1</v>
      </c>
      <c r="S194" s="225">
        <v>0</v>
      </c>
      <c r="T194" s="225">
        <v>0</v>
      </c>
      <c r="U194" s="225"/>
      <c r="V194" s="225" t="s">
        <v>964</v>
      </c>
      <c r="W194" s="225"/>
    </row>
    <row r="195" spans="1:23">
      <c r="A195" s="32" t="s">
        <v>1</v>
      </c>
      <c r="B195" s="74" t="s">
        <v>1</v>
      </c>
      <c r="C195" s="67" t="s">
        <v>65</v>
      </c>
      <c r="D195" s="219" t="s">
        <v>157</v>
      </c>
      <c r="E195" s="67">
        <v>2012</v>
      </c>
      <c r="F195" s="67" t="s">
        <v>4</v>
      </c>
      <c r="G195" s="67" t="s">
        <v>158</v>
      </c>
      <c r="H195" s="67" t="s">
        <v>159</v>
      </c>
      <c r="I195" s="67">
        <v>100</v>
      </c>
      <c r="J195" s="67">
        <v>89</v>
      </c>
      <c r="K195" s="67">
        <v>3532400</v>
      </c>
      <c r="L195" s="220">
        <f>J195*I195/10000</f>
        <v>0.89</v>
      </c>
      <c r="M195" s="67">
        <f>7594/89</f>
        <v>85.325842696629209</v>
      </c>
      <c r="N195" s="67">
        <v>0</v>
      </c>
      <c r="O195" s="228">
        <f>M195</f>
        <v>85.325842696629209</v>
      </c>
      <c r="P195" s="67">
        <f>O195</f>
        <v>85.325842696629209</v>
      </c>
      <c r="Q195" s="67">
        <v>3</v>
      </c>
      <c r="R195" s="67">
        <v>0</v>
      </c>
      <c r="S195" s="67">
        <v>2</v>
      </c>
      <c r="T195" s="67">
        <v>1</v>
      </c>
      <c r="U195" s="67"/>
      <c r="V195" s="67" t="s">
        <v>965</v>
      </c>
      <c r="W195" s="67"/>
    </row>
    <row r="196" spans="1:23">
      <c r="A196" s="32" t="s">
        <v>1</v>
      </c>
      <c r="B196" s="74" t="s">
        <v>1</v>
      </c>
      <c r="C196" s="67" t="s">
        <v>161</v>
      </c>
      <c r="D196" s="219" t="s">
        <v>162</v>
      </c>
      <c r="E196" s="67">
        <v>2011</v>
      </c>
      <c r="F196" s="67" t="s">
        <v>163</v>
      </c>
      <c r="G196" s="67" t="s">
        <v>164</v>
      </c>
      <c r="H196" s="67" t="s">
        <v>165</v>
      </c>
      <c r="I196" s="67">
        <f>PI()*(100^2)*25</f>
        <v>785398.16339744825</v>
      </c>
      <c r="J196" s="67">
        <v>993</v>
      </c>
      <c r="K196" s="294">
        <v>9930000</v>
      </c>
      <c r="L196" s="296">
        <f t="shared" ref="L196:L243" si="17">J196*I196/10000</f>
        <v>77990.037625366618</v>
      </c>
      <c r="M196" s="229">
        <f>5/60/24</f>
        <v>3.472222222222222E-3</v>
      </c>
      <c r="N196" s="67">
        <f>12/60/24</f>
        <v>8.3333333333333332E-3</v>
      </c>
      <c r="O196" s="67">
        <f>M196*25</f>
        <v>8.6805555555555552E-2</v>
      </c>
      <c r="P196" s="229">
        <v>47</v>
      </c>
      <c r="Q196" s="67">
        <v>3</v>
      </c>
      <c r="R196" s="67">
        <v>1</v>
      </c>
      <c r="S196" s="67">
        <v>0</v>
      </c>
      <c r="T196" s="67">
        <v>1</v>
      </c>
      <c r="U196" s="230" t="s">
        <v>166</v>
      </c>
      <c r="V196" s="67" t="s">
        <v>167</v>
      </c>
      <c r="W196" s="219" t="s">
        <v>649</v>
      </c>
    </row>
    <row r="197" spans="1:23">
      <c r="A197" s="32" t="s">
        <v>1</v>
      </c>
      <c r="B197" s="74" t="s">
        <v>1</v>
      </c>
      <c r="C197" s="67" t="s">
        <v>161</v>
      </c>
      <c r="D197" s="219" t="s">
        <v>162</v>
      </c>
      <c r="E197" s="67">
        <v>2011</v>
      </c>
      <c r="F197" s="67" t="s">
        <v>55</v>
      </c>
      <c r="G197" s="67" t="s">
        <v>164</v>
      </c>
      <c r="H197" s="67" t="s">
        <v>165</v>
      </c>
      <c r="I197" s="67">
        <v>900</v>
      </c>
      <c r="J197" s="67">
        <f>(100000000/I197*993)</f>
        <v>110333333.33333333</v>
      </c>
      <c r="K197" s="294">
        <v>9930000</v>
      </c>
      <c r="L197" s="296">
        <f t="shared" si="17"/>
        <v>9930000</v>
      </c>
      <c r="M197" s="229">
        <f>1/60/60/24</f>
        <v>1.1574074074074073E-5</v>
      </c>
      <c r="N197" s="67">
        <v>365</v>
      </c>
      <c r="O197" s="229">
        <f>N197*M197*5</f>
        <v>2.1122685185185185E-2</v>
      </c>
      <c r="P197" s="229">
        <f>365*5</f>
        <v>1825</v>
      </c>
      <c r="Q197" s="67">
        <v>1</v>
      </c>
      <c r="R197" s="67">
        <v>2</v>
      </c>
      <c r="S197" s="67">
        <v>0</v>
      </c>
      <c r="T197" s="67">
        <v>0</v>
      </c>
      <c r="U197" s="67"/>
      <c r="V197" s="67" t="s">
        <v>168</v>
      </c>
      <c r="W197" s="219" t="s">
        <v>169</v>
      </c>
    </row>
    <row r="198" spans="1:23">
      <c r="A198" s="32" t="s">
        <v>1</v>
      </c>
      <c r="B198" s="74" t="s">
        <v>1</v>
      </c>
      <c r="C198" s="67" t="s">
        <v>161</v>
      </c>
      <c r="D198" s="219" t="s">
        <v>162</v>
      </c>
      <c r="E198" s="67">
        <v>2011</v>
      </c>
      <c r="F198" s="67" t="s">
        <v>55</v>
      </c>
      <c r="G198" s="67" t="s">
        <v>164</v>
      </c>
      <c r="H198" s="67" t="s">
        <v>165</v>
      </c>
      <c r="I198" s="67">
        <f>100*100</f>
        <v>10000</v>
      </c>
      <c r="J198" s="67">
        <f>(100000000/I198*993)</f>
        <v>9930000</v>
      </c>
      <c r="K198" s="294">
        <v>9930000</v>
      </c>
      <c r="L198" s="296">
        <f t="shared" si="17"/>
        <v>9930000</v>
      </c>
      <c r="M198" s="229">
        <f>1/60/60/24</f>
        <v>1.1574074074074073E-5</v>
      </c>
      <c r="N198" s="67">
        <v>0</v>
      </c>
      <c r="O198" s="232">
        <f>M198</f>
        <v>1.1574074074074073E-5</v>
      </c>
      <c r="P198" s="295">
        <f>O198</f>
        <v>1.1574074074074073E-5</v>
      </c>
      <c r="Q198" s="233">
        <v>0</v>
      </c>
      <c r="R198" s="233">
        <v>0</v>
      </c>
      <c r="S198" s="233">
        <v>1</v>
      </c>
      <c r="T198" s="233">
        <v>0</v>
      </c>
      <c r="U198" s="67"/>
      <c r="V198" s="67" t="s">
        <v>966</v>
      </c>
      <c r="W198" s="219" t="s">
        <v>170</v>
      </c>
    </row>
    <row r="199" spans="1:23">
      <c r="A199" s="32" t="s">
        <v>1</v>
      </c>
      <c r="B199" s="74" t="s">
        <v>1</v>
      </c>
      <c r="C199" s="67" t="s">
        <v>161</v>
      </c>
      <c r="D199" s="219" t="s">
        <v>162</v>
      </c>
      <c r="E199" s="67">
        <v>2011</v>
      </c>
      <c r="F199" s="67" t="s">
        <v>55</v>
      </c>
      <c r="G199" s="67" t="s">
        <v>164</v>
      </c>
      <c r="H199" s="67" t="s">
        <v>165</v>
      </c>
      <c r="I199" s="67">
        <v>900</v>
      </c>
      <c r="J199" s="67">
        <f>(100000000/I199*993)</f>
        <v>110333333.33333333</v>
      </c>
      <c r="K199" s="294">
        <v>9930000</v>
      </c>
      <c r="L199" s="296">
        <f t="shared" si="17"/>
        <v>9930000</v>
      </c>
      <c r="M199" s="229">
        <f>1/60/60/24</f>
        <v>1.1574074074074073E-5</v>
      </c>
      <c r="N199" s="67">
        <v>0</v>
      </c>
      <c r="O199" s="232">
        <f>M199</f>
        <v>1.1574074074074073E-5</v>
      </c>
      <c r="P199" s="295">
        <f>O199</f>
        <v>1.1574074074074073E-5</v>
      </c>
      <c r="Q199" s="67">
        <v>0</v>
      </c>
      <c r="R199" s="67">
        <v>0</v>
      </c>
      <c r="S199" s="67">
        <v>2</v>
      </c>
      <c r="T199" s="67">
        <v>0</v>
      </c>
      <c r="U199" s="67"/>
      <c r="V199" s="67" t="s">
        <v>966</v>
      </c>
      <c r="W199" s="219" t="s">
        <v>171</v>
      </c>
    </row>
    <row r="200" spans="1:23">
      <c r="A200" s="32" t="s">
        <v>1</v>
      </c>
      <c r="B200" s="74" t="s">
        <v>1</v>
      </c>
      <c r="C200" s="67" t="s">
        <v>161</v>
      </c>
      <c r="D200" s="219" t="s">
        <v>172</v>
      </c>
      <c r="E200" s="67">
        <v>2005</v>
      </c>
      <c r="F200" s="67" t="s">
        <v>4</v>
      </c>
      <c r="G200" s="67" t="s">
        <v>173</v>
      </c>
      <c r="H200" s="67" t="s">
        <v>174</v>
      </c>
      <c r="I200" s="67">
        <f>2000*2000*8</f>
        <v>32000000</v>
      </c>
      <c r="J200" s="67">
        <v>2262</v>
      </c>
      <c r="K200" s="67">
        <v>32802976.399999999</v>
      </c>
      <c r="L200" s="231">
        <f t="shared" si="17"/>
        <v>7238400</v>
      </c>
      <c r="M200" s="229">
        <f>2/24</f>
        <v>8.3333333333333329E-2</v>
      </c>
      <c r="N200" s="67">
        <v>28</v>
      </c>
      <c r="O200" s="229">
        <f>N200*M200*8</f>
        <v>18.666666666666664</v>
      </c>
      <c r="P200" s="229">
        <f>4*30*4</f>
        <v>480</v>
      </c>
      <c r="Q200" s="67">
        <v>3</v>
      </c>
      <c r="R200" s="67">
        <v>1</v>
      </c>
      <c r="S200" s="67">
        <v>0</v>
      </c>
      <c r="T200" s="67">
        <v>1</v>
      </c>
      <c r="U200" s="67" t="s">
        <v>175</v>
      </c>
      <c r="V200" s="67" t="s">
        <v>967</v>
      </c>
      <c r="W200" s="219" t="s">
        <v>650</v>
      </c>
    </row>
    <row r="201" spans="1:23">
      <c r="A201" s="224" t="s">
        <v>1</v>
      </c>
      <c r="B201" s="74" t="s">
        <v>1</v>
      </c>
      <c r="C201" s="234" t="s">
        <v>161</v>
      </c>
      <c r="D201" s="225" t="s">
        <v>172</v>
      </c>
      <c r="E201" s="234">
        <v>2005</v>
      </c>
      <c r="F201" s="234" t="s">
        <v>176</v>
      </c>
      <c r="G201" s="234" t="s">
        <v>173</v>
      </c>
      <c r="H201" s="234" t="s">
        <v>174</v>
      </c>
      <c r="I201" s="235">
        <f>(242495*100*10000)/130000</f>
        <v>1865346.1538461538</v>
      </c>
      <c r="J201" s="223">
        <v>130000</v>
      </c>
      <c r="K201" s="67">
        <v>32802976.399999999</v>
      </c>
      <c r="L201" s="236">
        <f t="shared" si="17"/>
        <v>24249500</v>
      </c>
      <c r="M201" s="237">
        <v>15</v>
      </c>
      <c r="N201" s="234">
        <v>0</v>
      </c>
      <c r="O201" s="223">
        <f>M201</f>
        <v>15</v>
      </c>
      <c r="P201" s="238">
        <f>O201</f>
        <v>15</v>
      </c>
      <c r="Q201" s="234">
        <v>0</v>
      </c>
      <c r="R201" s="234">
        <v>1</v>
      </c>
      <c r="S201" s="234">
        <v>0</v>
      </c>
      <c r="T201" s="234">
        <v>0</v>
      </c>
      <c r="U201" s="223" t="s">
        <v>177</v>
      </c>
      <c r="V201" s="234" t="s">
        <v>968</v>
      </c>
      <c r="W201" s="225" t="s">
        <v>178</v>
      </c>
    </row>
    <row r="202" spans="1:23">
      <c r="A202" s="32" t="s">
        <v>1</v>
      </c>
      <c r="B202" s="74" t="s">
        <v>1</v>
      </c>
      <c r="C202" s="67" t="s">
        <v>161</v>
      </c>
      <c r="D202" s="219" t="s">
        <v>172</v>
      </c>
      <c r="E202" s="67">
        <v>2005</v>
      </c>
      <c r="F202" s="67" t="s">
        <v>63</v>
      </c>
      <c r="G202" s="67" t="s">
        <v>173</v>
      </c>
      <c r="H202" s="67" t="s">
        <v>174</v>
      </c>
      <c r="I202" s="67">
        <f>PI()*(0.5^2)</f>
        <v>0.78539816339744828</v>
      </c>
      <c r="J202" s="67">
        <v>270</v>
      </c>
      <c r="K202" s="67">
        <v>32802976.399999999</v>
      </c>
      <c r="L202" s="220">
        <f t="shared" si="17"/>
        <v>2.1205750411731103E-2</v>
      </c>
      <c r="M202" s="229">
        <f>1/60/60/24</f>
        <v>1.1574074074074073E-5</v>
      </c>
      <c r="N202" s="67">
        <v>30</v>
      </c>
      <c r="O202" s="229">
        <f>30*3*30*M202</f>
        <v>3.125E-2</v>
      </c>
      <c r="P202" s="229">
        <f>40*365</f>
        <v>14600</v>
      </c>
      <c r="Q202" s="67">
        <v>0</v>
      </c>
      <c r="R202" s="67">
        <v>0</v>
      </c>
      <c r="S202" s="67">
        <v>1</v>
      </c>
      <c r="T202" s="67">
        <v>0</v>
      </c>
      <c r="U202" s="67" t="s">
        <v>179</v>
      </c>
      <c r="V202" s="67" t="s">
        <v>969</v>
      </c>
      <c r="W202" s="219" t="s">
        <v>180</v>
      </c>
    </row>
    <row r="203" spans="1:23">
      <c r="A203" s="32" t="s">
        <v>1</v>
      </c>
      <c r="B203" s="74" t="s">
        <v>1</v>
      </c>
      <c r="C203" s="219" t="s">
        <v>65</v>
      </c>
      <c r="D203" s="219" t="s">
        <v>181</v>
      </c>
      <c r="E203" s="219">
        <v>2007</v>
      </c>
      <c r="F203" s="219" t="s">
        <v>4</v>
      </c>
      <c r="G203" s="219" t="s">
        <v>182</v>
      </c>
      <c r="H203" s="219" t="s">
        <v>183</v>
      </c>
      <c r="I203" s="219">
        <f>((2*196)+273+45)/198</f>
        <v>3.5858585858585861</v>
      </c>
      <c r="J203" s="228">
        <v>196</v>
      </c>
      <c r="K203" s="228">
        <v>48747</v>
      </c>
      <c r="L203" s="239">
        <f t="shared" si="17"/>
        <v>7.0282828282828294E-2</v>
      </c>
      <c r="M203" s="219">
        <f>(28)/196</f>
        <v>0.14285714285714285</v>
      </c>
      <c r="N203" s="219">
        <v>365</v>
      </c>
      <c r="O203" s="223">
        <f>M203*(2006-AVERAGE(1996,1197,1196,1997,1997,1996,1996,2001,1994,1994)+1)</f>
        <v>24.371428571428556</v>
      </c>
      <c r="P203" s="219">
        <f>10*365</f>
        <v>3650</v>
      </c>
      <c r="Q203" s="219">
        <v>3</v>
      </c>
      <c r="R203" s="219">
        <v>0</v>
      </c>
      <c r="S203" s="219">
        <v>1</v>
      </c>
      <c r="T203" s="219">
        <v>0</v>
      </c>
      <c r="U203" s="219"/>
      <c r="V203" s="219" t="s">
        <v>896</v>
      </c>
      <c r="W203" s="219" t="s">
        <v>184</v>
      </c>
    </row>
    <row r="204" spans="1:23">
      <c r="A204" s="32" t="s">
        <v>1</v>
      </c>
      <c r="B204" s="74" t="s">
        <v>1</v>
      </c>
      <c r="C204" s="219" t="s">
        <v>65</v>
      </c>
      <c r="D204" s="219" t="s">
        <v>181</v>
      </c>
      <c r="E204" s="219">
        <v>2007</v>
      </c>
      <c r="F204" s="219" t="s">
        <v>4</v>
      </c>
      <c r="G204" s="219" t="s">
        <v>182</v>
      </c>
      <c r="H204" s="219" t="s">
        <v>183</v>
      </c>
      <c r="I204" s="219">
        <f>((2*196)+273+45)/198</f>
        <v>3.5858585858585861</v>
      </c>
      <c r="J204" s="228">
        <v>196</v>
      </c>
      <c r="K204" s="228">
        <v>48747</v>
      </c>
      <c r="L204" s="239">
        <f t="shared" si="17"/>
        <v>7.0282828282828294E-2</v>
      </c>
      <c r="M204" s="219">
        <f>(31)/196</f>
        <v>0.15816326530612246</v>
      </c>
      <c r="N204" s="219">
        <v>365</v>
      </c>
      <c r="O204" s="223">
        <f>M204*(2006-AVERAGE(1996,1197,1196,1997,1997,1996,1996,2001,1994,1994)+1)</f>
        <v>26.982653061224475</v>
      </c>
      <c r="P204" s="219">
        <f>10*365</f>
        <v>3650</v>
      </c>
      <c r="Q204" s="219">
        <v>3</v>
      </c>
      <c r="R204" s="219">
        <v>1</v>
      </c>
      <c r="S204" s="219">
        <v>1</v>
      </c>
      <c r="T204" s="219">
        <v>0</v>
      </c>
      <c r="U204" s="219"/>
      <c r="V204" s="219" t="s">
        <v>896</v>
      </c>
      <c r="W204" s="219" t="s">
        <v>185</v>
      </c>
    </row>
    <row r="205" spans="1:23">
      <c r="A205" s="32" t="s">
        <v>1</v>
      </c>
      <c r="B205" s="74" t="s">
        <v>1</v>
      </c>
      <c r="C205" s="219" t="s">
        <v>65</v>
      </c>
      <c r="D205" s="219" t="s">
        <v>181</v>
      </c>
      <c r="E205" s="219">
        <v>2007</v>
      </c>
      <c r="F205" s="219" t="s">
        <v>4</v>
      </c>
      <c r="G205" s="219" t="s">
        <v>182</v>
      </c>
      <c r="H205" s="219" t="s">
        <v>183</v>
      </c>
      <c r="I205" s="219">
        <f>((2*196)+273+45)/198</f>
        <v>3.5858585858585861</v>
      </c>
      <c r="J205" s="228">
        <v>196</v>
      </c>
      <c r="K205" s="228">
        <v>48747</v>
      </c>
      <c r="L205" s="239">
        <f t="shared" si="17"/>
        <v>7.0282828282828294E-2</v>
      </c>
      <c r="M205" s="219">
        <f>5/196</f>
        <v>2.5510204081632654E-2</v>
      </c>
      <c r="N205" s="219">
        <f>(365*7)/5</f>
        <v>511</v>
      </c>
      <c r="O205" s="223">
        <f>M205*5</f>
        <v>0.12755102040816327</v>
      </c>
      <c r="P205" s="219">
        <f>7*365</f>
        <v>2555</v>
      </c>
      <c r="Q205" s="219">
        <v>3</v>
      </c>
      <c r="R205" s="219">
        <v>1</v>
      </c>
      <c r="S205" s="219">
        <v>0</v>
      </c>
      <c r="T205" s="219">
        <v>0</v>
      </c>
      <c r="U205" s="219"/>
      <c r="V205" s="219" t="s">
        <v>896</v>
      </c>
      <c r="W205" s="219" t="s">
        <v>186</v>
      </c>
    </row>
    <row r="206" spans="1:23">
      <c r="A206" s="32" t="s">
        <v>1</v>
      </c>
      <c r="B206" s="74" t="s">
        <v>1</v>
      </c>
      <c r="C206" s="219" t="s">
        <v>65</v>
      </c>
      <c r="D206" s="219" t="s">
        <v>181</v>
      </c>
      <c r="E206" s="219">
        <v>2007</v>
      </c>
      <c r="F206" s="219" t="s">
        <v>4</v>
      </c>
      <c r="G206" s="219" t="s">
        <v>182</v>
      </c>
      <c r="H206" s="219" t="s">
        <v>183</v>
      </c>
      <c r="I206" s="219">
        <f>(0.4*0.05)</f>
        <v>2.0000000000000004E-2</v>
      </c>
      <c r="J206" s="219">
        <v>20</v>
      </c>
      <c r="K206" s="219">
        <v>48747</v>
      </c>
      <c r="L206" s="240">
        <f t="shared" si="17"/>
        <v>4.000000000000001E-5</v>
      </c>
      <c r="M206" s="219">
        <f>20/196</f>
        <v>0.10204081632653061</v>
      </c>
      <c r="N206" s="219">
        <f>(365*4)/3</f>
        <v>486.66666666666669</v>
      </c>
      <c r="O206" s="223">
        <f>M206*3</f>
        <v>0.30612244897959184</v>
      </c>
      <c r="P206" s="219">
        <f>4*365</f>
        <v>1460</v>
      </c>
      <c r="Q206" s="219">
        <v>3</v>
      </c>
      <c r="R206" s="219">
        <v>1</v>
      </c>
      <c r="S206" s="219">
        <v>0</v>
      </c>
      <c r="T206" s="219">
        <v>0</v>
      </c>
      <c r="U206" s="219"/>
      <c r="V206" s="219" t="s">
        <v>970</v>
      </c>
      <c r="W206" s="219" t="s">
        <v>188</v>
      </c>
    </row>
    <row r="207" spans="1:23">
      <c r="A207" s="32" t="s">
        <v>1</v>
      </c>
      <c r="B207" s="74" t="s">
        <v>1</v>
      </c>
      <c r="C207" s="67" t="s">
        <v>80</v>
      </c>
      <c r="D207" s="219" t="s">
        <v>189</v>
      </c>
      <c r="E207" s="67">
        <v>2012</v>
      </c>
      <c r="F207" s="67" t="s">
        <v>4</v>
      </c>
      <c r="G207" s="67" t="s">
        <v>190</v>
      </c>
      <c r="H207" s="67" t="s">
        <v>191</v>
      </c>
      <c r="I207" s="67">
        <v>0.104835</v>
      </c>
      <c r="J207" s="67">
        <v>160</v>
      </c>
      <c r="K207" s="67">
        <v>50</v>
      </c>
      <c r="L207" s="220">
        <f t="shared" si="17"/>
        <v>1.6773599999999999E-3</v>
      </c>
      <c r="M207" s="67">
        <f>60/160</f>
        <v>0.375</v>
      </c>
      <c r="N207" s="67">
        <v>0</v>
      </c>
      <c r="O207" s="67">
        <f t="shared" ref="O207:O211" si="18">M207</f>
        <v>0.375</v>
      </c>
      <c r="P207" s="294">
        <f>O207</f>
        <v>0.375</v>
      </c>
      <c r="Q207" s="67">
        <v>3</v>
      </c>
      <c r="R207" s="67">
        <v>2</v>
      </c>
      <c r="S207" s="67">
        <v>0</v>
      </c>
      <c r="T207" s="67">
        <v>0</v>
      </c>
      <c r="U207" s="67"/>
      <c r="V207" s="67" t="s">
        <v>971</v>
      </c>
      <c r="W207" s="219" t="s">
        <v>192</v>
      </c>
    </row>
    <row r="208" spans="1:23">
      <c r="A208" s="32" t="s">
        <v>1</v>
      </c>
      <c r="B208" s="74" t="s">
        <v>1</v>
      </c>
      <c r="C208" s="67" t="s">
        <v>80</v>
      </c>
      <c r="D208" s="219" t="s">
        <v>189</v>
      </c>
      <c r="E208" s="67">
        <v>2012</v>
      </c>
      <c r="F208" s="67" t="s">
        <v>4</v>
      </c>
      <c r="G208" s="67" t="s">
        <v>190</v>
      </c>
      <c r="H208" s="67" t="s">
        <v>191</v>
      </c>
      <c r="I208" s="67">
        <v>0.104835</v>
      </c>
      <c r="J208" s="67">
        <v>240</v>
      </c>
      <c r="K208" s="67">
        <v>50</v>
      </c>
      <c r="L208" s="220">
        <f t="shared" si="17"/>
        <v>2.5160399999999998E-3</v>
      </c>
      <c r="M208" s="67">
        <f>60/240</f>
        <v>0.25</v>
      </c>
      <c r="N208" s="67">
        <v>0</v>
      </c>
      <c r="O208" s="67">
        <f t="shared" si="18"/>
        <v>0.25</v>
      </c>
      <c r="P208" s="294">
        <f>O208</f>
        <v>0.25</v>
      </c>
      <c r="Q208" s="67">
        <v>3</v>
      </c>
      <c r="R208" s="67">
        <v>1</v>
      </c>
      <c r="S208" s="67">
        <v>0</v>
      </c>
      <c r="T208" s="67">
        <v>2</v>
      </c>
      <c r="U208" s="67"/>
      <c r="V208" s="67" t="s">
        <v>971</v>
      </c>
      <c r="W208" s="219" t="s">
        <v>193</v>
      </c>
    </row>
    <row r="209" spans="1:23">
      <c r="A209" s="32" t="s">
        <v>1</v>
      </c>
      <c r="B209" s="74" t="s">
        <v>1</v>
      </c>
      <c r="C209" s="67" t="s">
        <v>80</v>
      </c>
      <c r="D209" s="219" t="s">
        <v>189</v>
      </c>
      <c r="E209" s="67">
        <v>2012</v>
      </c>
      <c r="F209" s="67" t="s">
        <v>4</v>
      </c>
      <c r="G209" s="67" t="s">
        <v>190</v>
      </c>
      <c r="H209" s="67" t="s">
        <v>191</v>
      </c>
      <c r="I209" s="67">
        <v>0.104835</v>
      </c>
      <c r="J209" s="67">
        <v>64</v>
      </c>
      <c r="K209" s="67">
        <v>50</v>
      </c>
      <c r="L209" s="220">
        <f t="shared" si="17"/>
        <v>6.7094400000000003E-4</v>
      </c>
      <c r="M209" s="67">
        <f>1/64</f>
        <v>1.5625E-2</v>
      </c>
      <c r="N209" s="67">
        <v>0</v>
      </c>
      <c r="O209" s="221">
        <f t="shared" si="18"/>
        <v>1.5625E-2</v>
      </c>
      <c r="P209" s="294">
        <f>O209</f>
        <v>1.5625E-2</v>
      </c>
      <c r="Q209" s="67">
        <v>3</v>
      </c>
      <c r="R209" s="67">
        <v>1</v>
      </c>
      <c r="S209" s="67">
        <v>0</v>
      </c>
      <c r="T209" s="67">
        <v>2</v>
      </c>
      <c r="U209" s="67"/>
      <c r="V209" s="67" t="s">
        <v>970</v>
      </c>
      <c r="W209" s="219" t="s">
        <v>194</v>
      </c>
    </row>
    <row r="210" spans="1:23">
      <c r="A210" s="32" t="s">
        <v>1</v>
      </c>
      <c r="B210" s="74" t="s">
        <v>1</v>
      </c>
      <c r="C210" s="67" t="s">
        <v>80</v>
      </c>
      <c r="D210" s="219" t="s">
        <v>189</v>
      </c>
      <c r="E210" s="67">
        <v>2012</v>
      </c>
      <c r="F210" s="67" t="s">
        <v>4</v>
      </c>
      <c r="G210" s="67" t="s">
        <v>190</v>
      </c>
      <c r="H210" s="67" t="s">
        <v>191</v>
      </c>
      <c r="I210" s="241">
        <f>(0.1*0.05)*20</f>
        <v>0.10000000000000002</v>
      </c>
      <c r="J210" s="67">
        <v>64</v>
      </c>
      <c r="K210" s="67">
        <v>50</v>
      </c>
      <c r="L210" s="220">
        <f t="shared" si="17"/>
        <v>6.4000000000000016E-4</v>
      </c>
      <c r="M210" s="67">
        <f>1/64</f>
        <v>1.5625E-2</v>
      </c>
      <c r="N210" s="67">
        <v>0</v>
      </c>
      <c r="O210" s="221">
        <f t="shared" si="18"/>
        <v>1.5625E-2</v>
      </c>
      <c r="P210" s="294">
        <f>O210</f>
        <v>1.5625E-2</v>
      </c>
      <c r="Q210" s="67">
        <v>3</v>
      </c>
      <c r="R210" s="67">
        <v>2</v>
      </c>
      <c r="S210" s="67">
        <v>0</v>
      </c>
      <c r="T210" s="67">
        <v>0</v>
      </c>
      <c r="U210" s="67"/>
      <c r="V210" s="67" t="s">
        <v>970</v>
      </c>
      <c r="W210" s="219" t="s">
        <v>195</v>
      </c>
    </row>
    <row r="211" spans="1:23">
      <c r="A211" s="32" t="s">
        <v>1</v>
      </c>
      <c r="B211" s="74" t="s">
        <v>1</v>
      </c>
      <c r="C211" s="67" t="s">
        <v>80</v>
      </c>
      <c r="D211" s="219" t="s">
        <v>189</v>
      </c>
      <c r="E211" s="67">
        <v>2012</v>
      </c>
      <c r="F211" s="67" t="s">
        <v>4</v>
      </c>
      <c r="G211" s="67" t="s">
        <v>190</v>
      </c>
      <c r="H211" s="67" t="s">
        <v>191</v>
      </c>
      <c r="I211" s="67">
        <f>(0.2*0.2)*3</f>
        <v>0.12000000000000002</v>
      </c>
      <c r="J211" s="67">
        <v>64</v>
      </c>
      <c r="K211" s="67">
        <v>50</v>
      </c>
      <c r="L211" s="220">
        <f t="shared" si="17"/>
        <v>7.6800000000000013E-4</v>
      </c>
      <c r="M211" s="67">
        <f>1/64</f>
        <v>1.5625E-2</v>
      </c>
      <c r="N211" s="67">
        <v>0</v>
      </c>
      <c r="O211" s="221">
        <f t="shared" si="18"/>
        <v>1.5625E-2</v>
      </c>
      <c r="P211" s="294">
        <f>O211</f>
        <v>1.5625E-2</v>
      </c>
      <c r="Q211" s="67">
        <v>0</v>
      </c>
      <c r="R211" s="67">
        <v>2</v>
      </c>
      <c r="S211" s="67">
        <v>0</v>
      </c>
      <c r="T211" s="67">
        <v>0</v>
      </c>
      <c r="U211" s="67"/>
      <c r="V211" s="67" t="s">
        <v>970</v>
      </c>
      <c r="W211" s="219" t="s">
        <v>196</v>
      </c>
    </row>
    <row r="212" spans="1:23">
      <c r="A212" s="32" t="s">
        <v>1</v>
      </c>
      <c r="B212" s="74" t="s">
        <v>1</v>
      </c>
      <c r="C212" s="67" t="s">
        <v>80</v>
      </c>
      <c r="D212" s="219" t="s">
        <v>189</v>
      </c>
      <c r="E212" s="67">
        <v>2012</v>
      </c>
      <c r="F212" s="67" t="s">
        <v>63</v>
      </c>
      <c r="G212" s="67" t="s">
        <v>190</v>
      </c>
      <c r="H212" s="67" t="s">
        <v>191</v>
      </c>
      <c r="I212" s="67">
        <f>PI()*((0.016/2)^2)</f>
        <v>2.0106192982974675E-4</v>
      </c>
      <c r="J212" s="67">
        <v>16</v>
      </c>
      <c r="K212" s="67">
        <v>50</v>
      </c>
      <c r="L212" s="220">
        <f t="shared" si="17"/>
        <v>3.2169908772759479E-7</v>
      </c>
      <c r="M212" s="229">
        <f>1/60/60/24</f>
        <v>1.1574074074074073E-5</v>
      </c>
      <c r="N212" s="67">
        <f>5/60/24</f>
        <v>3.472222222222222E-3</v>
      </c>
      <c r="O212" s="67">
        <f>12*24*60*M212</f>
        <v>0.19999999999999998</v>
      </c>
      <c r="P212" s="294">
        <v>62</v>
      </c>
      <c r="Q212" s="67">
        <v>0</v>
      </c>
      <c r="R212" s="67">
        <v>0</v>
      </c>
      <c r="S212" s="67">
        <v>1</v>
      </c>
      <c r="T212" s="67">
        <v>0</v>
      </c>
      <c r="U212" s="67"/>
      <c r="V212" s="67" t="s">
        <v>972</v>
      </c>
      <c r="W212" s="219" t="s">
        <v>197</v>
      </c>
    </row>
    <row r="213" spans="1:23">
      <c r="A213" s="32" t="s">
        <v>1</v>
      </c>
      <c r="B213" s="74" t="s">
        <v>1</v>
      </c>
      <c r="C213" s="67" t="s">
        <v>87</v>
      </c>
      <c r="D213" s="219" t="s">
        <v>198</v>
      </c>
      <c r="E213" s="67">
        <v>2010</v>
      </c>
      <c r="F213" s="67" t="s">
        <v>4</v>
      </c>
      <c r="G213" s="67" t="s">
        <v>199</v>
      </c>
      <c r="H213" s="67" t="s">
        <v>200</v>
      </c>
      <c r="I213" s="67">
        <f>PI()*((0.0483/2)^2)</f>
        <v>1.8322475214082733E-3</v>
      </c>
      <c r="J213" s="67">
        <v>1</v>
      </c>
      <c r="K213" s="67">
        <v>100000</v>
      </c>
      <c r="L213" s="220">
        <f t="shared" si="17"/>
        <v>1.8322475214082733E-7</v>
      </c>
      <c r="M213" s="229">
        <f>1/60/60/24</f>
        <v>1.1574074074074073E-5</v>
      </c>
      <c r="N213" s="67">
        <v>32</v>
      </c>
      <c r="O213" s="67">
        <f>((365*2)/32)*M213</f>
        <v>2.6403356481481482E-4</v>
      </c>
      <c r="P213" s="67">
        <f>365*2</f>
        <v>730</v>
      </c>
      <c r="Q213" s="67">
        <v>0</v>
      </c>
      <c r="R213" s="67">
        <v>0</v>
      </c>
      <c r="S213" s="67">
        <v>1</v>
      </c>
      <c r="T213" s="67">
        <v>0</v>
      </c>
      <c r="U213" s="67"/>
      <c r="V213" s="67" t="s">
        <v>973</v>
      </c>
      <c r="W213" s="219" t="s">
        <v>201</v>
      </c>
    </row>
    <row r="214" spans="1:23">
      <c r="A214" s="32" t="s">
        <v>1</v>
      </c>
      <c r="B214" s="74" t="s">
        <v>1</v>
      </c>
      <c r="C214" s="67" t="s">
        <v>87</v>
      </c>
      <c r="D214" s="219" t="s">
        <v>198</v>
      </c>
      <c r="E214" s="67">
        <v>2010</v>
      </c>
      <c r="F214" s="67" t="s">
        <v>4</v>
      </c>
      <c r="G214" s="67" t="s">
        <v>199</v>
      </c>
      <c r="H214" s="67" t="s">
        <v>200</v>
      </c>
      <c r="I214" s="67">
        <f>PI()*((0.33/2)^2)</f>
        <v>8.5529859993982132E-2</v>
      </c>
      <c r="J214" s="67">
        <v>1</v>
      </c>
      <c r="K214" s="67">
        <v>100000</v>
      </c>
      <c r="L214" s="220">
        <f t="shared" si="17"/>
        <v>8.5529859993982129E-6</v>
      </c>
      <c r="M214" s="229">
        <f>1/60/60/24</f>
        <v>1.1574074074074073E-5</v>
      </c>
      <c r="N214" s="67">
        <v>32</v>
      </c>
      <c r="O214" s="67">
        <f>((365*2)/32)*M214</f>
        <v>2.6403356481481482E-4</v>
      </c>
      <c r="P214" s="67">
        <f>365*2</f>
        <v>730</v>
      </c>
      <c r="Q214" s="67">
        <v>0</v>
      </c>
      <c r="R214" s="67">
        <v>0</v>
      </c>
      <c r="S214" s="67">
        <v>2</v>
      </c>
      <c r="T214" s="67">
        <v>0</v>
      </c>
      <c r="U214" s="67"/>
      <c r="V214" s="67" t="s">
        <v>973</v>
      </c>
      <c r="W214" s="219" t="s">
        <v>202</v>
      </c>
    </row>
    <row r="215" spans="1:23">
      <c r="A215" s="32" t="s">
        <v>1</v>
      </c>
      <c r="B215" s="74" t="s">
        <v>1</v>
      </c>
      <c r="C215" s="67" t="s">
        <v>87</v>
      </c>
      <c r="D215" s="219" t="s">
        <v>198</v>
      </c>
      <c r="E215" s="67">
        <v>2010</v>
      </c>
      <c r="F215" s="67" t="s">
        <v>63</v>
      </c>
      <c r="G215" s="67" t="s">
        <v>199</v>
      </c>
      <c r="H215" s="67" t="s">
        <v>200</v>
      </c>
      <c r="I215" s="67">
        <f>PI()*((0.2/2)^2)</f>
        <v>3.1415926535897934E-2</v>
      </c>
      <c r="J215" s="67">
        <v>1</v>
      </c>
      <c r="K215" s="67">
        <v>100000</v>
      </c>
      <c r="L215" s="220">
        <f t="shared" si="17"/>
        <v>3.1415926535897933E-6</v>
      </c>
      <c r="M215" s="229">
        <f>1/60/60/24</f>
        <v>1.1574074074074073E-5</v>
      </c>
      <c r="N215" s="67">
        <f>1/24</f>
        <v>4.1666666666666664E-2</v>
      </c>
      <c r="O215" s="67">
        <f>((120*24)*M215)</f>
        <v>3.3333333333333333E-2</v>
      </c>
      <c r="P215" s="67">
        <v>317</v>
      </c>
      <c r="Q215" s="67">
        <v>0</v>
      </c>
      <c r="R215" s="67">
        <v>0</v>
      </c>
      <c r="S215" s="67">
        <v>2</v>
      </c>
      <c r="T215" s="67">
        <v>0</v>
      </c>
      <c r="U215" s="67"/>
      <c r="V215" s="67" t="s">
        <v>187</v>
      </c>
      <c r="W215" s="219" t="s">
        <v>203</v>
      </c>
    </row>
    <row r="216" spans="1:23">
      <c r="A216" s="32" t="s">
        <v>1</v>
      </c>
      <c r="B216" s="74" t="s">
        <v>1</v>
      </c>
      <c r="C216" s="67" t="s">
        <v>87</v>
      </c>
      <c r="D216" s="219" t="s">
        <v>198</v>
      </c>
      <c r="E216" s="67">
        <v>2010</v>
      </c>
      <c r="F216" s="67" t="s">
        <v>63</v>
      </c>
      <c r="G216" s="67" t="s">
        <v>199</v>
      </c>
      <c r="H216" s="67" t="s">
        <v>200</v>
      </c>
      <c r="I216" s="67">
        <f>PI()*(0.5^2)</f>
        <v>0.78539816339744828</v>
      </c>
      <c r="J216" s="67">
        <v>1</v>
      </c>
      <c r="K216" s="67">
        <v>100000</v>
      </c>
      <c r="L216" s="220">
        <f t="shared" si="17"/>
        <v>7.8539816339744827E-5</v>
      </c>
      <c r="M216" s="229">
        <f>1/60/60/24</f>
        <v>1.1574074074074073E-5</v>
      </c>
      <c r="N216" s="67">
        <f>1/24</f>
        <v>4.1666666666666664E-2</v>
      </c>
      <c r="O216" s="67">
        <f>((730*24)*M216)</f>
        <v>0.20277777777777778</v>
      </c>
      <c r="P216" s="67">
        <v>730</v>
      </c>
      <c r="Q216" s="67">
        <v>0</v>
      </c>
      <c r="R216" s="67">
        <v>0</v>
      </c>
      <c r="S216" s="67">
        <v>2</v>
      </c>
      <c r="T216" s="67">
        <v>0</v>
      </c>
      <c r="U216" s="67"/>
      <c r="V216" s="67" t="s">
        <v>974</v>
      </c>
      <c r="W216" s="219" t="s">
        <v>204</v>
      </c>
    </row>
    <row r="217" spans="1:23">
      <c r="A217" s="32" t="s">
        <v>1</v>
      </c>
      <c r="B217" s="74" t="s">
        <v>1</v>
      </c>
      <c r="C217" s="67" t="s">
        <v>87</v>
      </c>
      <c r="D217" s="219" t="s">
        <v>198</v>
      </c>
      <c r="E217" s="67">
        <v>2010</v>
      </c>
      <c r="F217" s="67" t="s">
        <v>4</v>
      </c>
      <c r="G217" s="67" t="s">
        <v>199</v>
      </c>
      <c r="H217" s="67" t="s">
        <v>200</v>
      </c>
      <c r="I217" s="67">
        <f>PI()*(0.75^2)*8</f>
        <v>14.137166941154069</v>
      </c>
      <c r="J217" s="67">
        <v>3</v>
      </c>
      <c r="K217" s="67">
        <v>100000</v>
      </c>
      <c r="L217" s="220">
        <f t="shared" si="17"/>
        <v>4.2411500823462209E-3</v>
      </c>
      <c r="M217" s="67">
        <v>1</v>
      </c>
      <c r="N217" s="67">
        <v>90</v>
      </c>
      <c r="O217" s="67">
        <f>730/90</f>
        <v>8.1111111111111107</v>
      </c>
      <c r="P217" s="67">
        <v>730</v>
      </c>
      <c r="Q217" s="67">
        <v>0</v>
      </c>
      <c r="R217" s="67">
        <v>1</v>
      </c>
      <c r="S217" s="67">
        <v>0</v>
      </c>
      <c r="T217" s="67">
        <v>0</v>
      </c>
      <c r="U217" s="67"/>
      <c r="V217" s="67" t="s">
        <v>975</v>
      </c>
      <c r="W217" s="219" t="s">
        <v>205</v>
      </c>
    </row>
    <row r="218" spans="1:23">
      <c r="A218" s="32" t="s">
        <v>1</v>
      </c>
      <c r="B218" s="74" t="s">
        <v>1</v>
      </c>
      <c r="C218" s="67" t="s">
        <v>87</v>
      </c>
      <c r="D218" s="219" t="s">
        <v>206</v>
      </c>
      <c r="E218" s="67">
        <v>2013</v>
      </c>
      <c r="F218" s="67" t="s">
        <v>4</v>
      </c>
      <c r="G218" s="67" t="s">
        <v>207</v>
      </c>
      <c r="H218" s="67" t="s">
        <v>208</v>
      </c>
      <c r="I218" s="67">
        <f>PI()*((0.6/2)^2)</f>
        <v>0.28274333882308139</v>
      </c>
      <c r="J218" s="67">
        <v>10</v>
      </c>
      <c r="K218" s="67">
        <v>600000</v>
      </c>
      <c r="L218" s="220">
        <f t="shared" si="17"/>
        <v>2.8274333882308137E-4</v>
      </c>
      <c r="M218" s="233">
        <f>1/60/24</f>
        <v>6.9444444444444447E-4</v>
      </c>
      <c r="N218" s="67">
        <v>0</v>
      </c>
      <c r="O218" s="67">
        <f>M218</f>
        <v>6.9444444444444447E-4</v>
      </c>
      <c r="P218" s="294">
        <f>O218</f>
        <v>6.9444444444444447E-4</v>
      </c>
      <c r="Q218" s="67">
        <v>0</v>
      </c>
      <c r="R218" s="67">
        <v>0</v>
      </c>
      <c r="S218" s="67">
        <v>1</v>
      </c>
      <c r="T218" s="67">
        <v>0</v>
      </c>
      <c r="U218" s="67"/>
      <c r="V218" s="67" t="s">
        <v>962</v>
      </c>
      <c r="W218" s="219" t="s">
        <v>209</v>
      </c>
    </row>
    <row r="219" spans="1:23">
      <c r="A219" s="32" t="s">
        <v>1</v>
      </c>
      <c r="B219" s="74" t="s">
        <v>1</v>
      </c>
      <c r="C219" s="67" t="s">
        <v>87</v>
      </c>
      <c r="D219" s="219" t="s">
        <v>206</v>
      </c>
      <c r="E219" s="67">
        <v>2013</v>
      </c>
      <c r="F219" s="67" t="s">
        <v>4</v>
      </c>
      <c r="G219" s="67" t="s">
        <v>207</v>
      </c>
      <c r="H219" s="67" t="s">
        <v>208</v>
      </c>
      <c r="I219" s="67">
        <f>PI()*((0.013/2)^2)</f>
        <v>1.3273228961416876E-4</v>
      </c>
      <c r="J219" s="67">
        <v>10</v>
      </c>
      <c r="K219" s="67">
        <v>600000</v>
      </c>
      <c r="L219" s="220">
        <f t="shared" si="17"/>
        <v>1.3273228961416876E-7</v>
      </c>
      <c r="M219" s="229">
        <f>1/60/60/24</f>
        <v>1.1574074074074073E-5</v>
      </c>
      <c r="N219" s="67">
        <v>0</v>
      </c>
      <c r="O219" s="67">
        <f>M219</f>
        <v>1.1574074074074073E-5</v>
      </c>
      <c r="P219" s="294">
        <f>O219</f>
        <v>1.1574074074074073E-5</v>
      </c>
      <c r="Q219" s="67">
        <v>0</v>
      </c>
      <c r="R219" s="67">
        <v>0</v>
      </c>
      <c r="S219" s="67">
        <v>2</v>
      </c>
      <c r="T219" s="67">
        <v>0</v>
      </c>
      <c r="U219" s="67"/>
      <c r="V219" s="67" t="s">
        <v>962</v>
      </c>
      <c r="W219" s="219" t="s">
        <v>210</v>
      </c>
    </row>
    <row r="220" spans="1:23">
      <c r="A220" s="32" t="s">
        <v>1</v>
      </c>
      <c r="B220" s="74" t="s">
        <v>1</v>
      </c>
      <c r="C220" s="67" t="s">
        <v>15</v>
      </c>
      <c r="D220" s="219" t="s">
        <v>211</v>
      </c>
      <c r="E220" s="67">
        <v>2010</v>
      </c>
      <c r="F220" s="67" t="s">
        <v>63</v>
      </c>
      <c r="G220" s="67" t="s">
        <v>212</v>
      </c>
      <c r="H220" s="67" t="s">
        <v>213</v>
      </c>
      <c r="I220" s="67">
        <f>PI()*(0.1)^2</f>
        <v>3.1415926535897934E-2</v>
      </c>
      <c r="J220" s="67">
        <v>1141</v>
      </c>
      <c r="K220" s="67">
        <v>1064934485.5</v>
      </c>
      <c r="L220" s="222">
        <f t="shared" si="17"/>
        <v>3.5845572177459544E-3</v>
      </c>
      <c r="M220" s="229">
        <f>1/60/60/24</f>
        <v>1.1574074074074073E-5</v>
      </c>
      <c r="N220" s="67">
        <v>0.5</v>
      </c>
      <c r="O220" s="67">
        <f>M220*14</f>
        <v>1.6203703703703703E-4</v>
      </c>
      <c r="P220" s="67">
        <v>7</v>
      </c>
      <c r="Q220" s="67">
        <v>1</v>
      </c>
      <c r="R220" s="67">
        <v>0</v>
      </c>
      <c r="S220" s="67">
        <v>1</v>
      </c>
      <c r="T220" s="67">
        <v>0</v>
      </c>
      <c r="U220" s="67"/>
      <c r="V220" s="67" t="s">
        <v>976</v>
      </c>
      <c r="W220" s="219" t="s">
        <v>214</v>
      </c>
    </row>
    <row r="221" spans="1:23">
      <c r="A221" s="32" t="s">
        <v>1</v>
      </c>
      <c r="B221" s="74" t="s">
        <v>1</v>
      </c>
      <c r="C221" s="67" t="s">
        <v>15</v>
      </c>
      <c r="D221" s="219" t="s">
        <v>211</v>
      </c>
      <c r="E221" s="67">
        <v>2010</v>
      </c>
      <c r="F221" s="67" t="s">
        <v>55</v>
      </c>
      <c r="G221" s="67" t="s">
        <v>212</v>
      </c>
      <c r="H221" s="67" t="s">
        <v>213</v>
      </c>
      <c r="I221" s="67">
        <f>500*500</f>
        <v>250000</v>
      </c>
      <c r="J221" s="67">
        <v>30</v>
      </c>
      <c r="K221" s="67">
        <v>1064934485.5</v>
      </c>
      <c r="L221" s="222">
        <f t="shared" si="17"/>
        <v>750</v>
      </c>
      <c r="M221" s="229">
        <f>1/60/60/24</f>
        <v>1.1574074074074073E-5</v>
      </c>
      <c r="N221" s="67">
        <v>1</v>
      </c>
      <c r="O221" s="67">
        <f>M221*365</f>
        <v>4.2245370370370371E-3</v>
      </c>
      <c r="P221" s="67">
        <v>365</v>
      </c>
      <c r="Q221" s="67">
        <v>0</v>
      </c>
      <c r="R221" s="67">
        <v>0</v>
      </c>
      <c r="S221" s="67">
        <v>2</v>
      </c>
      <c r="T221" s="67">
        <v>0</v>
      </c>
      <c r="U221" s="67"/>
      <c r="V221" s="67" t="s">
        <v>977</v>
      </c>
      <c r="W221" s="219" t="s">
        <v>215</v>
      </c>
    </row>
    <row r="222" spans="1:23">
      <c r="A222" s="32" t="s">
        <v>1</v>
      </c>
      <c r="B222" s="74" t="s">
        <v>1</v>
      </c>
      <c r="C222" s="67" t="s">
        <v>15</v>
      </c>
      <c r="D222" s="219" t="s">
        <v>211</v>
      </c>
      <c r="E222" s="67">
        <v>2010</v>
      </c>
      <c r="F222" s="294" t="s">
        <v>55</v>
      </c>
      <c r="G222" s="67" t="s">
        <v>212</v>
      </c>
      <c r="H222" s="67" t="s">
        <v>213</v>
      </c>
      <c r="I222" s="67">
        <f>500*500</f>
        <v>250000</v>
      </c>
      <c r="J222" s="67">
        <v>30</v>
      </c>
      <c r="K222" s="67">
        <v>1064934485.5</v>
      </c>
      <c r="L222" s="222">
        <f t="shared" si="17"/>
        <v>750</v>
      </c>
      <c r="M222" s="295">
        <f>(1/60/60/24)*4</f>
        <v>4.6296296296296294E-5</v>
      </c>
      <c r="N222" s="294">
        <v>32</v>
      </c>
      <c r="O222" s="294">
        <f>M222*12</f>
        <v>5.5555555555555556E-4</v>
      </c>
      <c r="P222" s="294">
        <f>365</f>
        <v>365</v>
      </c>
      <c r="Q222" s="67">
        <v>1</v>
      </c>
      <c r="R222" s="67">
        <v>0</v>
      </c>
      <c r="S222" s="67">
        <v>0</v>
      </c>
      <c r="T222" s="67">
        <v>0</v>
      </c>
      <c r="U222" s="294" t="s">
        <v>933</v>
      </c>
      <c r="V222" s="67" t="s">
        <v>962</v>
      </c>
      <c r="W222" s="219" t="s">
        <v>216</v>
      </c>
    </row>
    <row r="223" spans="1:23">
      <c r="A223" s="32" t="s">
        <v>1</v>
      </c>
      <c r="B223" s="74" t="s">
        <v>1</v>
      </c>
      <c r="C223" s="67" t="s">
        <v>65</v>
      </c>
      <c r="D223" s="219" t="s">
        <v>217</v>
      </c>
      <c r="E223" s="67">
        <v>2011</v>
      </c>
      <c r="F223" s="67" t="s">
        <v>4</v>
      </c>
      <c r="G223" s="67" t="s">
        <v>218</v>
      </c>
      <c r="H223" s="67" t="s">
        <v>219</v>
      </c>
      <c r="I223" s="67">
        <f>(1800*3)</f>
        <v>5400</v>
      </c>
      <c r="J223" s="67">
        <v>7</v>
      </c>
      <c r="K223" s="67">
        <v>32830</v>
      </c>
      <c r="L223" s="220">
        <f t="shared" si="17"/>
        <v>3.78</v>
      </c>
      <c r="M223" s="67">
        <f>5/24</f>
        <v>0.20833333333333334</v>
      </c>
      <c r="N223" s="67">
        <v>1</v>
      </c>
      <c r="O223" s="242">
        <f>M223*2190</f>
        <v>456.25</v>
      </c>
      <c r="P223" s="67">
        <f>365*6</f>
        <v>2190</v>
      </c>
      <c r="Q223" s="67">
        <v>3</v>
      </c>
      <c r="R223" s="67">
        <v>0</v>
      </c>
      <c r="S223" s="67">
        <v>0</v>
      </c>
      <c r="T223" s="67">
        <v>1</v>
      </c>
      <c r="U223" s="67"/>
      <c r="V223" s="67" t="s">
        <v>978</v>
      </c>
      <c r="W223" s="219" t="s">
        <v>220</v>
      </c>
    </row>
    <row r="224" spans="1:23">
      <c r="A224" s="32" t="s">
        <v>1</v>
      </c>
      <c r="B224" s="74" t="s">
        <v>1</v>
      </c>
      <c r="C224" s="67" t="s">
        <v>65</v>
      </c>
      <c r="D224" s="219" t="s">
        <v>217</v>
      </c>
      <c r="E224" s="67">
        <v>2011</v>
      </c>
      <c r="F224" s="67" t="s">
        <v>4</v>
      </c>
      <c r="G224" s="67" t="s">
        <v>218</v>
      </c>
      <c r="H224" s="67" t="s">
        <v>219</v>
      </c>
      <c r="I224" s="67">
        <f>PI()*(0.0025^2)</f>
        <v>1.9634954084936207E-5</v>
      </c>
      <c r="J224" s="67">
        <v>296</v>
      </c>
      <c r="K224" s="67">
        <v>32830</v>
      </c>
      <c r="L224" s="220">
        <f t="shared" si="17"/>
        <v>5.8119464091411169E-7</v>
      </c>
      <c r="M224" s="67">
        <f>30/60/60/24</f>
        <v>3.4722222222222224E-4</v>
      </c>
      <c r="N224" s="67">
        <v>0</v>
      </c>
      <c r="O224" s="67">
        <f>M224</f>
        <v>3.4722222222222224E-4</v>
      </c>
      <c r="P224" s="294">
        <f>O224</f>
        <v>3.4722222222222224E-4</v>
      </c>
      <c r="Q224" s="67">
        <v>0</v>
      </c>
      <c r="R224" s="67">
        <v>1</v>
      </c>
      <c r="S224" s="67">
        <v>0</v>
      </c>
      <c r="T224" s="67">
        <v>0</v>
      </c>
      <c r="U224" s="67"/>
      <c r="V224" s="67" t="s">
        <v>971</v>
      </c>
      <c r="W224" s="67" t="s">
        <v>221</v>
      </c>
    </row>
    <row r="225" spans="1:23">
      <c r="A225" s="32" t="s">
        <v>1</v>
      </c>
      <c r="B225" s="74" t="s">
        <v>1</v>
      </c>
      <c r="C225" s="67" t="s">
        <v>65</v>
      </c>
      <c r="D225" s="219" t="s">
        <v>217</v>
      </c>
      <c r="E225" s="67">
        <v>2011</v>
      </c>
      <c r="F225" s="67" t="s">
        <v>4</v>
      </c>
      <c r="G225" s="67" t="s">
        <v>218</v>
      </c>
      <c r="H225" s="67" t="s">
        <v>219</v>
      </c>
      <c r="I225" s="67">
        <f>0.14*0.05</f>
        <v>7.000000000000001E-3</v>
      </c>
      <c r="J225" s="67">
        <v>352</v>
      </c>
      <c r="K225" s="219">
        <v>32830</v>
      </c>
      <c r="L225" s="220">
        <f t="shared" si="17"/>
        <v>2.4640000000000003E-4</v>
      </c>
      <c r="M225" s="67">
        <f>10/60/24</f>
        <v>6.9444444444444441E-3</v>
      </c>
      <c r="N225" s="67">
        <v>0</v>
      </c>
      <c r="O225" s="67">
        <f>M225</f>
        <v>6.9444444444444441E-3</v>
      </c>
      <c r="P225" s="294">
        <f>O225</f>
        <v>6.9444444444444441E-3</v>
      </c>
      <c r="Q225" s="67">
        <v>0</v>
      </c>
      <c r="R225" s="67">
        <v>3</v>
      </c>
      <c r="S225" s="67">
        <v>0</v>
      </c>
      <c r="T225" s="67">
        <v>0</v>
      </c>
      <c r="U225" s="67"/>
      <c r="V225" s="67" t="s">
        <v>971</v>
      </c>
      <c r="W225" s="67" t="s">
        <v>222</v>
      </c>
    </row>
    <row r="226" spans="1:23">
      <c r="A226" s="32" t="s">
        <v>1</v>
      </c>
      <c r="B226" s="74" t="s">
        <v>1</v>
      </c>
      <c r="C226" s="67" t="s">
        <v>23</v>
      </c>
      <c r="D226" s="219" t="s">
        <v>223</v>
      </c>
      <c r="E226" s="67">
        <v>2006</v>
      </c>
      <c r="F226" s="67" t="s">
        <v>4</v>
      </c>
      <c r="G226" s="67" t="s">
        <v>224</v>
      </c>
      <c r="H226" s="67" t="s">
        <v>225</v>
      </c>
      <c r="I226" s="67">
        <f>(0.00175/8*0.0005)</f>
        <v>1.09375E-7</v>
      </c>
      <c r="J226" s="67">
        <v>110</v>
      </c>
      <c r="K226" s="219">
        <v>6511.39</v>
      </c>
      <c r="L226" s="220">
        <f t="shared" si="17"/>
        <v>1.203125E-9</v>
      </c>
      <c r="M226" s="67">
        <f>30/60/60/24</f>
        <v>3.4722222222222224E-4</v>
      </c>
      <c r="N226" s="67">
        <v>0</v>
      </c>
      <c r="O226" s="67">
        <f>M226</f>
        <v>3.4722222222222224E-4</v>
      </c>
      <c r="P226" s="294">
        <f>O226</f>
        <v>3.4722222222222224E-4</v>
      </c>
      <c r="Q226" s="67">
        <v>0</v>
      </c>
      <c r="R226" s="67">
        <v>0</v>
      </c>
      <c r="S226" s="67">
        <v>2</v>
      </c>
      <c r="T226" s="67">
        <v>0</v>
      </c>
      <c r="U226" s="67" t="s">
        <v>226</v>
      </c>
      <c r="V226" s="67" t="s">
        <v>971</v>
      </c>
      <c r="W226" s="67" t="s">
        <v>227</v>
      </c>
    </row>
    <row r="227" spans="1:23">
      <c r="A227" s="32" t="s">
        <v>1</v>
      </c>
      <c r="B227" s="74" t="s">
        <v>1</v>
      </c>
      <c r="C227" s="67" t="s">
        <v>80</v>
      </c>
      <c r="D227" s="219" t="s">
        <v>228</v>
      </c>
      <c r="E227" s="67">
        <v>2007</v>
      </c>
      <c r="F227" s="67" t="s">
        <v>4</v>
      </c>
      <c r="G227" s="67" t="s">
        <v>229</v>
      </c>
      <c r="H227" s="67" t="s">
        <v>230</v>
      </c>
      <c r="I227" s="67">
        <f>PI()*((1.3/2)^2)</f>
        <v>1.3273228961416876</v>
      </c>
      <c r="J227" s="67">
        <v>171</v>
      </c>
      <c r="K227" s="67">
        <v>430</v>
      </c>
      <c r="L227" s="220">
        <f t="shared" si="17"/>
        <v>2.269722152402286E-2</v>
      </c>
      <c r="M227" s="67">
        <f>0.5/171</f>
        <v>2.9239766081871343E-3</v>
      </c>
      <c r="N227" s="67">
        <v>30</v>
      </c>
      <c r="O227" s="67">
        <f>M227*L227*(12*10)</f>
        <v>7.9639373768501266E-3</v>
      </c>
      <c r="P227" s="67">
        <f>(365*10)+90</f>
        <v>3740</v>
      </c>
      <c r="Q227" s="67">
        <v>3</v>
      </c>
      <c r="R227" s="67">
        <v>0</v>
      </c>
      <c r="S227" s="67">
        <v>2</v>
      </c>
      <c r="T227" s="67">
        <v>2</v>
      </c>
      <c r="U227" s="67"/>
      <c r="V227" s="219" t="s">
        <v>160</v>
      </c>
      <c r="W227" s="67" t="s">
        <v>231</v>
      </c>
    </row>
    <row r="228" spans="1:23">
      <c r="A228" s="32" t="s">
        <v>1</v>
      </c>
      <c r="B228" s="74" t="s">
        <v>1</v>
      </c>
      <c r="C228" s="67" t="s">
        <v>80</v>
      </c>
      <c r="D228" s="219" t="s">
        <v>228</v>
      </c>
      <c r="E228" s="67">
        <v>2007</v>
      </c>
      <c r="F228" s="67" t="s">
        <v>63</v>
      </c>
      <c r="G228" s="67" t="s">
        <v>229</v>
      </c>
      <c r="H228" s="67" t="s">
        <v>230</v>
      </c>
      <c r="I228" s="67">
        <f>PI()*((0.2032/2)^2)</f>
        <v>3.2429278662239852E-2</v>
      </c>
      <c r="J228" s="67">
        <v>1</v>
      </c>
      <c r="K228" s="67">
        <v>430</v>
      </c>
      <c r="L228" s="220">
        <f t="shared" si="17"/>
        <v>3.2429278662239851E-6</v>
      </c>
      <c r="M228" s="67">
        <v>1</v>
      </c>
      <c r="N228" s="67">
        <v>1</v>
      </c>
      <c r="O228" s="67">
        <f>(365*10)+90</f>
        <v>3740</v>
      </c>
      <c r="P228" s="67">
        <f>(365*10)+90</f>
        <v>3740</v>
      </c>
      <c r="Q228" s="67">
        <v>0</v>
      </c>
      <c r="R228" s="67">
        <v>0</v>
      </c>
      <c r="S228" s="67">
        <v>1</v>
      </c>
      <c r="T228" s="67">
        <v>0</v>
      </c>
      <c r="U228" s="67"/>
      <c r="V228" s="67" t="s">
        <v>187</v>
      </c>
      <c r="W228" s="67" t="s">
        <v>232</v>
      </c>
    </row>
    <row r="229" spans="1:23">
      <c r="A229" s="32" t="s">
        <v>1</v>
      </c>
      <c r="B229" s="74" t="s">
        <v>1</v>
      </c>
      <c r="C229" s="67" t="s">
        <v>80</v>
      </c>
      <c r="D229" s="219" t="s">
        <v>228</v>
      </c>
      <c r="E229" s="67">
        <v>2007</v>
      </c>
      <c r="F229" s="67" t="s">
        <v>63</v>
      </c>
      <c r="G229" s="67" t="s">
        <v>229</v>
      </c>
      <c r="H229" s="67" t="s">
        <v>230</v>
      </c>
      <c r="I229" s="67">
        <f>PI()*((0.008/2)^2)</f>
        <v>5.0265482457436686E-5</v>
      </c>
      <c r="J229" s="67">
        <v>1</v>
      </c>
      <c r="K229" s="67">
        <v>430</v>
      </c>
      <c r="L229" s="220">
        <f t="shared" si="17"/>
        <v>5.0265482457436686E-9</v>
      </c>
      <c r="M229" s="67">
        <v>1</v>
      </c>
      <c r="N229" s="67">
        <v>1</v>
      </c>
      <c r="O229" s="67">
        <f>DATE(2000,6,1)-DATE(1993,10,1)</f>
        <v>2435</v>
      </c>
      <c r="P229" s="67">
        <f>DATE(2000,6,1)-DATE(1993,10,1)</f>
        <v>2435</v>
      </c>
      <c r="Q229" s="67">
        <v>0</v>
      </c>
      <c r="R229" s="67">
        <v>0</v>
      </c>
      <c r="S229" s="67">
        <v>2</v>
      </c>
      <c r="T229" s="67">
        <v>0</v>
      </c>
      <c r="U229" s="67"/>
      <c r="V229" s="67" t="s">
        <v>187</v>
      </c>
      <c r="W229" s="67" t="s">
        <v>233</v>
      </c>
    </row>
    <row r="230" spans="1:23">
      <c r="A230" s="32" t="s">
        <v>1</v>
      </c>
      <c r="B230" s="74" t="s">
        <v>1</v>
      </c>
      <c r="C230" s="67" t="s">
        <v>15</v>
      </c>
      <c r="D230" s="219" t="s">
        <v>234</v>
      </c>
      <c r="E230" s="67">
        <v>2004</v>
      </c>
      <c r="F230" s="67" t="s">
        <v>63</v>
      </c>
      <c r="G230" s="67" t="s">
        <v>235</v>
      </c>
      <c r="H230" s="67" t="s">
        <v>236</v>
      </c>
      <c r="I230" s="67">
        <f>PI()*((0.1524/2)^2)</f>
        <v>1.8241469247509919E-2</v>
      </c>
      <c r="J230" s="67">
        <v>1</v>
      </c>
      <c r="K230" s="67">
        <v>135</v>
      </c>
      <c r="L230" s="220">
        <f t="shared" si="17"/>
        <v>1.8241469247509919E-6</v>
      </c>
      <c r="M230" s="229">
        <f>1/60/60/24</f>
        <v>1.1574074074074073E-5</v>
      </c>
      <c r="N230" s="67">
        <f>5/60/60/24</f>
        <v>5.7870370370370366E-5</v>
      </c>
      <c r="O230" s="67">
        <f>12*60*12*M230</f>
        <v>9.9999999999999992E-2</v>
      </c>
      <c r="P230" s="67">
        <f>365+10</f>
        <v>375</v>
      </c>
      <c r="Q230" s="67">
        <v>0</v>
      </c>
      <c r="R230" s="67">
        <v>0</v>
      </c>
      <c r="S230" s="67">
        <v>2</v>
      </c>
      <c r="T230" s="67">
        <v>0</v>
      </c>
      <c r="U230" s="67"/>
      <c r="V230" s="67" t="s">
        <v>976</v>
      </c>
      <c r="W230" s="219" t="s">
        <v>237</v>
      </c>
    </row>
    <row r="231" spans="1:23">
      <c r="A231" s="32" t="s">
        <v>1</v>
      </c>
      <c r="B231" s="74" t="s">
        <v>1</v>
      </c>
      <c r="C231" s="67" t="s">
        <v>15</v>
      </c>
      <c r="D231" s="219" t="s">
        <v>234</v>
      </c>
      <c r="E231" s="67">
        <v>2004</v>
      </c>
      <c r="F231" s="67" t="s">
        <v>4</v>
      </c>
      <c r="G231" s="67" t="s">
        <v>235</v>
      </c>
      <c r="H231" s="67" t="s">
        <v>236</v>
      </c>
      <c r="I231" s="67">
        <f>0.0006*3</f>
        <v>1.8E-3</v>
      </c>
      <c r="J231" s="67">
        <v>24</v>
      </c>
      <c r="K231" s="67">
        <v>135</v>
      </c>
      <c r="L231" s="220">
        <f t="shared" si="17"/>
        <v>4.3200000000000001E-6</v>
      </c>
      <c r="M231" s="229">
        <f>2/60/24</f>
        <v>1.3888888888888889E-3</v>
      </c>
      <c r="N231" s="67">
        <f>2.2/60/24</f>
        <v>1.5277777777777779E-3</v>
      </c>
      <c r="O231" s="67">
        <f>M231*12*10</f>
        <v>0.16666666666666666</v>
      </c>
      <c r="P231" s="67">
        <f>365+10</f>
        <v>375</v>
      </c>
      <c r="Q231" s="67">
        <v>0</v>
      </c>
      <c r="R231" s="67">
        <v>0</v>
      </c>
      <c r="S231" s="67">
        <v>2</v>
      </c>
      <c r="T231" s="67">
        <v>0</v>
      </c>
      <c r="U231" s="67"/>
      <c r="V231" s="67" t="s">
        <v>896</v>
      </c>
      <c r="W231" s="219" t="s">
        <v>238</v>
      </c>
    </row>
    <row r="232" spans="1:23">
      <c r="A232" s="32" t="s">
        <v>1</v>
      </c>
      <c r="B232" s="74" t="s">
        <v>1</v>
      </c>
      <c r="C232" s="67" t="s">
        <v>15</v>
      </c>
      <c r="D232" s="219" t="s">
        <v>234</v>
      </c>
      <c r="E232" s="67">
        <v>2004</v>
      </c>
      <c r="F232" s="67" t="s">
        <v>4</v>
      </c>
      <c r="G232" s="67" t="s">
        <v>235</v>
      </c>
      <c r="H232" s="67" t="s">
        <v>236</v>
      </c>
      <c r="I232" s="67">
        <f>0.0006*6</f>
        <v>3.5999999999999999E-3</v>
      </c>
      <c r="J232" s="67">
        <v>24</v>
      </c>
      <c r="K232" s="67">
        <v>135</v>
      </c>
      <c r="L232" s="220">
        <f t="shared" si="17"/>
        <v>8.6400000000000003E-6</v>
      </c>
      <c r="M232" s="229">
        <f>5/60/24</f>
        <v>3.472222222222222E-3</v>
      </c>
      <c r="N232" s="67">
        <f>4.4/60/24</f>
        <v>3.0555555555555557E-3</v>
      </c>
      <c r="O232" s="67">
        <f>M232*6*10</f>
        <v>0.20833333333333331</v>
      </c>
      <c r="P232" s="67">
        <f>365+10</f>
        <v>375</v>
      </c>
      <c r="Q232" s="67">
        <v>0</v>
      </c>
      <c r="R232" s="67">
        <v>0</v>
      </c>
      <c r="S232" s="67">
        <v>2</v>
      </c>
      <c r="T232" s="67">
        <v>0</v>
      </c>
      <c r="U232" s="67"/>
      <c r="V232" s="67" t="s">
        <v>896</v>
      </c>
      <c r="W232" s="219" t="s">
        <v>239</v>
      </c>
    </row>
    <row r="233" spans="1:23">
      <c r="A233" s="32" t="s">
        <v>1</v>
      </c>
      <c r="B233" s="74" t="s">
        <v>1</v>
      </c>
      <c r="C233" s="219" t="s">
        <v>240</v>
      </c>
      <c r="D233" s="219" t="s">
        <v>241</v>
      </c>
      <c r="E233" s="67">
        <v>2006</v>
      </c>
      <c r="F233" s="67" t="s">
        <v>4</v>
      </c>
      <c r="G233" s="67" t="s">
        <v>71</v>
      </c>
      <c r="H233" s="67" t="s">
        <v>242</v>
      </c>
      <c r="I233" s="67">
        <f>PI()*(0.05^2)</f>
        <v>7.8539816339744835E-3</v>
      </c>
      <c r="J233" s="67">
        <v>150</v>
      </c>
      <c r="K233" s="67">
        <v>1349568</v>
      </c>
      <c r="L233" s="220">
        <f t="shared" si="17"/>
        <v>1.1780972450961724E-4</v>
      </c>
      <c r="M233" s="67">
        <v>3</v>
      </c>
      <c r="N233" s="67">
        <v>30</v>
      </c>
      <c r="O233" s="67">
        <f>M233*6</f>
        <v>18</v>
      </c>
      <c r="P233" s="67">
        <f>6*30</f>
        <v>180</v>
      </c>
      <c r="Q233" s="67">
        <v>3</v>
      </c>
      <c r="R233" s="67">
        <v>2</v>
      </c>
      <c r="S233" s="67">
        <v>0</v>
      </c>
      <c r="T233" s="67">
        <v>1</v>
      </c>
      <c r="U233" s="67"/>
      <c r="V233" s="67" t="s">
        <v>970</v>
      </c>
      <c r="W233" s="219" t="s">
        <v>243</v>
      </c>
    </row>
    <row r="234" spans="1:23">
      <c r="A234" s="32" t="s">
        <v>1</v>
      </c>
      <c r="B234" s="74" t="s">
        <v>1</v>
      </c>
      <c r="C234" s="219" t="s">
        <v>240</v>
      </c>
      <c r="D234" s="219" t="s">
        <v>241</v>
      </c>
      <c r="E234" s="67">
        <v>2006</v>
      </c>
      <c r="F234" s="67" t="s">
        <v>4</v>
      </c>
      <c r="G234" s="67" t="s">
        <v>71</v>
      </c>
      <c r="H234" s="67" t="s">
        <v>242</v>
      </c>
      <c r="I234" s="67">
        <f>PI()*(0.05^2)</f>
        <v>7.8539816339744835E-3</v>
      </c>
      <c r="J234" s="67">
        <v>250</v>
      </c>
      <c r="K234" s="67">
        <v>1349568</v>
      </c>
      <c r="L234" s="220">
        <f t="shared" si="17"/>
        <v>1.9634954084936208E-4</v>
      </c>
      <c r="M234" s="67">
        <v>5</v>
      </c>
      <c r="N234" s="67">
        <v>30</v>
      </c>
      <c r="O234" s="67">
        <f>M234*6</f>
        <v>30</v>
      </c>
      <c r="P234" s="67">
        <f>6*30</f>
        <v>180</v>
      </c>
      <c r="Q234" s="67">
        <v>3</v>
      </c>
      <c r="R234" s="67">
        <v>2</v>
      </c>
      <c r="S234" s="67">
        <v>0</v>
      </c>
      <c r="T234" s="67">
        <v>1</v>
      </c>
      <c r="U234" s="67"/>
      <c r="V234" s="67" t="s">
        <v>970</v>
      </c>
      <c r="W234" s="67" t="s">
        <v>244</v>
      </c>
    </row>
    <row r="235" spans="1:23">
      <c r="A235" s="32" t="s">
        <v>1</v>
      </c>
      <c r="B235" s="74" t="s">
        <v>1</v>
      </c>
      <c r="C235" s="219" t="s">
        <v>240</v>
      </c>
      <c r="D235" s="219" t="s">
        <v>241</v>
      </c>
      <c r="E235" s="67">
        <v>2006</v>
      </c>
      <c r="F235" s="67" t="s">
        <v>4</v>
      </c>
      <c r="G235" s="67" t="s">
        <v>71</v>
      </c>
      <c r="H235" s="67" t="s">
        <v>242</v>
      </c>
      <c r="I235" s="67">
        <f>PI()*(0.05^2)</f>
        <v>7.8539816339744835E-3</v>
      </c>
      <c r="J235" s="67">
        <v>72</v>
      </c>
      <c r="K235" s="67">
        <v>1349568</v>
      </c>
      <c r="L235" s="220">
        <f t="shared" si="17"/>
        <v>5.6548667764616282E-5</v>
      </c>
      <c r="M235" s="67">
        <v>5</v>
      </c>
      <c r="N235" s="67">
        <v>30</v>
      </c>
      <c r="O235" s="67">
        <f>M235*6</f>
        <v>30</v>
      </c>
      <c r="P235" s="67">
        <f>6*30</f>
        <v>180</v>
      </c>
      <c r="Q235" s="67">
        <v>3</v>
      </c>
      <c r="R235" s="67">
        <v>2</v>
      </c>
      <c r="S235" s="67">
        <v>0</v>
      </c>
      <c r="T235" s="67">
        <v>1</v>
      </c>
      <c r="U235" s="67"/>
      <c r="V235" s="67" t="s">
        <v>976</v>
      </c>
      <c r="W235" s="67" t="s">
        <v>244</v>
      </c>
    </row>
    <row r="236" spans="1:23">
      <c r="A236" s="32" t="s">
        <v>1</v>
      </c>
      <c r="B236" s="74" t="s">
        <v>1</v>
      </c>
      <c r="C236" s="219" t="s">
        <v>240</v>
      </c>
      <c r="D236" s="219" t="s">
        <v>241</v>
      </c>
      <c r="E236" s="67">
        <v>2006</v>
      </c>
      <c r="F236" s="67" t="s">
        <v>4</v>
      </c>
      <c r="G236" s="67" t="s">
        <v>71</v>
      </c>
      <c r="H236" s="67" t="s">
        <v>242</v>
      </c>
      <c r="I236" s="67">
        <f>5*5</f>
        <v>25</v>
      </c>
      <c r="J236" s="67">
        <v>10</v>
      </c>
      <c r="K236" s="67">
        <v>1349568</v>
      </c>
      <c r="L236" s="220">
        <f t="shared" si="17"/>
        <v>2.5000000000000001E-2</v>
      </c>
      <c r="M236" s="67">
        <v>3</v>
      </c>
      <c r="N236" s="67">
        <v>0</v>
      </c>
      <c r="O236" s="67">
        <f>M236</f>
        <v>3</v>
      </c>
      <c r="P236" s="294">
        <f>O236</f>
        <v>3</v>
      </c>
      <c r="Q236" s="67">
        <v>3</v>
      </c>
      <c r="R236" s="67">
        <v>1</v>
      </c>
      <c r="S236" s="67">
        <v>2</v>
      </c>
      <c r="T236" s="67">
        <v>1</v>
      </c>
      <c r="U236" s="67"/>
      <c r="V236" s="67" t="s">
        <v>971</v>
      </c>
      <c r="W236" s="67" t="s">
        <v>245</v>
      </c>
    </row>
    <row r="237" spans="1:23">
      <c r="A237" s="32" t="s">
        <v>1</v>
      </c>
      <c r="B237" s="74" t="s">
        <v>1</v>
      </c>
      <c r="C237" s="67" t="s">
        <v>73</v>
      </c>
      <c r="D237" s="219" t="s">
        <v>246</v>
      </c>
      <c r="E237" s="67">
        <v>2010</v>
      </c>
      <c r="F237" s="67" t="s">
        <v>4</v>
      </c>
      <c r="G237" s="67" t="s">
        <v>247</v>
      </c>
      <c r="H237" s="67" t="s">
        <v>248</v>
      </c>
      <c r="I237" s="67">
        <f>0.07*(0.07/3)</f>
        <v>1.6333333333333336E-3</v>
      </c>
      <c r="J237" s="67">
        <v>799</v>
      </c>
      <c r="K237" s="67">
        <v>46431</v>
      </c>
      <c r="L237" s="220">
        <f t="shared" si="17"/>
        <v>1.3050333333333334E-4</v>
      </c>
      <c r="M237" s="67">
        <f>5/60/24</f>
        <v>3.472222222222222E-3</v>
      </c>
      <c r="N237" s="67">
        <v>0</v>
      </c>
      <c r="O237" s="38">
        <f>M237</f>
        <v>3.472222222222222E-3</v>
      </c>
      <c r="P237" s="294">
        <f>O237</f>
        <v>3.472222222222222E-3</v>
      </c>
      <c r="Q237" s="67">
        <v>0</v>
      </c>
      <c r="R237" s="67">
        <v>3</v>
      </c>
      <c r="S237" s="67">
        <v>0</v>
      </c>
      <c r="T237" s="67">
        <v>1</v>
      </c>
      <c r="U237" s="67"/>
      <c r="V237" s="67" t="s">
        <v>973</v>
      </c>
      <c r="W237" s="219" t="s">
        <v>249</v>
      </c>
    </row>
    <row r="238" spans="1:23">
      <c r="A238" s="32" t="s">
        <v>1</v>
      </c>
      <c r="B238" s="74" t="s">
        <v>1</v>
      </c>
      <c r="C238" s="219" t="s">
        <v>240</v>
      </c>
      <c r="D238" s="219" t="s">
        <v>250</v>
      </c>
      <c r="E238" s="219">
        <v>2014</v>
      </c>
      <c r="F238" s="219" t="s">
        <v>4</v>
      </c>
      <c r="G238" s="219" t="s">
        <v>251</v>
      </c>
      <c r="H238" s="219" t="s">
        <v>252</v>
      </c>
      <c r="I238" s="219">
        <f>PI()*(0.4^2)*10</f>
        <v>5.026548245743669</v>
      </c>
      <c r="J238" s="219">
        <v>12</v>
      </c>
      <c r="K238" s="219">
        <v>265214.78000000003</v>
      </c>
      <c r="L238" s="240">
        <f t="shared" si="17"/>
        <v>6.0318578948924031E-3</v>
      </c>
      <c r="M238" s="219">
        <v>1</v>
      </c>
      <c r="N238" s="219">
        <f>(18*30)/8</f>
        <v>67.5</v>
      </c>
      <c r="O238" s="219">
        <f>M238*2</f>
        <v>2</v>
      </c>
      <c r="P238" s="219">
        <f>365+30*4</f>
        <v>485</v>
      </c>
      <c r="Q238" s="219">
        <v>3</v>
      </c>
      <c r="R238" s="219">
        <v>2</v>
      </c>
      <c r="S238" s="219">
        <v>0</v>
      </c>
      <c r="T238" s="219">
        <v>1</v>
      </c>
      <c r="U238" s="219"/>
      <c r="V238" s="219" t="s">
        <v>977</v>
      </c>
      <c r="W238" s="219" t="s">
        <v>253</v>
      </c>
    </row>
    <row r="239" spans="1:23">
      <c r="A239" s="32" t="s">
        <v>1</v>
      </c>
      <c r="B239" s="74" t="s">
        <v>1</v>
      </c>
      <c r="C239" s="219" t="s">
        <v>240</v>
      </c>
      <c r="D239" s="219" t="s">
        <v>250</v>
      </c>
      <c r="E239" s="219">
        <v>2014</v>
      </c>
      <c r="F239" s="219" t="s">
        <v>4</v>
      </c>
      <c r="G239" s="219" t="s">
        <v>251</v>
      </c>
      <c r="H239" s="219" t="s">
        <v>252</v>
      </c>
      <c r="I239" s="219">
        <f>0.076*0.127*12</f>
        <v>0.11582399999999998</v>
      </c>
      <c r="J239" s="219">
        <v>12</v>
      </c>
      <c r="K239" s="219">
        <v>265214.78000000003</v>
      </c>
      <c r="L239" s="240">
        <f t="shared" si="17"/>
        <v>1.3898879999999997E-4</v>
      </c>
      <c r="M239" s="219">
        <v>7</v>
      </c>
      <c r="N239" s="219">
        <f>(18*30)/8</f>
        <v>67.5</v>
      </c>
      <c r="O239" s="219">
        <f>M239*2</f>
        <v>14</v>
      </c>
      <c r="P239" s="219">
        <f>365+30*4</f>
        <v>485</v>
      </c>
      <c r="Q239" s="219">
        <v>3</v>
      </c>
      <c r="R239" s="219">
        <v>2</v>
      </c>
      <c r="S239" s="219">
        <v>0</v>
      </c>
      <c r="T239" s="219">
        <v>1</v>
      </c>
      <c r="U239" s="219"/>
      <c r="V239" s="219" t="s">
        <v>896</v>
      </c>
      <c r="W239" s="219" t="s">
        <v>254</v>
      </c>
    </row>
    <row r="240" spans="1:23">
      <c r="A240" s="32" t="s">
        <v>1</v>
      </c>
      <c r="B240" s="74" t="s">
        <v>1</v>
      </c>
      <c r="C240" s="219" t="s">
        <v>240</v>
      </c>
      <c r="D240" s="219" t="s">
        <v>250</v>
      </c>
      <c r="E240" s="219">
        <v>2014</v>
      </c>
      <c r="F240" s="219" t="s">
        <v>4</v>
      </c>
      <c r="G240" s="219" t="s">
        <v>251</v>
      </c>
      <c r="H240" s="219" t="s">
        <v>252</v>
      </c>
      <c r="I240" s="219">
        <f>(0.04*0.01*30*3)</f>
        <v>3.6000000000000004E-2</v>
      </c>
      <c r="J240" s="219">
        <v>12</v>
      </c>
      <c r="K240" s="219">
        <v>265214.78000000003</v>
      </c>
      <c r="L240" s="240">
        <f t="shared" si="17"/>
        <v>4.3200000000000007E-5</v>
      </c>
      <c r="M240" s="223">
        <f>20/60/24</f>
        <v>1.3888888888888888E-2</v>
      </c>
      <c r="N240" s="223">
        <f>120/3</f>
        <v>40</v>
      </c>
      <c r="O240" s="223">
        <f>M240*2*3</f>
        <v>8.3333333333333329E-2</v>
      </c>
      <c r="P240" s="219">
        <f>365+30*4</f>
        <v>485</v>
      </c>
      <c r="Q240" s="219">
        <v>3</v>
      </c>
      <c r="R240" s="219">
        <v>1</v>
      </c>
      <c r="S240" s="219">
        <v>0</v>
      </c>
      <c r="T240" s="219">
        <v>1</v>
      </c>
      <c r="U240" s="219"/>
      <c r="V240" s="219" t="s">
        <v>979</v>
      </c>
      <c r="W240" s="219" t="s">
        <v>255</v>
      </c>
    </row>
    <row r="241" spans="1:23">
      <c r="A241" s="32" t="s">
        <v>1</v>
      </c>
      <c r="B241" s="74" t="s">
        <v>1</v>
      </c>
      <c r="C241" s="219" t="s">
        <v>240</v>
      </c>
      <c r="D241" s="219" t="s">
        <v>250</v>
      </c>
      <c r="E241" s="219">
        <v>2014</v>
      </c>
      <c r="F241" s="219" t="s">
        <v>4</v>
      </c>
      <c r="G241" s="219" t="s">
        <v>251</v>
      </c>
      <c r="H241" s="219" t="s">
        <v>252</v>
      </c>
      <c r="I241" s="219">
        <f>0.08*0.04*2</f>
        <v>6.4000000000000003E-3</v>
      </c>
      <c r="J241" s="219">
        <v>12</v>
      </c>
      <c r="K241" s="219">
        <v>265214.78000000003</v>
      </c>
      <c r="L241" s="240">
        <f t="shared" si="17"/>
        <v>7.680000000000001E-6</v>
      </c>
      <c r="M241" s="223">
        <f>20/60/24</f>
        <v>1.3888888888888888E-2</v>
      </c>
      <c r="N241" s="223">
        <f>120/3</f>
        <v>40</v>
      </c>
      <c r="O241" s="223">
        <f>M241*2*2</f>
        <v>5.5555555555555552E-2</v>
      </c>
      <c r="P241" s="219">
        <f>365+30*4</f>
        <v>485</v>
      </c>
      <c r="Q241" s="219">
        <v>3</v>
      </c>
      <c r="R241" s="219">
        <v>1</v>
      </c>
      <c r="S241" s="219">
        <v>0</v>
      </c>
      <c r="T241" s="219">
        <v>1</v>
      </c>
      <c r="U241" s="219"/>
      <c r="V241" s="219" t="s">
        <v>979</v>
      </c>
      <c r="W241" s="219" t="s">
        <v>256</v>
      </c>
    </row>
    <row r="242" spans="1:23">
      <c r="A242" s="32" t="s">
        <v>1</v>
      </c>
      <c r="B242" s="74" t="s">
        <v>1</v>
      </c>
      <c r="C242" s="219" t="s">
        <v>240</v>
      </c>
      <c r="D242" s="219" t="s">
        <v>250</v>
      </c>
      <c r="E242" s="219">
        <v>2014</v>
      </c>
      <c r="F242" s="219" t="s">
        <v>55</v>
      </c>
      <c r="G242" s="219" t="s">
        <v>251</v>
      </c>
      <c r="H242" s="219" t="s">
        <v>252</v>
      </c>
      <c r="I242" s="219">
        <v>1</v>
      </c>
      <c r="J242" s="219">
        <f>7068584*12</f>
        <v>84823008</v>
      </c>
      <c r="K242" s="219">
        <v>265214.78000000003</v>
      </c>
      <c r="L242" s="240">
        <f t="shared" si="17"/>
        <v>8482.3008000000009</v>
      </c>
      <c r="M242" s="229">
        <f>1/60/60/24</f>
        <v>1.1574074074074073E-5</v>
      </c>
      <c r="N242" s="219">
        <v>0</v>
      </c>
      <c r="O242" s="229">
        <f>1/60/60/24</f>
        <v>1.1574074074074073E-5</v>
      </c>
      <c r="P242" s="294">
        <f>O242</f>
        <v>1.1574074074074073E-5</v>
      </c>
      <c r="Q242" s="219">
        <v>1</v>
      </c>
      <c r="R242" s="219">
        <v>0</v>
      </c>
      <c r="S242" s="219">
        <v>0</v>
      </c>
      <c r="T242" s="219">
        <v>0</v>
      </c>
      <c r="U242" s="219"/>
      <c r="V242" s="219" t="s">
        <v>980</v>
      </c>
      <c r="W242" s="219" t="s">
        <v>257</v>
      </c>
    </row>
    <row r="243" spans="1:23">
      <c r="A243" s="32" t="s">
        <v>1</v>
      </c>
      <c r="B243" s="74" t="s">
        <v>1</v>
      </c>
      <c r="C243" s="219" t="s">
        <v>240</v>
      </c>
      <c r="D243" s="219" t="s">
        <v>258</v>
      </c>
      <c r="E243" s="219">
        <v>2006</v>
      </c>
      <c r="F243" s="219" t="s">
        <v>4</v>
      </c>
      <c r="G243" s="219" t="s">
        <v>259</v>
      </c>
      <c r="H243" s="219" t="s">
        <v>260</v>
      </c>
      <c r="I243" s="67">
        <f>0.5*0.5</f>
        <v>0.25</v>
      </c>
      <c r="J243" s="67">
        <v>12</v>
      </c>
      <c r="K243" s="67">
        <v>57.63</v>
      </c>
      <c r="L243" s="220">
        <f t="shared" si="17"/>
        <v>2.9999999999999997E-4</v>
      </c>
      <c r="M243" s="67">
        <v>1</v>
      </c>
      <c r="N243" s="219">
        <v>14</v>
      </c>
      <c r="O243" s="67">
        <f>M243*2</f>
        <v>2</v>
      </c>
      <c r="P243" s="67">
        <f>365*2</f>
        <v>730</v>
      </c>
      <c r="Q243" s="67">
        <v>3</v>
      </c>
      <c r="R243" s="219">
        <v>2</v>
      </c>
      <c r="S243" s="219">
        <v>1</v>
      </c>
      <c r="T243" s="219">
        <v>1</v>
      </c>
      <c r="U243" s="67"/>
      <c r="V243" s="67" t="s">
        <v>981</v>
      </c>
      <c r="W243" s="67" t="s">
        <v>261</v>
      </c>
    </row>
    <row r="244" spans="1:23">
      <c r="A244" s="32" t="s">
        <v>1</v>
      </c>
      <c r="B244" s="74" t="s">
        <v>1</v>
      </c>
      <c r="C244" s="67" t="s">
        <v>2</v>
      </c>
      <c r="D244" s="67" t="s">
        <v>262</v>
      </c>
      <c r="E244" s="67">
        <v>2003</v>
      </c>
      <c r="F244" s="67" t="s">
        <v>4</v>
      </c>
      <c r="G244" s="67" t="s">
        <v>263</v>
      </c>
      <c r="H244" s="67" t="s">
        <v>264</v>
      </c>
      <c r="I244" s="67">
        <v>8000</v>
      </c>
      <c r="J244" s="67">
        <v>1</v>
      </c>
      <c r="K244" s="67">
        <v>0.8</v>
      </c>
      <c r="L244" s="220">
        <f>I244/10000</f>
        <v>0.8</v>
      </c>
      <c r="M244" s="67">
        <f>8/24</f>
        <v>0.33333333333333331</v>
      </c>
      <c r="N244" s="67">
        <v>4</v>
      </c>
      <c r="O244" s="67">
        <f>M244*8</f>
        <v>2.6666666666666665</v>
      </c>
      <c r="P244" s="67">
        <f>28</f>
        <v>28</v>
      </c>
      <c r="Q244" s="67">
        <v>3</v>
      </c>
      <c r="R244" s="67">
        <v>2</v>
      </c>
      <c r="S244" s="67">
        <v>0</v>
      </c>
      <c r="T244" s="67">
        <v>0</v>
      </c>
      <c r="U244" s="67"/>
      <c r="V244" s="67" t="s">
        <v>265</v>
      </c>
      <c r="W244" s="67" t="s">
        <v>266</v>
      </c>
    </row>
    <row r="245" spans="1:23">
      <c r="A245" s="32" t="s">
        <v>1</v>
      </c>
      <c r="B245" s="74" t="s">
        <v>1</v>
      </c>
      <c r="C245" s="67" t="s">
        <v>2</v>
      </c>
      <c r="D245" s="67" t="s">
        <v>262</v>
      </c>
      <c r="E245" s="67">
        <v>2003</v>
      </c>
      <c r="F245" s="67" t="s">
        <v>4</v>
      </c>
      <c r="G245" s="67" t="s">
        <v>263</v>
      </c>
      <c r="H245" s="67" t="s">
        <v>264</v>
      </c>
      <c r="I245" s="67">
        <f>PI()*((0.008/2)^2)</f>
        <v>5.0265482457436686E-5</v>
      </c>
      <c r="J245" s="67">
        <v>1</v>
      </c>
      <c r="K245" s="67">
        <v>0.8</v>
      </c>
      <c r="L245" s="220">
        <f>I245/10000</f>
        <v>5.0265482457436686E-9</v>
      </c>
      <c r="M245" s="229">
        <f>1/60/60/24</f>
        <v>1.1574074074074073E-5</v>
      </c>
      <c r="N245" s="67">
        <f>28/26</f>
        <v>1.0769230769230769</v>
      </c>
      <c r="O245" s="67">
        <f>M245*26</f>
        <v>3.0092592592592589E-4</v>
      </c>
      <c r="P245" s="67">
        <f>28</f>
        <v>28</v>
      </c>
      <c r="Q245" s="67">
        <v>0</v>
      </c>
      <c r="R245" s="67">
        <v>0</v>
      </c>
      <c r="S245" s="67">
        <v>1</v>
      </c>
      <c r="T245" s="67">
        <v>0</v>
      </c>
      <c r="U245" s="67"/>
      <c r="V245" s="67" t="s">
        <v>151</v>
      </c>
      <c r="W245" s="67" t="s">
        <v>267</v>
      </c>
    </row>
    <row r="246" spans="1:23">
      <c r="A246" s="243" t="s">
        <v>651</v>
      </c>
      <c r="B246" s="243" t="s">
        <v>651</v>
      </c>
      <c r="C246" s="9" t="s">
        <v>23</v>
      </c>
      <c r="D246" s="9" t="s">
        <v>652</v>
      </c>
      <c r="E246" s="9">
        <v>2005</v>
      </c>
      <c r="F246" s="9" t="s">
        <v>4</v>
      </c>
      <c r="G246" s="9" t="s">
        <v>653</v>
      </c>
      <c r="H246" s="9" t="s">
        <v>654</v>
      </c>
      <c r="I246" s="9">
        <f>25/10000</f>
        <v>2.5000000000000001E-3</v>
      </c>
      <c r="J246" s="9">
        <v>47</v>
      </c>
      <c r="K246" s="297">
        <f>20*30/10000</f>
        <v>0.06</v>
      </c>
      <c r="L246" s="244">
        <f t="shared" ref="L246:L256" si="19">I246*J246/10000</f>
        <v>1.1750000000000001E-5</v>
      </c>
      <c r="M246" s="9">
        <v>1</v>
      </c>
      <c r="N246" s="9">
        <v>0</v>
      </c>
      <c r="O246" s="9">
        <v>1</v>
      </c>
      <c r="P246" s="9">
        <v>1</v>
      </c>
      <c r="Q246" s="9">
        <v>3</v>
      </c>
      <c r="R246" s="9">
        <v>1</v>
      </c>
      <c r="S246" s="9">
        <v>1</v>
      </c>
      <c r="T246" s="9">
        <v>1</v>
      </c>
      <c r="U246" s="9"/>
      <c r="V246" s="9" t="s">
        <v>294</v>
      </c>
      <c r="W246" s="9" t="s">
        <v>655</v>
      </c>
    </row>
    <row r="247" spans="1:23">
      <c r="A247" s="243" t="s">
        <v>651</v>
      </c>
      <c r="B247" s="243" t="s">
        <v>651</v>
      </c>
      <c r="C247" s="9" t="s">
        <v>240</v>
      </c>
      <c r="D247" s="9" t="s">
        <v>656</v>
      </c>
      <c r="E247" s="9">
        <v>2010</v>
      </c>
      <c r="F247" s="9" t="s">
        <v>4</v>
      </c>
      <c r="G247" s="9" t="s">
        <v>657</v>
      </c>
      <c r="H247" s="9" t="s">
        <v>658</v>
      </c>
      <c r="I247" s="9">
        <f t="shared" ref="I247:I248" si="20">0.25*0.25</f>
        <v>6.25E-2</v>
      </c>
      <c r="J247" s="9">
        <v>150</v>
      </c>
      <c r="K247" s="9">
        <v>40</v>
      </c>
      <c r="L247" s="244">
        <f t="shared" si="19"/>
        <v>9.3749999999999997E-4</v>
      </c>
      <c r="M247" s="9">
        <v>1</v>
      </c>
      <c r="N247" s="9">
        <v>0</v>
      </c>
      <c r="O247" s="9">
        <v>1</v>
      </c>
      <c r="P247" s="298">
        <v>1</v>
      </c>
      <c r="Q247" s="9">
        <v>3</v>
      </c>
      <c r="R247" s="9">
        <v>2</v>
      </c>
      <c r="S247" s="9">
        <v>1</v>
      </c>
      <c r="T247" s="9">
        <v>2</v>
      </c>
      <c r="U247" s="9"/>
      <c r="V247" s="9" t="s">
        <v>294</v>
      </c>
      <c r="W247" s="9" t="s">
        <v>659</v>
      </c>
    </row>
    <row r="248" spans="1:23">
      <c r="A248" s="243" t="s">
        <v>651</v>
      </c>
      <c r="B248" s="243" t="s">
        <v>651</v>
      </c>
      <c r="C248" s="9" t="s">
        <v>65</v>
      </c>
      <c r="D248" s="245" t="s">
        <v>660</v>
      </c>
      <c r="E248" s="246">
        <v>2008</v>
      </c>
      <c r="F248" s="9" t="s">
        <v>4</v>
      </c>
      <c r="G248" s="9" t="s">
        <v>661</v>
      </c>
      <c r="H248" s="9" t="s">
        <v>662</v>
      </c>
      <c r="I248" s="9">
        <f t="shared" si="20"/>
        <v>6.25E-2</v>
      </c>
      <c r="J248" s="9">
        <v>260</v>
      </c>
      <c r="K248" s="9">
        <f t="shared" ref="K248:K250" si="21">(100*100*3*500/12948+50*50*2*500/3909+100*100*2*2500/13900)/10000</f>
        <v>0.53951521332720909</v>
      </c>
      <c r="L248" s="244">
        <f t="shared" si="19"/>
        <v>1.6249999999999999E-3</v>
      </c>
      <c r="M248" s="9">
        <v>1</v>
      </c>
      <c r="N248" s="9">
        <v>0</v>
      </c>
      <c r="O248" s="9">
        <v>1</v>
      </c>
      <c r="P248" s="9">
        <f>4*365+60</f>
        <v>1520</v>
      </c>
      <c r="Q248" s="9">
        <v>3</v>
      </c>
      <c r="R248" s="9">
        <v>2</v>
      </c>
      <c r="S248" s="9">
        <v>3</v>
      </c>
      <c r="T248" s="9">
        <v>2</v>
      </c>
      <c r="U248" s="9"/>
      <c r="V248" s="9" t="s">
        <v>276</v>
      </c>
      <c r="W248" s="9" t="s">
        <v>663</v>
      </c>
    </row>
    <row r="249" spans="1:23">
      <c r="A249" s="243" t="s">
        <v>651</v>
      </c>
      <c r="B249" s="243" t="s">
        <v>651</v>
      </c>
      <c r="C249" s="9" t="s">
        <v>65</v>
      </c>
      <c r="D249" s="245" t="s">
        <v>660</v>
      </c>
      <c r="E249" s="246">
        <v>2008</v>
      </c>
      <c r="F249" s="9" t="s">
        <v>4</v>
      </c>
      <c r="G249" s="9" t="s">
        <v>661</v>
      </c>
      <c r="H249" s="9" t="s">
        <v>664</v>
      </c>
      <c r="I249" s="9">
        <f>(100*100*3*500/12948+50*50*2*500/3909+100*100*2*2500/13900)/3</f>
        <v>1798.3840444240302</v>
      </c>
      <c r="J249" s="9">
        <v>3</v>
      </c>
      <c r="K249" s="9">
        <f t="shared" si="21"/>
        <v>0.53951521332720909</v>
      </c>
      <c r="L249" s="244">
        <f t="shared" si="19"/>
        <v>0.53951521332720909</v>
      </c>
      <c r="M249" s="9">
        <v>120</v>
      </c>
      <c r="N249" s="9">
        <v>245</v>
      </c>
      <c r="O249" s="9">
        <f>120*4</f>
        <v>480</v>
      </c>
      <c r="P249" s="9">
        <f t="shared" ref="P249:P250" si="22">4*365 + 120</f>
        <v>1580</v>
      </c>
      <c r="Q249" s="9">
        <v>3</v>
      </c>
      <c r="R249" s="9">
        <v>1</v>
      </c>
      <c r="S249" s="9">
        <v>1</v>
      </c>
      <c r="T249" s="9">
        <v>0</v>
      </c>
      <c r="U249" s="9"/>
      <c r="V249" s="9" t="s">
        <v>276</v>
      </c>
      <c r="W249" s="9" t="s">
        <v>665</v>
      </c>
    </row>
    <row r="250" spans="1:23">
      <c r="A250" s="243" t="s">
        <v>651</v>
      </c>
      <c r="B250" s="243" t="s">
        <v>651</v>
      </c>
      <c r="C250" s="9" t="s">
        <v>65</v>
      </c>
      <c r="D250" s="245" t="s">
        <v>660</v>
      </c>
      <c r="E250" s="246">
        <v>2008</v>
      </c>
      <c r="F250" s="9" t="s">
        <v>4</v>
      </c>
      <c r="G250" s="9" t="s">
        <v>661</v>
      </c>
      <c r="H250" s="9" t="s">
        <v>666</v>
      </c>
      <c r="I250" s="9">
        <f>0.15*0.15</f>
        <v>2.2499999999999999E-2</v>
      </c>
      <c r="J250" s="9">
        <v>116.5</v>
      </c>
      <c r="K250" s="9">
        <f t="shared" si="21"/>
        <v>0.53951521332720909</v>
      </c>
      <c r="L250" s="244">
        <f t="shared" si="19"/>
        <v>2.6212499999999999E-4</v>
      </c>
      <c r="M250" s="9">
        <v>7</v>
      </c>
      <c r="N250" s="9">
        <f>(365-102)/14</f>
        <v>18.785714285714285</v>
      </c>
      <c r="O250" s="9">
        <f>1580*M250/(M250+N250)</f>
        <v>428.9196675900277</v>
      </c>
      <c r="P250" s="9">
        <f t="shared" si="22"/>
        <v>1580</v>
      </c>
      <c r="Q250" s="9">
        <v>3</v>
      </c>
      <c r="R250" s="9">
        <v>1</v>
      </c>
      <c r="S250" s="9">
        <v>0</v>
      </c>
      <c r="T250" s="9">
        <v>0</v>
      </c>
      <c r="U250" s="15" t="str">
        <f>HYPERLINK("http://www.ndhealth.gov/WNV/Documents/Summary/2007MosquitoReport.pdf","http://www.ndhealth.gov/WNV/Documents/Summary/2007MosquitoReport.pdf")</f>
        <v>http://www.ndhealth.gov/WNV/Documents/Summary/2007MosquitoReport.pdf</v>
      </c>
      <c r="V250" s="9" t="s">
        <v>276</v>
      </c>
      <c r="W250" s="9" t="s">
        <v>667</v>
      </c>
    </row>
    <row r="251" spans="1:23">
      <c r="A251" s="243" t="s">
        <v>651</v>
      </c>
      <c r="B251" s="243" t="s">
        <v>651</v>
      </c>
      <c r="C251" s="9" t="s">
        <v>555</v>
      </c>
      <c r="D251" s="247" t="s">
        <v>668</v>
      </c>
      <c r="E251" s="246">
        <v>2012</v>
      </c>
      <c r="F251" s="9" t="s">
        <v>55</v>
      </c>
      <c r="G251" s="9" t="s">
        <v>669</v>
      </c>
      <c r="H251" s="9" t="s">
        <v>670</v>
      </c>
      <c r="I251" s="9">
        <f>1000*1000</f>
        <v>1000000</v>
      </c>
      <c r="J251" s="9">
        <v>12193300</v>
      </c>
      <c r="K251" s="9">
        <v>1219330000</v>
      </c>
      <c r="L251" s="248">
        <f t="shared" si="19"/>
        <v>1219330000</v>
      </c>
      <c r="M251" s="249">
        <f>2/24/60/60</f>
        <v>2.3148148148148147E-5</v>
      </c>
      <c r="N251" s="249">
        <v>1</v>
      </c>
      <c r="O251" s="249">
        <f>365*4*M251</f>
        <v>3.3796296296296297E-2</v>
      </c>
      <c r="P251" s="9">
        <v>1460</v>
      </c>
      <c r="Q251" s="9">
        <v>0</v>
      </c>
      <c r="R251" s="9">
        <v>0</v>
      </c>
      <c r="S251" s="9">
        <v>1</v>
      </c>
      <c r="T251" s="9">
        <v>0</v>
      </c>
      <c r="U251" s="9" t="s">
        <v>671</v>
      </c>
      <c r="V251" s="9" t="s">
        <v>279</v>
      </c>
      <c r="W251" s="9" t="s">
        <v>672</v>
      </c>
    </row>
    <row r="252" spans="1:23">
      <c r="A252" s="243" t="s">
        <v>651</v>
      </c>
      <c r="B252" s="243" t="s">
        <v>651</v>
      </c>
      <c r="C252" s="9" t="s">
        <v>555</v>
      </c>
      <c r="D252" s="247" t="s">
        <v>668</v>
      </c>
      <c r="E252" s="246">
        <v>2012</v>
      </c>
      <c r="F252" s="250" t="s">
        <v>55</v>
      </c>
      <c r="G252" s="9" t="s">
        <v>669</v>
      </c>
      <c r="H252" s="9" t="s">
        <v>673</v>
      </c>
      <c r="I252" s="250">
        <f>9000^2</f>
        <v>81000000</v>
      </c>
      <c r="J252" s="9">
        <v>270690</v>
      </c>
      <c r="K252" s="9">
        <v>2192589000</v>
      </c>
      <c r="L252" s="248">
        <f t="shared" si="19"/>
        <v>2192589000</v>
      </c>
      <c r="M252" s="249">
        <f>1/(24*3600)*365*2</f>
        <v>8.4490740740740741E-3</v>
      </c>
      <c r="N252" s="9">
        <v>0</v>
      </c>
      <c r="O252" s="249">
        <f>M252</f>
        <v>8.4490740740740741E-3</v>
      </c>
      <c r="P252" s="9">
        <v>365</v>
      </c>
      <c r="Q252" s="9">
        <v>1</v>
      </c>
      <c r="R252" s="9">
        <v>0</v>
      </c>
      <c r="S252" s="9">
        <v>1</v>
      </c>
      <c r="T252" s="9">
        <v>1</v>
      </c>
      <c r="U252" s="9" t="s">
        <v>674</v>
      </c>
      <c r="V252" s="9" t="s">
        <v>279</v>
      </c>
      <c r="W252" s="9" t="s">
        <v>675</v>
      </c>
    </row>
    <row r="253" spans="1:23">
      <c r="A253" s="243" t="s">
        <v>651</v>
      </c>
      <c r="B253" s="243" t="s">
        <v>651</v>
      </c>
      <c r="C253" s="9" t="s">
        <v>153</v>
      </c>
      <c r="D253" s="9" t="s">
        <v>676</v>
      </c>
      <c r="E253" s="246">
        <v>2005</v>
      </c>
      <c r="F253" s="9" t="s">
        <v>4</v>
      </c>
      <c r="G253" s="9" t="s">
        <v>677</v>
      </c>
      <c r="H253" s="9" t="s">
        <v>678</v>
      </c>
      <c r="I253" s="9">
        <v>10000</v>
      </c>
      <c r="J253" s="9">
        <v>61</v>
      </c>
      <c r="K253" s="9">
        <v>15000</v>
      </c>
      <c r="L253" s="244">
        <f t="shared" si="19"/>
        <v>61</v>
      </c>
      <c r="M253" s="9">
        <v>1</v>
      </c>
      <c r="N253" s="9">
        <v>0</v>
      </c>
      <c r="O253" s="9">
        <v>1</v>
      </c>
      <c r="P253" s="9">
        <v>1</v>
      </c>
      <c r="Q253" s="9">
        <v>1</v>
      </c>
      <c r="R253" s="9">
        <v>1</v>
      </c>
      <c r="S253" s="9">
        <v>0</v>
      </c>
      <c r="T253" s="9">
        <v>0</v>
      </c>
      <c r="U253" s="9"/>
      <c r="V253" s="9" t="s">
        <v>279</v>
      </c>
      <c r="W253" s="9" t="s">
        <v>679</v>
      </c>
    </row>
    <row r="254" spans="1:23">
      <c r="A254" s="243" t="s">
        <v>651</v>
      </c>
      <c r="B254" s="243" t="s">
        <v>651</v>
      </c>
      <c r="C254" s="9" t="s">
        <v>153</v>
      </c>
      <c r="D254" s="9" t="s">
        <v>676</v>
      </c>
      <c r="E254" s="246">
        <v>2005</v>
      </c>
      <c r="F254" s="9" t="s">
        <v>4</v>
      </c>
      <c r="G254" s="9" t="s">
        <v>677</v>
      </c>
      <c r="H254" s="9" t="s">
        <v>680</v>
      </c>
      <c r="I254" s="9">
        <v>0.25</v>
      </c>
      <c r="J254" s="9">
        <f>61*143</f>
        <v>8723</v>
      </c>
      <c r="K254" s="9">
        <v>15000</v>
      </c>
      <c r="L254" s="244">
        <f t="shared" si="19"/>
        <v>0.21807499999999999</v>
      </c>
      <c r="M254" s="9">
        <v>1</v>
      </c>
      <c r="N254" s="9">
        <v>0</v>
      </c>
      <c r="O254" s="9">
        <v>1</v>
      </c>
      <c r="P254" s="9">
        <v>90</v>
      </c>
      <c r="Q254" s="9">
        <v>2</v>
      </c>
      <c r="R254" s="9">
        <v>2</v>
      </c>
      <c r="S254" s="9">
        <v>1</v>
      </c>
      <c r="T254" s="9">
        <v>1</v>
      </c>
      <c r="U254" s="9"/>
      <c r="V254" s="9" t="s">
        <v>681</v>
      </c>
      <c r="W254" s="9" t="s">
        <v>682</v>
      </c>
    </row>
    <row r="255" spans="1:23">
      <c r="A255" s="243" t="s">
        <v>651</v>
      </c>
      <c r="B255" s="243" t="s">
        <v>651</v>
      </c>
      <c r="C255" s="9" t="s">
        <v>80</v>
      </c>
      <c r="D255" s="9" t="s">
        <v>683</v>
      </c>
      <c r="E255" s="246">
        <v>2010</v>
      </c>
      <c r="F255" s="9" t="s">
        <v>4</v>
      </c>
      <c r="G255" s="9" t="s">
        <v>684</v>
      </c>
      <c r="H255" s="9" t="s">
        <v>685</v>
      </c>
      <c r="I255" s="9">
        <f>PI()*4</f>
        <v>12.566370614359172</v>
      </c>
      <c r="J255" s="9">
        <v>550</v>
      </c>
      <c r="K255" s="9">
        <f t="shared" ref="K255:K256" si="23">0.5*100</f>
        <v>50</v>
      </c>
      <c r="L255" s="244">
        <f t="shared" si="19"/>
        <v>0.69115038378975446</v>
      </c>
      <c r="M255" s="9">
        <f>1/24/60*5</f>
        <v>3.472222222222222E-3</v>
      </c>
      <c r="N255" s="9">
        <f>365/12</f>
        <v>30.416666666666668</v>
      </c>
      <c r="O255" s="9">
        <f>30*M255</f>
        <v>0.10416666666666666</v>
      </c>
      <c r="P255" s="9">
        <f t="shared" ref="P255:P256" si="24">365*2+31+31+30+31+30+31</f>
        <v>914</v>
      </c>
      <c r="Q255" s="9">
        <v>3</v>
      </c>
      <c r="R255" s="9">
        <v>2</v>
      </c>
      <c r="S255" s="9">
        <v>2</v>
      </c>
      <c r="T255" s="9">
        <v>1</v>
      </c>
      <c r="U255" s="9"/>
      <c r="V255" s="9" t="s">
        <v>686</v>
      </c>
      <c r="W255" s="9" t="s">
        <v>687</v>
      </c>
    </row>
    <row r="256" spans="1:23">
      <c r="A256" s="243" t="s">
        <v>651</v>
      </c>
      <c r="B256" s="243" t="s">
        <v>651</v>
      </c>
      <c r="C256" s="9" t="s">
        <v>80</v>
      </c>
      <c r="D256" s="9" t="s">
        <v>683</v>
      </c>
      <c r="E256" s="246">
        <v>2010</v>
      </c>
      <c r="F256" s="9" t="s">
        <v>4</v>
      </c>
      <c r="G256" s="9" t="s">
        <v>684</v>
      </c>
      <c r="H256" s="9" t="s">
        <v>688</v>
      </c>
      <c r="I256" s="9">
        <f>0.01*0.01</f>
        <v>1E-4</v>
      </c>
      <c r="J256" s="9">
        <f>34*3*60</f>
        <v>6120</v>
      </c>
      <c r="K256" s="9">
        <f t="shared" si="23"/>
        <v>50</v>
      </c>
      <c r="L256" s="244">
        <f t="shared" si="19"/>
        <v>6.1199999999999997E-5</v>
      </c>
      <c r="M256" s="9">
        <f>1/24/60*20</f>
        <v>1.3888888888888888E-2</v>
      </c>
      <c r="N256" s="9">
        <v>0</v>
      </c>
      <c r="O256" s="9">
        <f>1/24/60*20</f>
        <v>1.3888888888888888E-2</v>
      </c>
      <c r="P256" s="9">
        <f t="shared" si="24"/>
        <v>914</v>
      </c>
      <c r="Q256" s="9">
        <v>3</v>
      </c>
      <c r="R256" s="9">
        <v>3</v>
      </c>
      <c r="S256" s="9">
        <v>1</v>
      </c>
      <c r="T256" s="9">
        <v>1</v>
      </c>
      <c r="U256" s="9"/>
      <c r="V256" s="9" t="s">
        <v>689</v>
      </c>
      <c r="W256" s="9" t="s">
        <v>690</v>
      </c>
    </row>
    <row r="257" spans="1:23">
      <c r="A257" s="243" t="s">
        <v>651</v>
      </c>
      <c r="B257" s="243" t="s">
        <v>651</v>
      </c>
      <c r="C257" s="9" t="s">
        <v>240</v>
      </c>
      <c r="D257" s="9" t="s">
        <v>691</v>
      </c>
      <c r="E257" s="9">
        <v>2004</v>
      </c>
      <c r="F257" s="9" t="s">
        <v>4</v>
      </c>
      <c r="G257" s="9" t="s">
        <v>692</v>
      </c>
      <c r="H257" s="9" t="s">
        <v>693</v>
      </c>
      <c r="I257" s="19">
        <f>30*10000</f>
        <v>300000</v>
      </c>
      <c r="J257" s="9">
        <v>74</v>
      </c>
      <c r="K257" s="9">
        <v>100000</v>
      </c>
      <c r="L257" s="29">
        <f>J257*I257/10000</f>
        <v>2220</v>
      </c>
      <c r="M257" s="9">
        <f>1/24/2</f>
        <v>2.0833333333333332E-2</v>
      </c>
      <c r="N257" s="9">
        <v>0</v>
      </c>
      <c r="O257" s="9">
        <f>1/24/2</f>
        <v>2.0833333333333332E-2</v>
      </c>
      <c r="P257" s="297">
        <f>O257</f>
        <v>2.0833333333333332E-2</v>
      </c>
      <c r="Q257" s="9">
        <v>3</v>
      </c>
      <c r="R257" s="9">
        <v>1</v>
      </c>
      <c r="S257" s="9">
        <v>1</v>
      </c>
      <c r="T257" s="9">
        <v>1</v>
      </c>
      <c r="U257" s="9"/>
      <c r="V257" s="9" t="s">
        <v>278</v>
      </c>
      <c r="W257" s="9" t="s">
        <v>694</v>
      </c>
    </row>
    <row r="258" spans="1:23">
      <c r="A258" s="243" t="s">
        <v>651</v>
      </c>
      <c r="B258" s="243" t="s">
        <v>651</v>
      </c>
      <c r="C258" s="9" t="s">
        <v>240</v>
      </c>
      <c r="D258" s="247" t="s">
        <v>695</v>
      </c>
      <c r="E258" s="246">
        <v>2012</v>
      </c>
      <c r="F258" s="9" t="s">
        <v>4</v>
      </c>
      <c r="G258" s="9" t="s">
        <v>677</v>
      </c>
      <c r="H258" s="9" t="s">
        <v>696</v>
      </c>
      <c r="I258" s="9">
        <f>PI()*0.25^2</f>
        <v>0.19634954084936207</v>
      </c>
      <c r="J258" s="9">
        <v>36</v>
      </c>
      <c r="K258" s="9">
        <v>39000</v>
      </c>
      <c r="L258" s="244">
        <f t="shared" ref="L258:L283" si="25">I258*J258/10000</f>
        <v>7.0685834705770342E-4</v>
      </c>
      <c r="M258" s="19">
        <f>1/24/60*1.6</f>
        <v>1.1111111111111111E-3</v>
      </c>
      <c r="N258" s="9">
        <f>365/12</f>
        <v>30.416666666666668</v>
      </c>
      <c r="O258" s="19">
        <f>M258*35</f>
        <v>3.888888888888889E-2</v>
      </c>
      <c r="P258" s="9">
        <f>365*3-28</f>
        <v>1067</v>
      </c>
      <c r="Q258" s="9">
        <v>0</v>
      </c>
      <c r="R258" s="9">
        <v>1</v>
      </c>
      <c r="S258" s="9">
        <v>2</v>
      </c>
      <c r="T258" s="9">
        <v>0</v>
      </c>
      <c r="U258" s="19"/>
      <c r="V258" s="19" t="s">
        <v>278</v>
      </c>
      <c r="W258" s="19" t="s">
        <v>697</v>
      </c>
    </row>
    <row r="259" spans="1:23">
      <c r="A259" s="243" t="s">
        <v>651</v>
      </c>
      <c r="B259" s="243" t="s">
        <v>651</v>
      </c>
      <c r="C259" s="9" t="s">
        <v>15</v>
      </c>
      <c r="D259" s="9" t="s">
        <v>698</v>
      </c>
      <c r="E259" s="246">
        <v>2004</v>
      </c>
      <c r="F259" s="9" t="s">
        <v>4</v>
      </c>
      <c r="G259" s="9" t="s">
        <v>661</v>
      </c>
      <c r="H259" s="9" t="s">
        <v>699</v>
      </c>
      <c r="I259" s="19">
        <f>PI()*7.32</f>
        <v>22.996458224277287</v>
      </c>
      <c r="J259" s="9">
        <v>750000</v>
      </c>
      <c r="K259" s="9">
        <v>390000000</v>
      </c>
      <c r="L259" s="244">
        <f t="shared" si="25"/>
        <v>1724.7343668207966</v>
      </c>
      <c r="M259" s="9">
        <v>1</v>
      </c>
      <c r="N259" s="19">
        <f>365*10</f>
        <v>3650</v>
      </c>
      <c r="O259" s="9">
        <v>2</v>
      </c>
      <c r="P259" s="19">
        <f>365*20</f>
        <v>7300</v>
      </c>
      <c r="Q259" s="9">
        <v>3</v>
      </c>
      <c r="R259" s="9">
        <v>2</v>
      </c>
      <c r="S259" s="9">
        <v>2</v>
      </c>
      <c r="T259" s="9">
        <v>1</v>
      </c>
      <c r="U259" s="15" t="str">
        <f>HYPERLINK("http://www.fia.fs.fed.us/library/fact-sheets/data-collections/Sampling%20and%20Plot%20Design.pdf","http://www.fia.fs.fed.us/library/fact-sheets/data-collections/Sampling%20and%20Plot%20Design.pdf")</f>
        <v>http://www.fia.fs.fed.us/library/fact-sheets/data-collections/Sampling%20and%20Plot%20Design.pdf</v>
      </c>
      <c r="V259" s="9" t="s">
        <v>279</v>
      </c>
      <c r="W259" s="9" t="s">
        <v>700</v>
      </c>
    </row>
    <row r="260" spans="1:23">
      <c r="A260" s="243" t="s">
        <v>651</v>
      </c>
      <c r="B260" s="243" t="s">
        <v>651</v>
      </c>
      <c r="C260" s="9" t="s">
        <v>701</v>
      </c>
      <c r="D260" s="9" t="s">
        <v>702</v>
      </c>
      <c r="E260" s="246">
        <v>2012</v>
      </c>
      <c r="F260" s="9" t="s">
        <v>4</v>
      </c>
      <c r="G260" s="9" t="s">
        <v>692</v>
      </c>
      <c r="H260" s="9" t="s">
        <v>703</v>
      </c>
      <c r="I260" s="19">
        <f>PI()*25*25</f>
        <v>1963.4954084936207</v>
      </c>
      <c r="J260" s="19">
        <f>6*33</f>
        <v>198</v>
      </c>
      <c r="K260" s="19">
        <v>820000</v>
      </c>
      <c r="L260" s="244">
        <f t="shared" si="25"/>
        <v>38.877209088173686</v>
      </c>
      <c r="M260" s="19">
        <f>1/24/3</f>
        <v>1.3888888888888888E-2</v>
      </c>
      <c r="N260" s="9">
        <v>0</v>
      </c>
      <c r="O260" s="19">
        <f>1/24/3</f>
        <v>1.3888888888888888E-2</v>
      </c>
      <c r="P260" s="297">
        <f t="shared" ref="P260:P268" si="26">O260</f>
        <v>1.3888888888888888E-2</v>
      </c>
      <c r="Q260" s="9">
        <v>3</v>
      </c>
      <c r="R260" s="9">
        <v>2</v>
      </c>
      <c r="S260" s="9">
        <v>2</v>
      </c>
      <c r="T260" s="9">
        <v>1</v>
      </c>
      <c r="U260" s="19"/>
      <c r="V260" s="19"/>
      <c r="W260" s="19"/>
    </row>
    <row r="261" spans="1:23">
      <c r="A261" s="243" t="s">
        <v>651</v>
      </c>
      <c r="B261" s="243" t="s">
        <v>651</v>
      </c>
      <c r="C261" s="9" t="s">
        <v>80</v>
      </c>
      <c r="D261" s="9" t="s">
        <v>704</v>
      </c>
      <c r="E261" s="246">
        <v>2013</v>
      </c>
      <c r="F261" s="9" t="s">
        <v>4</v>
      </c>
      <c r="G261" s="9" t="s">
        <v>291</v>
      </c>
      <c r="H261" s="9" t="s">
        <v>705</v>
      </c>
      <c r="I261" s="19">
        <f>0.25*0.25</f>
        <v>6.25E-2</v>
      </c>
      <c r="J261" s="9">
        <f>72*5</f>
        <v>360</v>
      </c>
      <c r="K261" s="9">
        <f t="shared" ref="K261:K264" si="27">11014.97*100</f>
        <v>1101497</v>
      </c>
      <c r="L261" s="29">
        <f t="shared" si="25"/>
        <v>2.2499999999999998E-3</v>
      </c>
      <c r="M261" s="19">
        <f>1/24/6</f>
        <v>6.9444444444444441E-3</v>
      </c>
      <c r="N261" s="9">
        <v>0</v>
      </c>
      <c r="O261" s="19">
        <f>1/24/6</f>
        <v>6.9444444444444441E-3</v>
      </c>
      <c r="P261" s="297">
        <f t="shared" si="26"/>
        <v>6.9444444444444441E-3</v>
      </c>
      <c r="Q261" s="9">
        <v>0</v>
      </c>
      <c r="R261" s="9">
        <v>1</v>
      </c>
      <c r="S261" s="9">
        <v>1</v>
      </c>
      <c r="T261" s="9">
        <v>1</v>
      </c>
      <c r="U261" s="19"/>
      <c r="V261" s="9" t="s">
        <v>308</v>
      </c>
      <c r="W261" s="9" t="s">
        <v>706</v>
      </c>
    </row>
    <row r="262" spans="1:23">
      <c r="A262" s="243" t="s">
        <v>651</v>
      </c>
      <c r="B262" s="243" t="s">
        <v>651</v>
      </c>
      <c r="C262" s="9" t="s">
        <v>80</v>
      </c>
      <c r="D262" s="9" t="s">
        <v>704</v>
      </c>
      <c r="E262" s="246">
        <v>2013</v>
      </c>
      <c r="F262" s="9" t="s">
        <v>4</v>
      </c>
      <c r="G262" s="9" t="s">
        <v>291</v>
      </c>
      <c r="H262" s="9" t="s">
        <v>707</v>
      </c>
      <c r="I262" s="9">
        <v>4</v>
      </c>
      <c r="J262" s="9">
        <f>72*3</f>
        <v>216</v>
      </c>
      <c r="K262" s="9">
        <f t="shared" si="27"/>
        <v>1101497</v>
      </c>
      <c r="L262" s="29">
        <f t="shared" si="25"/>
        <v>8.6400000000000005E-2</v>
      </c>
      <c r="M262" s="19">
        <f t="shared" ref="M262:M263" si="28">1/24</f>
        <v>4.1666666666666664E-2</v>
      </c>
      <c r="N262" s="9">
        <v>0</v>
      </c>
      <c r="O262" s="19">
        <f t="shared" ref="O262:O263" si="29">1/24</f>
        <v>4.1666666666666664E-2</v>
      </c>
      <c r="P262" s="297">
        <f t="shared" si="26"/>
        <v>4.1666666666666664E-2</v>
      </c>
      <c r="Q262" s="9">
        <v>3</v>
      </c>
      <c r="R262" s="9">
        <v>1</v>
      </c>
      <c r="S262" s="9">
        <v>1</v>
      </c>
      <c r="T262" s="9">
        <v>1</v>
      </c>
      <c r="U262" s="19"/>
      <c r="V262" s="9" t="s">
        <v>279</v>
      </c>
      <c r="W262" s="9" t="s">
        <v>708</v>
      </c>
    </row>
    <row r="263" spans="1:23">
      <c r="A263" s="243" t="s">
        <v>651</v>
      </c>
      <c r="B263" s="243" t="s">
        <v>651</v>
      </c>
      <c r="C263" s="9" t="s">
        <v>80</v>
      </c>
      <c r="D263" s="9" t="s">
        <v>704</v>
      </c>
      <c r="E263" s="246">
        <v>2013</v>
      </c>
      <c r="F263" s="9" t="s">
        <v>4</v>
      </c>
      <c r="G263" s="9" t="s">
        <v>291</v>
      </c>
      <c r="H263" s="9" t="s">
        <v>709</v>
      </c>
      <c r="I263" s="9">
        <v>4</v>
      </c>
      <c r="J263" s="9">
        <v>60</v>
      </c>
      <c r="K263" s="9">
        <f t="shared" si="27"/>
        <v>1101497</v>
      </c>
      <c r="L263" s="29">
        <f t="shared" si="25"/>
        <v>2.4E-2</v>
      </c>
      <c r="M263" s="19">
        <f t="shared" si="28"/>
        <v>4.1666666666666664E-2</v>
      </c>
      <c r="N263" s="9">
        <v>0</v>
      </c>
      <c r="O263" s="19">
        <f t="shared" si="29"/>
        <v>4.1666666666666664E-2</v>
      </c>
      <c r="P263" s="297">
        <f t="shared" si="26"/>
        <v>4.1666666666666664E-2</v>
      </c>
      <c r="Q263" s="9">
        <v>3</v>
      </c>
      <c r="R263" s="9">
        <v>1</v>
      </c>
      <c r="S263" s="9">
        <v>1</v>
      </c>
      <c r="T263" s="9">
        <v>1</v>
      </c>
      <c r="U263" s="19"/>
      <c r="V263" s="9" t="s">
        <v>279</v>
      </c>
      <c r="W263" s="9" t="s">
        <v>708</v>
      </c>
    </row>
    <row r="264" spans="1:23">
      <c r="A264" s="243" t="s">
        <v>651</v>
      </c>
      <c r="B264" s="243" t="s">
        <v>651</v>
      </c>
      <c r="C264" s="9" t="s">
        <v>80</v>
      </c>
      <c r="D264" s="9" t="s">
        <v>704</v>
      </c>
      <c r="E264" s="246">
        <v>2013</v>
      </c>
      <c r="F264" s="9" t="s">
        <v>4</v>
      </c>
      <c r="G264" s="9" t="s">
        <v>291</v>
      </c>
      <c r="H264" s="9" t="s">
        <v>707</v>
      </c>
      <c r="I264" s="9">
        <f>0.5*0.5</f>
        <v>0.25</v>
      </c>
      <c r="J264" s="9">
        <v>3920</v>
      </c>
      <c r="K264" s="9">
        <f t="shared" si="27"/>
        <v>1101497</v>
      </c>
      <c r="L264" s="29">
        <f t="shared" si="25"/>
        <v>9.8000000000000004E-2</v>
      </c>
      <c r="M264" s="19">
        <f t="shared" ref="M264:M265" si="30">1/24/4</f>
        <v>1.0416666666666666E-2</v>
      </c>
      <c r="N264" s="9">
        <v>0</v>
      </c>
      <c r="O264" s="19">
        <f t="shared" ref="O264:O265" si="31">1/24/4</f>
        <v>1.0416666666666666E-2</v>
      </c>
      <c r="P264" s="297">
        <f t="shared" si="26"/>
        <v>1.0416666666666666E-2</v>
      </c>
      <c r="Q264" s="9">
        <v>3</v>
      </c>
      <c r="R264" s="9">
        <v>0</v>
      </c>
      <c r="S264" s="9">
        <v>1</v>
      </c>
      <c r="T264" s="9">
        <v>3</v>
      </c>
      <c r="U264" s="19"/>
      <c r="V264" s="9" t="s">
        <v>710</v>
      </c>
      <c r="W264" s="9" t="s">
        <v>711</v>
      </c>
    </row>
    <row r="265" spans="1:23">
      <c r="A265" s="243" t="s">
        <v>651</v>
      </c>
      <c r="B265" s="243" t="s">
        <v>651</v>
      </c>
      <c r="C265" s="9" t="s">
        <v>2</v>
      </c>
      <c r="D265" s="9" t="s">
        <v>712</v>
      </c>
      <c r="E265" s="246">
        <v>2006</v>
      </c>
      <c r="F265" s="9" t="s">
        <v>4</v>
      </c>
      <c r="G265" s="9" t="s">
        <v>661</v>
      </c>
      <c r="H265" s="9" t="s">
        <v>713</v>
      </c>
      <c r="I265" s="9">
        <v>1</v>
      </c>
      <c r="J265" s="9">
        <v>340</v>
      </c>
      <c r="K265" s="9">
        <v>8000000</v>
      </c>
      <c r="L265" s="29">
        <f t="shared" si="25"/>
        <v>3.4000000000000002E-2</v>
      </c>
      <c r="M265" s="19">
        <f t="shared" si="30"/>
        <v>1.0416666666666666E-2</v>
      </c>
      <c r="N265" s="9">
        <v>0</v>
      </c>
      <c r="O265" s="19">
        <f t="shared" si="31"/>
        <v>1.0416666666666666E-2</v>
      </c>
      <c r="P265" s="297">
        <f t="shared" si="26"/>
        <v>1.0416666666666666E-2</v>
      </c>
      <c r="Q265" s="9">
        <v>3</v>
      </c>
      <c r="R265" s="9">
        <v>2</v>
      </c>
      <c r="S265" s="9">
        <v>1</v>
      </c>
      <c r="T265" s="9">
        <v>1</v>
      </c>
      <c r="U265" s="19"/>
      <c r="V265" s="9" t="s">
        <v>681</v>
      </c>
      <c r="W265" s="9" t="s">
        <v>714</v>
      </c>
    </row>
    <row r="266" spans="1:23">
      <c r="A266" s="243" t="s">
        <v>651</v>
      </c>
      <c r="B266" s="243" t="s">
        <v>651</v>
      </c>
      <c r="C266" s="9" t="s">
        <v>2</v>
      </c>
      <c r="D266" s="9" t="s">
        <v>712</v>
      </c>
      <c r="E266" s="246">
        <v>2006</v>
      </c>
      <c r="F266" s="9" t="s">
        <v>4</v>
      </c>
      <c r="G266" s="9" t="s">
        <v>661</v>
      </c>
      <c r="H266" s="9" t="s">
        <v>715</v>
      </c>
      <c r="I266" s="9">
        <v>1000</v>
      </c>
      <c r="J266" s="9">
        <v>34</v>
      </c>
      <c r="K266" s="9">
        <v>8000000</v>
      </c>
      <c r="L266" s="29">
        <f t="shared" si="25"/>
        <v>3.4</v>
      </c>
      <c r="M266" s="251">
        <f>1/8</f>
        <v>0.125</v>
      </c>
      <c r="N266" s="9">
        <v>0</v>
      </c>
      <c r="O266" s="9">
        <v>0.125</v>
      </c>
      <c r="P266" s="297">
        <f t="shared" si="26"/>
        <v>0.125</v>
      </c>
      <c r="Q266" s="9">
        <v>3</v>
      </c>
      <c r="R266" s="9">
        <v>0</v>
      </c>
      <c r="S266" s="9">
        <v>0</v>
      </c>
      <c r="T266" s="9">
        <v>1</v>
      </c>
      <c r="U266" s="19"/>
      <c r="V266" s="9" t="s">
        <v>681</v>
      </c>
      <c r="W266" s="9" t="s">
        <v>716</v>
      </c>
    </row>
    <row r="267" spans="1:23">
      <c r="A267" s="243" t="s">
        <v>651</v>
      </c>
      <c r="B267" s="243" t="s">
        <v>651</v>
      </c>
      <c r="C267" s="9" t="s">
        <v>80</v>
      </c>
      <c r="D267" s="9" t="s">
        <v>717</v>
      </c>
      <c r="E267" s="246">
        <v>2009</v>
      </c>
      <c r="F267" s="9" t="s">
        <v>4</v>
      </c>
      <c r="G267" s="9" t="s">
        <v>718</v>
      </c>
      <c r="H267" s="9" t="s">
        <v>719</v>
      </c>
      <c r="I267" s="9">
        <v>0.25</v>
      </c>
      <c r="J267" s="9">
        <v>2076</v>
      </c>
      <c r="K267" s="9">
        <f t="shared" ref="K267:K268" si="32">3200000*470/10000</f>
        <v>150400</v>
      </c>
      <c r="L267" s="29">
        <f t="shared" si="25"/>
        <v>5.1900000000000002E-2</v>
      </c>
      <c r="M267" s="19">
        <f>1/24/2</f>
        <v>2.0833333333333332E-2</v>
      </c>
      <c r="N267" s="9">
        <v>0</v>
      </c>
      <c r="O267" s="19">
        <f>1/24/2</f>
        <v>2.0833333333333332E-2</v>
      </c>
      <c r="P267" s="297">
        <f t="shared" si="26"/>
        <v>2.0833333333333332E-2</v>
      </c>
      <c r="Q267" s="9">
        <v>3</v>
      </c>
      <c r="R267" s="9">
        <v>1</v>
      </c>
      <c r="S267" s="9">
        <v>1</v>
      </c>
      <c r="T267" s="9">
        <v>1</v>
      </c>
      <c r="U267" s="19"/>
      <c r="V267" s="9" t="s">
        <v>720</v>
      </c>
      <c r="W267" s="9" t="s">
        <v>721</v>
      </c>
    </row>
    <row r="268" spans="1:23">
      <c r="A268" s="243" t="s">
        <v>651</v>
      </c>
      <c r="B268" s="243" t="s">
        <v>651</v>
      </c>
      <c r="C268" s="9" t="s">
        <v>80</v>
      </c>
      <c r="D268" s="9" t="s">
        <v>717</v>
      </c>
      <c r="E268" s="246">
        <v>2009</v>
      </c>
      <c r="F268" s="9" t="s">
        <v>4</v>
      </c>
      <c r="G268" s="9" t="s">
        <v>718</v>
      </c>
      <c r="H268" s="9" t="s">
        <v>719</v>
      </c>
      <c r="I268" s="19">
        <f>50*0.05</f>
        <v>2.5</v>
      </c>
      <c r="J268" s="9">
        <v>110</v>
      </c>
      <c r="K268" s="9">
        <f t="shared" si="32"/>
        <v>150400</v>
      </c>
      <c r="L268" s="29">
        <f t="shared" si="25"/>
        <v>2.75E-2</v>
      </c>
      <c r="M268" s="19">
        <f>1/24/12</f>
        <v>3.472222222222222E-3</v>
      </c>
      <c r="N268" s="9">
        <v>0</v>
      </c>
      <c r="O268" s="19">
        <f>1/24/12</f>
        <v>3.472222222222222E-3</v>
      </c>
      <c r="P268" s="297">
        <f t="shared" si="26"/>
        <v>3.472222222222222E-3</v>
      </c>
      <c r="Q268" s="9">
        <v>2</v>
      </c>
      <c r="R268" s="9">
        <v>1</v>
      </c>
      <c r="S268" s="9">
        <v>1</v>
      </c>
      <c r="T268" s="9">
        <v>1</v>
      </c>
      <c r="U268" s="19"/>
      <c r="V268" s="9" t="s">
        <v>722</v>
      </c>
      <c r="W268" s="9" t="s">
        <v>723</v>
      </c>
    </row>
    <row r="269" spans="1:23">
      <c r="A269" s="243" t="s">
        <v>651</v>
      </c>
      <c r="B269" s="243" t="s">
        <v>651</v>
      </c>
      <c r="C269" s="9" t="s">
        <v>724</v>
      </c>
      <c r="D269" s="9" t="s">
        <v>725</v>
      </c>
      <c r="E269" s="246">
        <v>2006</v>
      </c>
      <c r="F269" s="9" t="s">
        <v>4</v>
      </c>
      <c r="G269" s="9" t="s">
        <v>726</v>
      </c>
      <c r="H269" s="9" t="s">
        <v>727</v>
      </c>
      <c r="I269" s="9">
        <v>20</v>
      </c>
      <c r="J269" s="19">
        <f>56*3</f>
        <v>168</v>
      </c>
      <c r="K269" s="19">
        <f t="shared" ref="K269:K272" si="33">22*100</f>
        <v>2200</v>
      </c>
      <c r="L269" s="29">
        <f t="shared" si="25"/>
        <v>0.33600000000000002</v>
      </c>
      <c r="M269" s="19">
        <f>1/24/2</f>
        <v>2.0833333333333332E-2</v>
      </c>
      <c r="N269" s="9">
        <v>30</v>
      </c>
      <c r="O269" s="19">
        <f>M269*6</f>
        <v>0.125</v>
      </c>
      <c r="P269" s="19">
        <f>7*30</f>
        <v>210</v>
      </c>
      <c r="Q269" s="9">
        <v>3</v>
      </c>
      <c r="R269" s="9">
        <v>2</v>
      </c>
      <c r="S269" s="9">
        <v>1</v>
      </c>
      <c r="T269" s="9">
        <v>2</v>
      </c>
      <c r="U269" s="19"/>
      <c r="V269" s="9" t="s">
        <v>327</v>
      </c>
      <c r="W269" s="9" t="s">
        <v>728</v>
      </c>
    </row>
    <row r="270" spans="1:23">
      <c r="A270" s="243" t="s">
        <v>651</v>
      </c>
      <c r="B270" s="243" t="s">
        <v>651</v>
      </c>
      <c r="C270" s="9" t="s">
        <v>724</v>
      </c>
      <c r="D270" s="9" t="s">
        <v>725</v>
      </c>
      <c r="E270" s="246">
        <v>2006</v>
      </c>
      <c r="F270" s="9" t="s">
        <v>4</v>
      </c>
      <c r="G270" s="9" t="s">
        <v>726</v>
      </c>
      <c r="H270" s="9" t="s">
        <v>727</v>
      </c>
      <c r="I270" s="9">
        <f>PI()*0.05*0.05</f>
        <v>7.8539816339744835E-3</v>
      </c>
      <c r="J270" s="19">
        <f>3*56</f>
        <v>168</v>
      </c>
      <c r="K270" s="19">
        <f t="shared" si="33"/>
        <v>2200</v>
      </c>
      <c r="L270" s="29">
        <f t="shared" si="25"/>
        <v>1.3194689145077133E-4</v>
      </c>
      <c r="M270" s="9">
        <v>4</v>
      </c>
      <c r="N270" s="19">
        <f>1/24/6</f>
        <v>6.9444444444444441E-3</v>
      </c>
      <c r="O270" s="9">
        <v>180</v>
      </c>
      <c r="P270" s="9">
        <v>210</v>
      </c>
      <c r="Q270" s="9">
        <v>3</v>
      </c>
      <c r="R270" s="9">
        <v>2</v>
      </c>
      <c r="S270" s="9">
        <v>1</v>
      </c>
      <c r="T270" s="9">
        <v>1</v>
      </c>
      <c r="U270" s="19"/>
      <c r="V270" s="9" t="s">
        <v>276</v>
      </c>
      <c r="W270" s="9" t="s">
        <v>729</v>
      </c>
    </row>
    <row r="271" spans="1:23">
      <c r="A271" s="243" t="s">
        <v>651</v>
      </c>
      <c r="B271" s="243" t="s">
        <v>651</v>
      </c>
      <c r="C271" s="9" t="s">
        <v>724</v>
      </c>
      <c r="D271" s="9" t="s">
        <v>725</v>
      </c>
      <c r="E271" s="246">
        <v>2006</v>
      </c>
      <c r="F271" s="9" t="s">
        <v>4</v>
      </c>
      <c r="G271" s="9" t="s">
        <v>726</v>
      </c>
      <c r="H271" s="9" t="s">
        <v>730</v>
      </c>
      <c r="I271" s="9">
        <f>625/10000</f>
        <v>6.25E-2</v>
      </c>
      <c r="J271" s="19">
        <f>9*56</f>
        <v>504</v>
      </c>
      <c r="K271" s="19">
        <f t="shared" si="33"/>
        <v>2200</v>
      </c>
      <c r="L271" s="29">
        <f t="shared" si="25"/>
        <v>3.15E-3</v>
      </c>
      <c r="M271" s="19">
        <f>1/24/6</f>
        <v>6.9444444444444441E-3</v>
      </c>
      <c r="N271" s="9">
        <v>30</v>
      </c>
      <c r="O271" s="19">
        <f t="shared" ref="O271:O272" si="34">M271*6</f>
        <v>4.1666666666666664E-2</v>
      </c>
      <c r="P271" s="9">
        <v>210</v>
      </c>
      <c r="Q271" s="9">
        <v>2</v>
      </c>
      <c r="R271" s="9">
        <v>2</v>
      </c>
      <c r="S271" s="9">
        <v>1</v>
      </c>
      <c r="T271" s="9">
        <v>1</v>
      </c>
      <c r="U271" s="19"/>
      <c r="V271" s="9" t="s">
        <v>279</v>
      </c>
      <c r="W271" s="9" t="s">
        <v>731</v>
      </c>
    </row>
    <row r="272" spans="1:23">
      <c r="A272" s="243" t="s">
        <v>651</v>
      </c>
      <c r="B272" s="243" t="s">
        <v>651</v>
      </c>
      <c r="C272" s="9" t="s">
        <v>724</v>
      </c>
      <c r="D272" s="9" t="s">
        <v>725</v>
      </c>
      <c r="E272" s="246">
        <v>2006</v>
      </c>
      <c r="F272" s="9" t="s">
        <v>4</v>
      </c>
      <c r="G272" s="9" t="s">
        <v>726</v>
      </c>
      <c r="H272" s="9" t="s">
        <v>732</v>
      </c>
      <c r="I272" s="9">
        <f>0.01*0.03</f>
        <v>2.9999999999999997E-4</v>
      </c>
      <c r="J272" s="19">
        <f>5*3*56</f>
        <v>840</v>
      </c>
      <c r="K272" s="19">
        <f t="shared" si="33"/>
        <v>2200</v>
      </c>
      <c r="L272" s="29">
        <f t="shared" si="25"/>
        <v>2.5199999999999999E-5</v>
      </c>
      <c r="M272" s="19">
        <f>1/24/60</f>
        <v>6.9444444444444436E-4</v>
      </c>
      <c r="N272" s="9">
        <v>30</v>
      </c>
      <c r="O272" s="19">
        <f t="shared" si="34"/>
        <v>4.1666666666666657E-3</v>
      </c>
      <c r="P272" s="9">
        <v>210</v>
      </c>
      <c r="Q272" s="9">
        <v>0</v>
      </c>
      <c r="R272" s="9">
        <v>1</v>
      </c>
      <c r="S272" s="9">
        <v>1</v>
      </c>
      <c r="T272" s="9">
        <v>0</v>
      </c>
      <c r="U272" s="19"/>
      <c r="V272" s="9" t="s">
        <v>710</v>
      </c>
      <c r="W272" s="9" t="s">
        <v>733</v>
      </c>
    </row>
    <row r="273" spans="1:23">
      <c r="A273" s="243" t="s">
        <v>651</v>
      </c>
      <c r="B273" s="243" t="s">
        <v>651</v>
      </c>
      <c r="C273" s="9" t="s">
        <v>87</v>
      </c>
      <c r="D273" s="9" t="s">
        <v>734</v>
      </c>
      <c r="E273" s="246">
        <v>2012</v>
      </c>
      <c r="F273" s="9" t="s">
        <v>55</v>
      </c>
      <c r="G273" s="9" t="s">
        <v>142</v>
      </c>
      <c r="H273" s="9" t="s">
        <v>735</v>
      </c>
      <c r="I273" s="19">
        <f>8000*8000</f>
        <v>64000000</v>
      </c>
      <c r="J273" s="9">
        <v>1000</v>
      </c>
      <c r="K273" s="9">
        <v>6400000</v>
      </c>
      <c r="L273" s="252">
        <f t="shared" si="25"/>
        <v>6400000</v>
      </c>
      <c r="M273" s="249">
        <f>1/60/60/24*14</f>
        <v>1.6203703703703703E-4</v>
      </c>
      <c r="N273" s="9">
        <v>14</v>
      </c>
      <c r="O273" s="249">
        <f>24*(365/14)*M273</f>
        <v>0.1013888888888889</v>
      </c>
      <c r="P273" s="9">
        <v>8760</v>
      </c>
      <c r="Q273" s="9">
        <v>0</v>
      </c>
      <c r="R273" s="9">
        <v>0</v>
      </c>
      <c r="S273" s="9">
        <v>1</v>
      </c>
      <c r="T273" s="9">
        <v>0</v>
      </c>
      <c r="U273" s="15" t="str">
        <f>HYPERLINK("http://phenology.cr.usgs.gov/ndvi_avhrr.php","http://phenology.cr.usgs.gov/ndvi_avhrr.php")</f>
        <v>http://phenology.cr.usgs.gov/ndvi_avhrr.php</v>
      </c>
      <c r="V273" s="19"/>
      <c r="W273" s="9" t="s">
        <v>736</v>
      </c>
    </row>
    <row r="274" spans="1:23">
      <c r="A274" s="243" t="s">
        <v>651</v>
      </c>
      <c r="B274" s="243" t="s">
        <v>651</v>
      </c>
      <c r="C274" s="9" t="s">
        <v>2</v>
      </c>
      <c r="D274" s="9" t="s">
        <v>737</v>
      </c>
      <c r="E274" s="246">
        <v>2014</v>
      </c>
      <c r="F274" s="9" t="s">
        <v>4</v>
      </c>
      <c r="G274" s="9" t="s">
        <v>738</v>
      </c>
      <c r="H274" s="9" t="s">
        <v>739</v>
      </c>
      <c r="I274" s="9">
        <v>0.04</v>
      </c>
      <c r="J274" s="9">
        <v>246</v>
      </c>
      <c r="K274" s="9">
        <v>246</v>
      </c>
      <c r="L274" s="29">
        <f t="shared" si="25"/>
        <v>9.8400000000000007E-4</v>
      </c>
      <c r="M274" s="19">
        <f>1/24/3</f>
        <v>1.3888888888888888E-2</v>
      </c>
      <c r="N274" s="9">
        <v>0</v>
      </c>
      <c r="O274" s="19">
        <f>M274</f>
        <v>1.3888888888888888E-2</v>
      </c>
      <c r="P274" s="297">
        <f>O274</f>
        <v>1.3888888888888888E-2</v>
      </c>
      <c r="Q274" s="9">
        <v>3</v>
      </c>
      <c r="R274" s="9">
        <v>2</v>
      </c>
      <c r="S274" s="9">
        <v>0</v>
      </c>
      <c r="T274" s="9">
        <v>1</v>
      </c>
      <c r="U274" s="19"/>
      <c r="V274" s="9" t="s">
        <v>740</v>
      </c>
      <c r="W274" s="9" t="s">
        <v>741</v>
      </c>
    </row>
    <row r="275" spans="1:23">
      <c r="A275" s="243" t="s">
        <v>651</v>
      </c>
      <c r="B275" s="243" t="s">
        <v>651</v>
      </c>
      <c r="C275" s="9" t="s">
        <v>27</v>
      </c>
      <c r="D275" s="9" t="s">
        <v>742</v>
      </c>
      <c r="E275" s="246">
        <v>2013</v>
      </c>
      <c r="F275" s="9" t="s">
        <v>4</v>
      </c>
      <c r="G275" s="9" t="s">
        <v>657</v>
      </c>
      <c r="H275" s="9" t="s">
        <v>743</v>
      </c>
      <c r="I275" s="9">
        <v>4900</v>
      </c>
      <c r="J275" s="9">
        <v>2</v>
      </c>
      <c r="K275" s="297">
        <v>0.98</v>
      </c>
      <c r="L275" s="29">
        <f t="shared" si="25"/>
        <v>0.98</v>
      </c>
      <c r="M275" s="9">
        <v>5</v>
      </c>
      <c r="N275" s="9">
        <v>730</v>
      </c>
      <c r="O275" s="9">
        <v>20</v>
      </c>
      <c r="P275" s="19">
        <f>6*365+1</f>
        <v>2191</v>
      </c>
      <c r="Q275" s="9">
        <v>3</v>
      </c>
      <c r="R275" s="9">
        <v>2</v>
      </c>
      <c r="S275" s="9">
        <v>2</v>
      </c>
      <c r="T275" s="9">
        <v>1</v>
      </c>
      <c r="U275" s="19"/>
      <c r="V275" s="9" t="s">
        <v>279</v>
      </c>
      <c r="W275" s="9" t="s">
        <v>744</v>
      </c>
    </row>
    <row r="276" spans="1:23">
      <c r="A276" s="243" t="s">
        <v>651</v>
      </c>
      <c r="B276" s="243" t="s">
        <v>651</v>
      </c>
      <c r="C276" s="9" t="s">
        <v>27</v>
      </c>
      <c r="D276" s="9" t="s">
        <v>742</v>
      </c>
      <c r="E276" s="246">
        <v>2013</v>
      </c>
      <c r="F276" s="9" t="s">
        <v>4</v>
      </c>
      <c r="G276" s="9" t="s">
        <v>657</v>
      </c>
      <c r="H276" s="9" t="s">
        <v>745</v>
      </c>
      <c r="I276" s="19">
        <f>0.05*0.05</f>
        <v>2.5000000000000005E-3</v>
      </c>
      <c r="J276" s="9">
        <v>42</v>
      </c>
      <c r="K276" s="9">
        <v>0.49</v>
      </c>
      <c r="L276" s="29">
        <f t="shared" si="25"/>
        <v>1.0500000000000003E-5</v>
      </c>
      <c r="M276" s="19">
        <f>1/24/30</f>
        <v>1.3888888888888887E-3</v>
      </c>
      <c r="N276" s="9">
        <v>6</v>
      </c>
      <c r="O276" s="19">
        <f>13*M276</f>
        <v>1.8055555555555554E-2</v>
      </c>
      <c r="P276" s="9">
        <v>79</v>
      </c>
      <c r="Q276" s="9">
        <v>3</v>
      </c>
      <c r="R276" s="9">
        <v>3</v>
      </c>
      <c r="S276" s="9">
        <v>1</v>
      </c>
      <c r="T276" s="9">
        <v>1</v>
      </c>
      <c r="U276" s="19"/>
      <c r="V276" s="9" t="s">
        <v>276</v>
      </c>
      <c r="W276" s="9" t="s">
        <v>746</v>
      </c>
    </row>
    <row r="277" spans="1:23">
      <c r="A277" s="243" t="s">
        <v>651</v>
      </c>
      <c r="B277" s="243" t="s">
        <v>651</v>
      </c>
      <c r="C277" s="9" t="s">
        <v>27</v>
      </c>
      <c r="D277" s="9" t="s">
        <v>742</v>
      </c>
      <c r="E277" s="246">
        <v>2013</v>
      </c>
      <c r="F277" s="9" t="s">
        <v>4</v>
      </c>
      <c r="G277" s="9" t="s">
        <v>657</v>
      </c>
      <c r="H277" s="9" t="s">
        <v>745</v>
      </c>
      <c r="I277" s="9">
        <v>0.5</v>
      </c>
      <c r="J277" s="9">
        <v>42</v>
      </c>
      <c r="K277" s="9">
        <v>0.49</v>
      </c>
      <c r="L277" s="29">
        <f t="shared" si="25"/>
        <v>2.0999999999999999E-3</v>
      </c>
      <c r="M277" s="9">
        <v>3</v>
      </c>
      <c r="N277" s="9">
        <v>0</v>
      </c>
      <c r="O277" s="9">
        <v>3</v>
      </c>
      <c r="P277" s="298">
        <v>3</v>
      </c>
      <c r="Q277" s="9">
        <v>3</v>
      </c>
      <c r="R277" s="9">
        <v>3</v>
      </c>
      <c r="S277" s="9">
        <v>2</v>
      </c>
      <c r="T277" s="9">
        <v>1</v>
      </c>
      <c r="U277" s="19"/>
      <c r="V277" s="9" t="s">
        <v>747</v>
      </c>
      <c r="W277" s="9" t="s">
        <v>748</v>
      </c>
    </row>
    <row r="278" spans="1:23">
      <c r="A278" s="243" t="s">
        <v>651</v>
      </c>
      <c r="B278" s="243" t="s">
        <v>651</v>
      </c>
      <c r="C278" s="9" t="s">
        <v>27</v>
      </c>
      <c r="D278" s="9" t="s">
        <v>742</v>
      </c>
      <c r="E278" s="246">
        <v>2013</v>
      </c>
      <c r="F278" s="9" t="s">
        <v>4</v>
      </c>
      <c r="G278" s="9" t="s">
        <v>657</v>
      </c>
      <c r="H278" s="9" t="s">
        <v>749</v>
      </c>
      <c r="I278" s="19">
        <f>0.01*0.01</f>
        <v>1E-4</v>
      </c>
      <c r="J278" s="19">
        <f>42*3</f>
        <v>126</v>
      </c>
      <c r="K278" s="9">
        <v>0.49</v>
      </c>
      <c r="L278" s="29">
        <f t="shared" si="25"/>
        <v>1.26E-6</v>
      </c>
      <c r="M278" s="9">
        <v>1</v>
      </c>
      <c r="N278" s="9">
        <v>0</v>
      </c>
      <c r="O278" s="9">
        <v>1</v>
      </c>
      <c r="P278" s="9">
        <v>1</v>
      </c>
      <c r="Q278" s="9">
        <v>3</v>
      </c>
      <c r="R278" s="9">
        <v>3</v>
      </c>
      <c r="S278" s="9">
        <v>2</v>
      </c>
      <c r="T278" s="9">
        <v>1</v>
      </c>
      <c r="U278" s="19"/>
      <c r="V278" s="9" t="s">
        <v>747</v>
      </c>
      <c r="W278" s="9" t="s">
        <v>750</v>
      </c>
    </row>
    <row r="279" spans="1:23">
      <c r="A279" s="243" t="s">
        <v>651</v>
      </c>
      <c r="B279" s="243" t="s">
        <v>651</v>
      </c>
      <c r="C279" s="9" t="s">
        <v>27</v>
      </c>
      <c r="D279" s="9" t="s">
        <v>742</v>
      </c>
      <c r="E279" s="246">
        <v>2013</v>
      </c>
      <c r="F279" s="249" t="s">
        <v>490</v>
      </c>
      <c r="G279" s="9" t="s">
        <v>657</v>
      </c>
      <c r="H279" s="9" t="s">
        <v>751</v>
      </c>
      <c r="I279" s="9">
        <v>0.01</v>
      </c>
      <c r="J279" s="9">
        <v>1</v>
      </c>
      <c r="K279" s="9">
        <v>0.01</v>
      </c>
      <c r="L279" s="29">
        <f t="shared" si="25"/>
        <v>9.9999999999999995E-7</v>
      </c>
      <c r="M279" s="249">
        <f>(1/60/60/24*30)*((24*60)/30*7)</f>
        <v>0.11666666666666665</v>
      </c>
      <c r="N279" s="249">
        <f>7</f>
        <v>7</v>
      </c>
      <c r="O279" s="249">
        <f>(31*4+30*2)/7*M279</f>
        <v>3.0666666666666664</v>
      </c>
      <c r="P279" s="298">
        <v>184</v>
      </c>
      <c r="Q279" s="9">
        <v>0</v>
      </c>
      <c r="R279" s="9">
        <v>0</v>
      </c>
      <c r="S279" s="9">
        <v>1</v>
      </c>
      <c r="T279" s="9">
        <v>0</v>
      </c>
      <c r="U279" s="9" t="s">
        <v>752</v>
      </c>
      <c r="V279" s="9" t="s">
        <v>276</v>
      </c>
      <c r="W279" s="9" t="s">
        <v>753</v>
      </c>
    </row>
    <row r="280" spans="1:23">
      <c r="A280" s="243" t="s">
        <v>651</v>
      </c>
      <c r="B280" s="243" t="s">
        <v>651</v>
      </c>
      <c r="C280" s="9" t="s">
        <v>27</v>
      </c>
      <c r="D280" s="9" t="s">
        <v>742</v>
      </c>
      <c r="E280" s="246">
        <v>2013</v>
      </c>
      <c r="F280" s="9" t="s">
        <v>4</v>
      </c>
      <c r="G280" s="9" t="s">
        <v>657</v>
      </c>
      <c r="H280" s="9" t="s">
        <v>754</v>
      </c>
      <c r="I280" s="19">
        <f t="shared" ref="I280:I281" si="35">0.01*0.01</f>
        <v>1E-4</v>
      </c>
      <c r="J280" s="19">
        <f>42*4</f>
        <v>168</v>
      </c>
      <c r="K280" s="9">
        <v>0.49</v>
      </c>
      <c r="L280" s="29">
        <f t="shared" si="25"/>
        <v>1.6800000000000002E-6</v>
      </c>
      <c r="M280" s="19">
        <f>1/24/60</f>
        <v>6.9444444444444436E-4</v>
      </c>
      <c r="N280" s="9">
        <v>0</v>
      </c>
      <c r="O280" s="19">
        <f>M280</f>
        <v>6.9444444444444436E-4</v>
      </c>
      <c r="P280" s="297">
        <f>O280</f>
        <v>6.9444444444444436E-4</v>
      </c>
      <c r="Q280" s="9">
        <v>3</v>
      </c>
      <c r="R280" s="9">
        <v>3</v>
      </c>
      <c r="S280" s="9">
        <v>1</v>
      </c>
      <c r="T280" s="9">
        <v>1</v>
      </c>
      <c r="U280" s="19"/>
      <c r="V280" s="9" t="s">
        <v>747</v>
      </c>
      <c r="W280" s="19"/>
    </row>
    <row r="281" spans="1:23">
      <c r="A281" s="243" t="s">
        <v>651</v>
      </c>
      <c r="B281" s="243" t="s">
        <v>651</v>
      </c>
      <c r="C281" s="9" t="s">
        <v>27</v>
      </c>
      <c r="D281" s="9" t="s">
        <v>742</v>
      </c>
      <c r="E281" s="246">
        <v>2013</v>
      </c>
      <c r="F281" s="9" t="s">
        <v>63</v>
      </c>
      <c r="G281" s="9" t="s">
        <v>657</v>
      </c>
      <c r="H281" s="9" t="s">
        <v>86</v>
      </c>
      <c r="I281" s="19">
        <f t="shared" si="35"/>
        <v>1E-4</v>
      </c>
      <c r="J281" s="9">
        <v>1</v>
      </c>
      <c r="K281" s="19">
        <f>0.01*0.01/10000</f>
        <v>1E-8</v>
      </c>
      <c r="L281" s="29">
        <f t="shared" si="25"/>
        <v>1E-8</v>
      </c>
      <c r="M281" s="249">
        <v>7</v>
      </c>
      <c r="N281" s="249">
        <v>7</v>
      </c>
      <c r="O281" s="249">
        <f>(31*4+30*2)/7*M281-13</f>
        <v>171</v>
      </c>
      <c r="P281" s="298">
        <v>184</v>
      </c>
      <c r="Q281" s="9">
        <v>0</v>
      </c>
      <c r="R281" s="9">
        <v>3</v>
      </c>
      <c r="S281" s="9">
        <v>1</v>
      </c>
      <c r="T281" s="9">
        <v>0</v>
      </c>
      <c r="U281" s="19"/>
      <c r="V281" s="9" t="s">
        <v>276</v>
      </c>
      <c r="W281" s="19"/>
    </row>
    <row r="282" spans="1:23">
      <c r="A282" s="243" t="s">
        <v>651</v>
      </c>
      <c r="B282" s="243" t="s">
        <v>651</v>
      </c>
      <c r="C282" s="9" t="s">
        <v>27</v>
      </c>
      <c r="D282" s="9" t="s">
        <v>742</v>
      </c>
      <c r="E282" s="246">
        <v>2013</v>
      </c>
      <c r="F282" s="9" t="s">
        <v>63</v>
      </c>
      <c r="G282" s="9" t="s">
        <v>657</v>
      </c>
      <c r="H282" s="9" t="s">
        <v>745</v>
      </c>
      <c r="I282" s="9">
        <f>6.25*10000</f>
        <v>62500</v>
      </c>
      <c r="J282" s="9">
        <v>1</v>
      </c>
      <c r="K282" s="9">
        <f>62500/10000</f>
        <v>6.25</v>
      </c>
      <c r="L282" s="29">
        <f t="shared" si="25"/>
        <v>6.25</v>
      </c>
      <c r="M282" s="9">
        <v>1</v>
      </c>
      <c r="N282" s="9">
        <v>30</v>
      </c>
      <c r="O282" s="253">
        <f>12*20</f>
        <v>240</v>
      </c>
      <c r="P282" s="19">
        <f>20*365.25</f>
        <v>7305</v>
      </c>
      <c r="Q282" s="9">
        <v>3</v>
      </c>
      <c r="R282" s="9">
        <v>2</v>
      </c>
      <c r="S282" s="9">
        <v>2</v>
      </c>
      <c r="T282" s="9">
        <v>1</v>
      </c>
      <c r="U282" s="19"/>
      <c r="V282" s="19"/>
      <c r="W282" s="19"/>
    </row>
    <row r="283" spans="1:23">
      <c r="A283" s="243" t="s">
        <v>651</v>
      </c>
      <c r="B283" s="243" t="s">
        <v>651</v>
      </c>
      <c r="C283" s="9" t="s">
        <v>161</v>
      </c>
      <c r="D283" s="9" t="s">
        <v>755</v>
      </c>
      <c r="E283" s="246">
        <v>2012</v>
      </c>
      <c r="F283" s="9" t="s">
        <v>4</v>
      </c>
      <c r="G283" s="9" t="s">
        <v>756</v>
      </c>
      <c r="H283" s="9" t="s">
        <v>757</v>
      </c>
      <c r="I283" s="19">
        <f>PI()*0.25*0.25</f>
        <v>0.19634954084936207</v>
      </c>
      <c r="J283" s="9">
        <v>20497</v>
      </c>
      <c r="K283" s="9">
        <f t="shared" ref="K283:K284" si="36">452000000+6000000+12000000+13000000</f>
        <v>483000000</v>
      </c>
      <c r="L283" s="29">
        <f t="shared" si="25"/>
        <v>0.40245765387893745</v>
      </c>
      <c r="M283" s="19">
        <f>1/24/60</f>
        <v>6.9444444444444436E-4</v>
      </c>
      <c r="N283" s="9">
        <v>0</v>
      </c>
      <c r="O283" s="19">
        <f>M283</f>
        <v>6.9444444444444436E-4</v>
      </c>
      <c r="P283" s="297">
        <f t="shared" ref="P283:P285" si="37">O283</f>
        <v>6.9444444444444436E-4</v>
      </c>
      <c r="Q283" s="9">
        <v>3</v>
      </c>
      <c r="R283" s="9">
        <v>2</v>
      </c>
      <c r="S283" s="9">
        <v>1</v>
      </c>
      <c r="T283" s="9">
        <v>1</v>
      </c>
      <c r="U283" s="19"/>
      <c r="V283" s="9" t="s">
        <v>720</v>
      </c>
      <c r="W283" s="9" t="s">
        <v>758</v>
      </c>
    </row>
    <row r="284" spans="1:23">
      <c r="A284" s="243" t="s">
        <v>651</v>
      </c>
      <c r="B284" s="243" t="s">
        <v>651</v>
      </c>
      <c r="C284" s="9" t="s">
        <v>161</v>
      </c>
      <c r="D284" s="9" t="s">
        <v>755</v>
      </c>
      <c r="E284" s="246">
        <v>2012</v>
      </c>
      <c r="F284" s="9" t="s">
        <v>4</v>
      </c>
      <c r="G284" s="9" t="s">
        <v>756</v>
      </c>
      <c r="H284" s="9" t="s">
        <v>757</v>
      </c>
      <c r="I284" s="9">
        <f>2*10000</f>
        <v>20000</v>
      </c>
      <c r="J284" s="9">
        <v>104</v>
      </c>
      <c r="K284" s="9">
        <f t="shared" si="36"/>
        <v>483000000</v>
      </c>
      <c r="L284" s="29">
        <f>J284*I284/10000</f>
        <v>208</v>
      </c>
      <c r="M284" s="9">
        <v>20</v>
      </c>
      <c r="N284" s="9">
        <v>0</v>
      </c>
      <c r="O284" s="9">
        <v>20</v>
      </c>
      <c r="P284" s="297">
        <f t="shared" si="37"/>
        <v>20</v>
      </c>
      <c r="Q284" s="9">
        <v>3</v>
      </c>
      <c r="R284" s="9">
        <v>2</v>
      </c>
      <c r="S284" s="9">
        <v>1</v>
      </c>
      <c r="T284" s="9">
        <v>1</v>
      </c>
      <c r="U284" s="19"/>
      <c r="V284" s="9" t="s">
        <v>722</v>
      </c>
      <c r="W284" s="9" t="s">
        <v>759</v>
      </c>
    </row>
    <row r="285" spans="1:23">
      <c r="A285" s="243" t="s">
        <v>651</v>
      </c>
      <c r="B285" s="243" t="s">
        <v>651</v>
      </c>
      <c r="C285" s="9" t="s">
        <v>65</v>
      </c>
      <c r="D285" s="247" t="s">
        <v>760</v>
      </c>
      <c r="E285" s="246">
        <v>2007</v>
      </c>
      <c r="F285" s="9" t="s">
        <v>4</v>
      </c>
      <c r="G285" s="9" t="s">
        <v>761</v>
      </c>
      <c r="H285" s="9" t="s">
        <v>762</v>
      </c>
      <c r="I285" s="9">
        <v>9</v>
      </c>
      <c r="J285" s="9">
        <v>10</v>
      </c>
      <c r="K285" s="9">
        <f t="shared" ref="K285:K287" si="38">20*338.24*5/10000</f>
        <v>3.3824000000000001</v>
      </c>
      <c r="L285" s="29">
        <f t="shared" ref="L285:L287" si="39">I285*J285/10000</f>
        <v>8.9999999999999993E-3</v>
      </c>
      <c r="M285" s="19">
        <f>1/24</f>
        <v>4.1666666666666664E-2</v>
      </c>
      <c r="N285" s="9">
        <v>0</v>
      </c>
      <c r="O285" s="19">
        <f>M285</f>
        <v>4.1666666666666664E-2</v>
      </c>
      <c r="P285" s="297">
        <f t="shared" si="37"/>
        <v>4.1666666666666664E-2</v>
      </c>
      <c r="Q285" s="9">
        <v>3</v>
      </c>
      <c r="R285" s="9">
        <v>1</v>
      </c>
      <c r="S285" s="9">
        <v>0</v>
      </c>
      <c r="T285" s="9">
        <v>1</v>
      </c>
      <c r="U285" s="19"/>
      <c r="V285" s="9" t="s">
        <v>308</v>
      </c>
      <c r="W285" s="19" t="s">
        <v>763</v>
      </c>
    </row>
    <row r="286" spans="1:23">
      <c r="A286" s="243" t="s">
        <v>651</v>
      </c>
      <c r="B286" s="243" t="s">
        <v>651</v>
      </c>
      <c r="C286" s="9" t="s">
        <v>65</v>
      </c>
      <c r="D286" s="247" t="s">
        <v>760</v>
      </c>
      <c r="E286" s="246">
        <v>2007</v>
      </c>
      <c r="F286" s="9" t="s">
        <v>4</v>
      </c>
      <c r="G286" s="9" t="s">
        <v>761</v>
      </c>
      <c r="H286" s="9" t="s">
        <v>764</v>
      </c>
      <c r="I286" s="9">
        <v>100</v>
      </c>
      <c r="J286" s="9">
        <v>10</v>
      </c>
      <c r="K286" s="9">
        <f t="shared" si="38"/>
        <v>3.3824000000000001</v>
      </c>
      <c r="L286" s="29">
        <f t="shared" si="39"/>
        <v>0.1</v>
      </c>
      <c r="M286" s="9">
        <f>1/24/3</f>
        <v>1.3888888888888888E-2</v>
      </c>
      <c r="N286" s="9">
        <v>40</v>
      </c>
      <c r="O286" s="9">
        <f>3*M286</f>
        <v>4.1666666666666664E-2</v>
      </c>
      <c r="P286" s="9">
        <v>123</v>
      </c>
      <c r="Q286" s="9">
        <v>3</v>
      </c>
      <c r="R286" s="9">
        <v>1</v>
      </c>
      <c r="S286" s="9">
        <v>1</v>
      </c>
      <c r="T286" s="9">
        <v>2</v>
      </c>
      <c r="U286" s="19"/>
      <c r="V286" s="9" t="s">
        <v>278</v>
      </c>
      <c r="W286" s="19" t="s">
        <v>765</v>
      </c>
    </row>
    <row r="287" spans="1:23">
      <c r="A287" s="243" t="s">
        <v>651</v>
      </c>
      <c r="B287" s="243" t="s">
        <v>651</v>
      </c>
      <c r="C287" s="9" t="s">
        <v>65</v>
      </c>
      <c r="D287" s="247" t="s">
        <v>760</v>
      </c>
      <c r="E287" s="246">
        <v>2007</v>
      </c>
      <c r="F287" s="9" t="s">
        <v>4</v>
      </c>
      <c r="G287" s="9" t="s">
        <v>761</v>
      </c>
      <c r="H287" s="9" t="s">
        <v>764</v>
      </c>
      <c r="I287" s="9">
        <f>PI()*0.035*0.035</f>
        <v>3.8484510006474974E-3</v>
      </c>
      <c r="J287" s="9">
        <v>60</v>
      </c>
      <c r="K287" s="9">
        <f t="shared" si="38"/>
        <v>3.3824000000000001</v>
      </c>
      <c r="L287" s="29">
        <f t="shared" si="39"/>
        <v>2.3090706003884983E-5</v>
      </c>
      <c r="M287" s="9">
        <v>7</v>
      </c>
      <c r="N287" s="9">
        <v>33</v>
      </c>
      <c r="O287" s="9">
        <v>28</v>
      </c>
      <c r="P287" s="9">
        <v>123</v>
      </c>
      <c r="Q287" s="9">
        <v>3</v>
      </c>
      <c r="R287" s="9">
        <v>1</v>
      </c>
      <c r="S287" s="9">
        <v>1</v>
      </c>
      <c r="T287" s="9">
        <v>1</v>
      </c>
      <c r="U287" s="19"/>
      <c r="V287" s="9" t="s">
        <v>294</v>
      </c>
      <c r="W287" s="9" t="s">
        <v>766</v>
      </c>
    </row>
    <row r="288" spans="1:23">
      <c r="A288" s="254" t="s">
        <v>767</v>
      </c>
      <c r="B288" s="243" t="s">
        <v>651</v>
      </c>
      <c r="C288" s="19" t="s">
        <v>23</v>
      </c>
      <c r="D288" s="19" t="s">
        <v>768</v>
      </c>
      <c r="E288" s="19">
        <v>2011</v>
      </c>
      <c r="F288" s="249" t="s">
        <v>490</v>
      </c>
      <c r="G288" s="19" t="s">
        <v>769</v>
      </c>
      <c r="H288" s="19" t="s">
        <v>770</v>
      </c>
      <c r="I288" s="19">
        <f>0.1*0.1</f>
        <v>1.0000000000000002E-2</v>
      </c>
      <c r="J288" s="9">
        <v>10</v>
      </c>
      <c r="K288" s="9">
        <v>50</v>
      </c>
      <c r="L288" s="244">
        <f t="shared" ref="L288:L351" si="40">(I288*J288)/10000</f>
        <v>1.0000000000000003E-5</v>
      </c>
      <c r="M288" s="19">
        <f t="shared" ref="M288:M289" si="41">1/(3600*24)</f>
        <v>1.1574074074074073E-5</v>
      </c>
      <c r="N288" s="9">
        <f>(1/6)</f>
        <v>0.16666666666666666</v>
      </c>
      <c r="O288" s="9">
        <f>1/(3600 * 24)*6*60*6</f>
        <v>2.5000000000000001E-2</v>
      </c>
      <c r="P288" s="9">
        <v>1642</v>
      </c>
      <c r="Q288" s="9">
        <v>0</v>
      </c>
      <c r="R288" s="9">
        <v>0</v>
      </c>
      <c r="S288" s="9">
        <v>1</v>
      </c>
      <c r="T288" s="9">
        <v>0</v>
      </c>
      <c r="U288" s="9"/>
      <c r="V288" s="19" t="s">
        <v>771</v>
      </c>
      <c r="W288" s="9" t="s">
        <v>772</v>
      </c>
    </row>
    <row r="289" spans="1:23">
      <c r="A289" s="254" t="s">
        <v>767</v>
      </c>
      <c r="B289" s="243" t="s">
        <v>651</v>
      </c>
      <c r="C289" s="19" t="s">
        <v>23</v>
      </c>
      <c r="D289" s="19" t="s">
        <v>768</v>
      </c>
      <c r="E289" s="19">
        <v>2011</v>
      </c>
      <c r="F289" s="249" t="s">
        <v>490</v>
      </c>
      <c r="G289" s="19" t="s">
        <v>769</v>
      </c>
      <c r="H289" s="19" t="s">
        <v>770</v>
      </c>
      <c r="I289" s="249">
        <f>0.02*0.02</f>
        <v>4.0000000000000002E-4</v>
      </c>
      <c r="J289" s="249">
        <f>(500^2*2)/I289</f>
        <v>1250000000</v>
      </c>
      <c r="K289" s="255">
        <f>L289</f>
        <v>50</v>
      </c>
      <c r="L289" s="244">
        <f t="shared" si="40"/>
        <v>50</v>
      </c>
      <c r="M289" s="19">
        <f t="shared" si="41"/>
        <v>1.1574074074074073E-5</v>
      </c>
      <c r="N289" s="9">
        <v>1</v>
      </c>
      <c r="O289" s="9">
        <f>1/(3600*24)*365.25*3</f>
        <v>1.2682291666666666E-2</v>
      </c>
      <c r="P289" s="9">
        <f>365*3</f>
        <v>1095</v>
      </c>
      <c r="Q289" s="9">
        <v>0</v>
      </c>
      <c r="R289" s="9">
        <v>0</v>
      </c>
      <c r="S289" s="9">
        <v>1</v>
      </c>
      <c r="T289" s="9">
        <v>0</v>
      </c>
      <c r="U289" s="9"/>
      <c r="V289" s="19" t="s">
        <v>773</v>
      </c>
      <c r="W289" s="9" t="s">
        <v>772</v>
      </c>
    </row>
    <row r="290" spans="1:23">
      <c r="A290" s="254" t="s">
        <v>767</v>
      </c>
      <c r="B290" s="243" t="s">
        <v>651</v>
      </c>
      <c r="C290" s="19" t="s">
        <v>23</v>
      </c>
      <c r="D290" s="19" t="s">
        <v>768</v>
      </c>
      <c r="E290" s="19">
        <v>2011</v>
      </c>
      <c r="F290" s="19" t="s">
        <v>774</v>
      </c>
      <c r="G290" s="19" t="s">
        <v>769</v>
      </c>
      <c r="H290" s="19" t="s">
        <v>770</v>
      </c>
      <c r="I290" s="19">
        <f>0.08*0.08*10</f>
        <v>6.4000000000000001E-2</v>
      </c>
      <c r="J290" s="9">
        <v>2</v>
      </c>
      <c r="K290" s="9">
        <v>50</v>
      </c>
      <c r="L290" s="244">
        <f t="shared" si="40"/>
        <v>1.2799999999999999E-5</v>
      </c>
      <c r="M290" s="19">
        <f>9/24</f>
        <v>0.375</v>
      </c>
      <c r="N290" s="9">
        <v>270</v>
      </c>
      <c r="O290" s="9">
        <f>(9/24)*((13*12)/9)</f>
        <v>6.5</v>
      </c>
      <c r="P290" s="9">
        <f>13*365.25</f>
        <v>4748.25</v>
      </c>
      <c r="Q290" s="9">
        <v>0</v>
      </c>
      <c r="R290" s="9">
        <v>2</v>
      </c>
      <c r="S290" s="9">
        <v>0</v>
      </c>
      <c r="T290" s="9">
        <v>0</v>
      </c>
      <c r="U290" s="9"/>
      <c r="V290" s="9" t="s">
        <v>775</v>
      </c>
      <c r="W290" s="9"/>
    </row>
    <row r="291" spans="1:23">
      <c r="A291" s="254" t="s">
        <v>767</v>
      </c>
      <c r="B291" s="243" t="s">
        <v>651</v>
      </c>
      <c r="C291" s="19" t="s">
        <v>23</v>
      </c>
      <c r="D291" s="19" t="s">
        <v>768</v>
      </c>
      <c r="E291" s="19">
        <v>2011</v>
      </c>
      <c r="F291" s="249" t="s">
        <v>490</v>
      </c>
      <c r="G291" s="19" t="s">
        <v>769</v>
      </c>
      <c r="H291" s="19" t="s">
        <v>770</v>
      </c>
      <c r="I291" s="19">
        <f>0.05*0.15</f>
        <v>7.4999999999999997E-3</v>
      </c>
      <c r="J291" s="9">
        <v>204</v>
      </c>
      <c r="K291" s="9">
        <v>50</v>
      </c>
      <c r="L291" s="244">
        <f t="shared" si="40"/>
        <v>1.5300000000000001E-4</v>
      </c>
      <c r="M291" s="249">
        <f>20/60/60/24</f>
        <v>2.3148148148148146E-4</v>
      </c>
      <c r="N291" s="249">
        <f>(20/60)/24</f>
        <v>1.3888888888888888E-2</v>
      </c>
      <c r="O291" s="249">
        <f>M291*((24*60)/20)*365*4</f>
        <v>24.333333333333332</v>
      </c>
      <c r="P291" s="297">
        <f>365*4</f>
        <v>1460</v>
      </c>
      <c r="Q291" s="9">
        <v>0</v>
      </c>
      <c r="R291" s="9">
        <v>1</v>
      </c>
      <c r="S291" s="9">
        <v>0</v>
      </c>
      <c r="T291" s="9">
        <v>0</v>
      </c>
      <c r="U291" s="9"/>
      <c r="V291" s="19" t="s">
        <v>776</v>
      </c>
      <c r="W291" s="9" t="s">
        <v>772</v>
      </c>
    </row>
    <row r="292" spans="1:23">
      <c r="A292" s="254" t="s">
        <v>767</v>
      </c>
      <c r="B292" s="243" t="s">
        <v>651</v>
      </c>
      <c r="C292" s="19" t="s">
        <v>80</v>
      </c>
      <c r="D292" s="19" t="s">
        <v>777</v>
      </c>
      <c r="E292" s="19">
        <v>2012</v>
      </c>
      <c r="F292" s="19" t="s">
        <v>774</v>
      </c>
      <c r="G292" s="19" t="s">
        <v>778</v>
      </c>
      <c r="H292" s="19" t="s">
        <v>779</v>
      </c>
      <c r="I292" s="19">
        <f>PI()*0.01^2</f>
        <v>3.1415926535897931E-4</v>
      </c>
      <c r="J292" s="9">
        <v>200</v>
      </c>
      <c r="K292" s="9">
        <f t="shared" ref="K292:K296" si="42">126000*SQRT(I292)/10000+50000*SQRT(I292)/10000</f>
        <v>0.31195187775937083</v>
      </c>
      <c r="L292" s="244">
        <f t="shared" si="40"/>
        <v>6.2831853071795867E-6</v>
      </c>
      <c r="M292" s="19">
        <f>10/1440</f>
        <v>6.9444444444444441E-3</v>
      </c>
      <c r="N292" s="9">
        <v>181</v>
      </c>
      <c r="O292" s="256">
        <f t="shared" ref="O292:O296" si="43">200*M292</f>
        <v>1.3888888888888888</v>
      </c>
      <c r="P292" s="19">
        <v>181</v>
      </c>
      <c r="Q292" s="9">
        <v>0</v>
      </c>
      <c r="R292" s="9">
        <v>1</v>
      </c>
      <c r="S292" s="9">
        <v>0</v>
      </c>
      <c r="T292" s="9">
        <v>1</v>
      </c>
      <c r="U292" s="19"/>
      <c r="V292" s="9" t="s">
        <v>780</v>
      </c>
      <c r="W292" s="19"/>
    </row>
    <row r="293" spans="1:23">
      <c r="A293" s="254" t="s">
        <v>767</v>
      </c>
      <c r="B293" s="243" t="s">
        <v>651</v>
      </c>
      <c r="C293" s="19" t="s">
        <v>80</v>
      </c>
      <c r="D293" s="19" t="s">
        <v>777</v>
      </c>
      <c r="E293" s="19">
        <v>2012</v>
      </c>
      <c r="F293" s="19" t="s">
        <v>774</v>
      </c>
      <c r="G293" s="19" t="s">
        <v>778</v>
      </c>
      <c r="H293" s="19" t="s">
        <v>779</v>
      </c>
      <c r="I293" s="19">
        <f>1</f>
        <v>1</v>
      </c>
      <c r="J293" s="9">
        <v>200</v>
      </c>
      <c r="K293" s="9">
        <f t="shared" si="42"/>
        <v>17.600000000000001</v>
      </c>
      <c r="L293" s="244">
        <f t="shared" si="40"/>
        <v>0.02</v>
      </c>
      <c r="M293" s="19">
        <f>30/60/1440</f>
        <v>3.4722222222222224E-4</v>
      </c>
      <c r="N293" s="9">
        <v>181</v>
      </c>
      <c r="O293" s="19">
        <f t="shared" si="43"/>
        <v>6.9444444444444448E-2</v>
      </c>
      <c r="P293" s="19">
        <v>181</v>
      </c>
      <c r="Q293" s="9">
        <v>1</v>
      </c>
      <c r="R293" s="9">
        <v>0</v>
      </c>
      <c r="S293" s="9">
        <v>0</v>
      </c>
      <c r="T293" s="9">
        <v>1</v>
      </c>
      <c r="U293" s="19"/>
      <c r="V293" s="9" t="s">
        <v>781</v>
      </c>
      <c r="W293" s="19"/>
    </row>
    <row r="294" spans="1:23">
      <c r="A294" s="254" t="s">
        <v>767</v>
      </c>
      <c r="B294" s="243" t="s">
        <v>651</v>
      </c>
      <c r="C294" s="19" t="s">
        <v>80</v>
      </c>
      <c r="D294" s="19" t="s">
        <v>777</v>
      </c>
      <c r="E294" s="19">
        <v>2012</v>
      </c>
      <c r="F294" s="19" t="s">
        <v>774</v>
      </c>
      <c r="G294" s="19" t="s">
        <v>778</v>
      </c>
      <c r="H294" s="19" t="s">
        <v>779</v>
      </c>
      <c r="I294" s="19">
        <f>PI()*50^2</f>
        <v>7853.981633974483</v>
      </c>
      <c r="J294" s="9">
        <v>200</v>
      </c>
      <c r="K294" s="9">
        <f t="shared" si="42"/>
        <v>1559.7593887968542</v>
      </c>
      <c r="L294" s="244">
        <f t="shared" si="40"/>
        <v>157.07963267948966</v>
      </c>
      <c r="M294" s="9">
        <f>1/60/1440</f>
        <v>1.1574074074074073E-5</v>
      </c>
      <c r="N294" s="9">
        <v>181</v>
      </c>
      <c r="O294" s="19">
        <f t="shared" si="43"/>
        <v>2.3148148148148147E-3</v>
      </c>
      <c r="P294" s="9">
        <v>181</v>
      </c>
      <c r="Q294" s="9">
        <v>1</v>
      </c>
      <c r="R294" s="9">
        <v>3</v>
      </c>
      <c r="S294" s="9">
        <v>0</v>
      </c>
      <c r="T294" s="9">
        <v>1</v>
      </c>
      <c r="U294" s="9"/>
      <c r="V294" s="9" t="s">
        <v>782</v>
      </c>
      <c r="W294" s="9"/>
    </row>
    <row r="295" spans="1:23">
      <c r="A295" s="254" t="s">
        <v>767</v>
      </c>
      <c r="B295" s="243" t="s">
        <v>651</v>
      </c>
      <c r="C295" s="19" t="s">
        <v>80</v>
      </c>
      <c r="D295" s="19" t="s">
        <v>777</v>
      </c>
      <c r="E295" s="19">
        <v>2012</v>
      </c>
      <c r="F295" s="19" t="s">
        <v>774</v>
      </c>
      <c r="G295" s="19" t="s">
        <v>778</v>
      </c>
      <c r="H295" s="19" t="s">
        <v>779</v>
      </c>
      <c r="I295" s="19">
        <f>PI()*0.1^2</f>
        <v>3.1415926535897934E-2</v>
      </c>
      <c r="J295" s="9">
        <v>200</v>
      </c>
      <c r="K295" s="9">
        <f t="shared" si="42"/>
        <v>3.1195187775937083</v>
      </c>
      <c r="L295" s="244">
        <f t="shared" si="40"/>
        <v>6.2831853071795873E-4</v>
      </c>
      <c r="M295" s="9">
        <f t="shared" ref="M295:M296" si="44">0.5/1440</f>
        <v>3.4722222222222224E-4</v>
      </c>
      <c r="N295" s="9">
        <v>181</v>
      </c>
      <c r="O295" s="19">
        <f t="shared" si="43"/>
        <v>6.9444444444444448E-2</v>
      </c>
      <c r="P295" s="9">
        <v>181</v>
      </c>
      <c r="Q295" s="9">
        <v>0</v>
      </c>
      <c r="R295" s="9">
        <v>2</v>
      </c>
      <c r="S295" s="9">
        <v>0</v>
      </c>
      <c r="T295" s="9">
        <v>1</v>
      </c>
      <c r="U295" s="9"/>
      <c r="V295" s="9" t="s">
        <v>783</v>
      </c>
      <c r="W295" s="9"/>
    </row>
    <row r="296" spans="1:23">
      <c r="A296" s="254" t="s">
        <v>767</v>
      </c>
      <c r="B296" s="243" t="s">
        <v>651</v>
      </c>
      <c r="C296" s="19" t="s">
        <v>80</v>
      </c>
      <c r="D296" s="19" t="s">
        <v>777</v>
      </c>
      <c r="E296" s="19">
        <v>2012</v>
      </c>
      <c r="F296" s="19" t="s">
        <v>774</v>
      </c>
      <c r="G296" s="19" t="s">
        <v>778</v>
      </c>
      <c r="H296" s="19" t="s">
        <v>779</v>
      </c>
      <c r="I296" s="19">
        <f>PI()*0.25^2</f>
        <v>0.19634954084936207</v>
      </c>
      <c r="J296" s="9">
        <v>200</v>
      </c>
      <c r="K296" s="9">
        <f t="shared" si="42"/>
        <v>7.7987969439842697</v>
      </c>
      <c r="L296" s="244">
        <f t="shared" si="40"/>
        <v>3.9269908169872417E-3</v>
      </c>
      <c r="M296" s="9">
        <f t="shared" si="44"/>
        <v>3.4722222222222224E-4</v>
      </c>
      <c r="N296" s="9">
        <v>181</v>
      </c>
      <c r="O296" s="19">
        <f t="shared" si="43"/>
        <v>6.9444444444444448E-2</v>
      </c>
      <c r="P296" s="9">
        <v>181</v>
      </c>
      <c r="Q296" s="9">
        <v>0</v>
      </c>
      <c r="R296" s="9">
        <v>2</v>
      </c>
      <c r="S296" s="9">
        <v>0</v>
      </c>
      <c r="T296" s="9">
        <v>1</v>
      </c>
      <c r="U296" s="9"/>
      <c r="V296" s="9" t="s">
        <v>784</v>
      </c>
      <c r="W296" s="9"/>
    </row>
    <row r="297" spans="1:23">
      <c r="A297" s="254" t="s">
        <v>767</v>
      </c>
      <c r="B297" s="243" t="s">
        <v>651</v>
      </c>
      <c r="C297" s="19" t="s">
        <v>87</v>
      </c>
      <c r="D297" s="9" t="s">
        <v>785</v>
      </c>
      <c r="E297" s="19">
        <v>2010</v>
      </c>
      <c r="F297" s="19" t="s">
        <v>786</v>
      </c>
      <c r="G297" s="19" t="s">
        <v>224</v>
      </c>
      <c r="H297" s="19" t="s">
        <v>787</v>
      </c>
      <c r="I297" s="19">
        <f t="shared" ref="I297:I298" si="45">0.1*0.12</f>
        <v>1.2E-2</v>
      </c>
      <c r="J297" s="9">
        <f t="shared" ref="J297:J298" si="46">90</f>
        <v>90</v>
      </c>
      <c r="K297" s="297">
        <f t="shared" ref="K297:K298" si="47">90/40</f>
        <v>2.25</v>
      </c>
      <c r="L297" s="244">
        <f t="shared" si="40"/>
        <v>1.0800000000000001E-4</v>
      </c>
      <c r="M297" s="9">
        <f t="shared" ref="M297:M298" si="48">20/1440</f>
        <v>1.3888888888888888E-2</v>
      </c>
      <c r="N297" s="9">
        <v>14</v>
      </c>
      <c r="O297" s="9">
        <f t="shared" ref="O297:O298" si="49">M297*17</f>
        <v>0.2361111111111111</v>
      </c>
      <c r="P297" s="297">
        <f t="shared" ref="P297:P305" si="50">(O297/M297-1)*N297</f>
        <v>224</v>
      </c>
      <c r="Q297" s="9">
        <v>0</v>
      </c>
      <c r="R297" s="9">
        <v>0</v>
      </c>
      <c r="S297" s="9">
        <v>2</v>
      </c>
      <c r="T297" s="9">
        <v>0</v>
      </c>
      <c r="U297" s="19" t="s">
        <v>788</v>
      </c>
      <c r="V297" s="19" t="s">
        <v>789</v>
      </c>
      <c r="W297" s="9"/>
    </row>
    <row r="298" spans="1:23">
      <c r="A298" s="254" t="s">
        <v>767</v>
      </c>
      <c r="B298" s="243" t="s">
        <v>651</v>
      </c>
      <c r="C298" s="19" t="s">
        <v>87</v>
      </c>
      <c r="D298" s="9" t="s">
        <v>785</v>
      </c>
      <c r="E298" s="19">
        <v>2010</v>
      </c>
      <c r="F298" s="19" t="s">
        <v>786</v>
      </c>
      <c r="G298" s="19" t="s">
        <v>224</v>
      </c>
      <c r="H298" s="19" t="s">
        <v>787</v>
      </c>
      <c r="I298" s="19">
        <f t="shared" si="45"/>
        <v>1.2E-2</v>
      </c>
      <c r="J298" s="9">
        <f t="shared" si="46"/>
        <v>90</v>
      </c>
      <c r="K298" s="297">
        <f t="shared" si="47"/>
        <v>2.25</v>
      </c>
      <c r="L298" s="244">
        <f t="shared" si="40"/>
        <v>1.0800000000000001E-4</v>
      </c>
      <c r="M298" s="9">
        <f t="shared" si="48"/>
        <v>1.3888888888888888E-2</v>
      </c>
      <c r="N298" s="9">
        <v>14</v>
      </c>
      <c r="O298" s="9">
        <f t="shared" si="49"/>
        <v>0.2361111111111111</v>
      </c>
      <c r="P298" s="297">
        <f t="shared" si="50"/>
        <v>224</v>
      </c>
      <c r="Q298" s="9">
        <v>0</v>
      </c>
      <c r="R298" s="9">
        <v>0</v>
      </c>
      <c r="S298" s="9">
        <v>2</v>
      </c>
      <c r="T298" s="9">
        <v>0</v>
      </c>
      <c r="U298" s="19" t="s">
        <v>788</v>
      </c>
      <c r="V298" s="19" t="s">
        <v>789</v>
      </c>
      <c r="W298" s="9"/>
    </row>
    <row r="299" spans="1:23">
      <c r="A299" s="254" t="s">
        <v>767</v>
      </c>
      <c r="B299" s="243" t="s">
        <v>651</v>
      </c>
      <c r="C299" s="9" t="s">
        <v>65</v>
      </c>
      <c r="D299" s="9" t="s">
        <v>790</v>
      </c>
      <c r="E299" s="19">
        <v>2008</v>
      </c>
      <c r="F299" s="9" t="s">
        <v>774</v>
      </c>
      <c r="G299" s="19" t="s">
        <v>791</v>
      </c>
      <c r="H299" s="19" t="s">
        <v>792</v>
      </c>
      <c r="I299" s="19">
        <v>0.25</v>
      </c>
      <c r="J299" s="9">
        <f t="shared" ref="J299:J300" si="51">3*3*12</f>
        <v>108</v>
      </c>
      <c r="K299" s="9">
        <f t="shared" ref="K299:K301" si="52">2*100*50/10000</f>
        <v>1</v>
      </c>
      <c r="L299" s="244">
        <f t="shared" si="40"/>
        <v>2.7000000000000001E-3</v>
      </c>
      <c r="M299" s="9">
        <f>0.5/24</f>
        <v>2.0833333333333332E-2</v>
      </c>
      <c r="N299" s="9">
        <v>90</v>
      </c>
      <c r="O299" s="9">
        <f t="shared" ref="O299:O301" si="53">M299*5.5*4</f>
        <v>0.45833333333333331</v>
      </c>
      <c r="P299" s="297">
        <f t="shared" si="50"/>
        <v>1890</v>
      </c>
      <c r="Q299" s="9">
        <v>3</v>
      </c>
      <c r="R299" s="9">
        <v>3</v>
      </c>
      <c r="S299" s="9">
        <v>1</v>
      </c>
      <c r="T299" s="9">
        <v>1</v>
      </c>
      <c r="U299" s="9"/>
      <c r="V299" s="19" t="s">
        <v>784</v>
      </c>
      <c r="W299" s="9"/>
    </row>
    <row r="300" spans="1:23">
      <c r="A300" s="254" t="s">
        <v>767</v>
      </c>
      <c r="B300" s="243" t="s">
        <v>651</v>
      </c>
      <c r="C300" s="9" t="s">
        <v>65</v>
      </c>
      <c r="D300" s="9" t="s">
        <v>790</v>
      </c>
      <c r="E300" s="19">
        <v>2008</v>
      </c>
      <c r="F300" s="9" t="s">
        <v>774</v>
      </c>
      <c r="G300" s="19" t="s">
        <v>791</v>
      </c>
      <c r="H300" s="19" t="s">
        <v>792</v>
      </c>
      <c r="I300" s="19">
        <v>3.5000000000000001E-3</v>
      </c>
      <c r="J300" s="9">
        <f t="shared" si="51"/>
        <v>108</v>
      </c>
      <c r="K300" s="9">
        <f t="shared" si="52"/>
        <v>1</v>
      </c>
      <c r="L300" s="244">
        <f t="shared" si="40"/>
        <v>3.7799999999999997E-5</v>
      </c>
      <c r="M300" s="9">
        <f>0.25/24</f>
        <v>1.0416666666666666E-2</v>
      </c>
      <c r="N300" s="9">
        <v>90</v>
      </c>
      <c r="O300" s="256">
        <f t="shared" si="53"/>
        <v>0.22916666666666666</v>
      </c>
      <c r="P300" s="297">
        <f t="shared" si="50"/>
        <v>1890</v>
      </c>
      <c r="Q300" s="9">
        <v>3</v>
      </c>
      <c r="R300" s="9">
        <v>2</v>
      </c>
      <c r="S300" s="9">
        <v>1</v>
      </c>
      <c r="T300" s="9">
        <v>1</v>
      </c>
      <c r="U300" s="9"/>
      <c r="V300" s="19" t="s">
        <v>793</v>
      </c>
      <c r="W300" s="9"/>
    </row>
    <row r="301" spans="1:23">
      <c r="A301" s="254" t="s">
        <v>767</v>
      </c>
      <c r="B301" s="243" t="s">
        <v>651</v>
      </c>
      <c r="C301" s="9" t="s">
        <v>65</v>
      </c>
      <c r="D301" s="9" t="s">
        <v>790</v>
      </c>
      <c r="E301" s="19">
        <v>2008</v>
      </c>
      <c r="F301" s="9" t="s">
        <v>774</v>
      </c>
      <c r="G301" s="19" t="s">
        <v>791</v>
      </c>
      <c r="H301" s="19" t="s">
        <v>792</v>
      </c>
      <c r="I301" s="19">
        <f>PI()*0.01^2</f>
        <v>3.1415926535897931E-4</v>
      </c>
      <c r="J301" s="9">
        <v>9</v>
      </c>
      <c r="K301" s="9">
        <f t="shared" si="52"/>
        <v>1</v>
      </c>
      <c r="L301" s="244">
        <f t="shared" si="40"/>
        <v>2.8274333882308138E-7</v>
      </c>
      <c r="M301" s="9">
        <f>2/1440</f>
        <v>1.3888888888888889E-3</v>
      </c>
      <c r="N301" s="9">
        <v>90</v>
      </c>
      <c r="O301" s="9">
        <f t="shared" si="53"/>
        <v>3.0555555555555558E-2</v>
      </c>
      <c r="P301" s="297">
        <f t="shared" si="50"/>
        <v>1890</v>
      </c>
      <c r="Q301" s="9">
        <v>0</v>
      </c>
      <c r="R301" s="9">
        <v>1</v>
      </c>
      <c r="S301" s="9">
        <v>0</v>
      </c>
      <c r="T301" s="9">
        <v>0</v>
      </c>
      <c r="U301" s="9"/>
      <c r="V301" s="19" t="s">
        <v>794</v>
      </c>
      <c r="W301" s="9"/>
    </row>
    <row r="302" spans="1:23">
      <c r="A302" s="254" t="s">
        <v>767</v>
      </c>
      <c r="B302" s="243" t="s">
        <v>651</v>
      </c>
      <c r="C302" s="9" t="s">
        <v>65</v>
      </c>
      <c r="D302" s="9" t="s">
        <v>790</v>
      </c>
      <c r="E302" s="19">
        <v>2008</v>
      </c>
      <c r="F302" s="249" t="s">
        <v>490</v>
      </c>
      <c r="G302" s="19" t="s">
        <v>791</v>
      </c>
      <c r="H302" s="19" t="s">
        <v>792</v>
      </c>
      <c r="I302" s="19">
        <f t="shared" ref="I302:I305" si="54">0.05*0.05</f>
        <v>2.5000000000000005E-3</v>
      </c>
      <c r="J302" s="9">
        <v>3</v>
      </c>
      <c r="K302" s="9">
        <v>0.5</v>
      </c>
      <c r="L302" s="244">
        <f t="shared" si="40"/>
        <v>7.5000000000000012E-7</v>
      </c>
      <c r="M302" s="9">
        <f t="shared" ref="M302:M303" si="55">1/60/1440</f>
        <v>1.1574074074074073E-5</v>
      </c>
      <c r="N302" s="9">
        <f t="shared" ref="N302:N303" si="56">90/1440</f>
        <v>6.25E-2</v>
      </c>
      <c r="O302" s="9">
        <f>M302*(5.5*365)*(1440/90)</f>
        <v>0.37175925925925923</v>
      </c>
      <c r="P302" s="297">
        <f t="shared" si="50"/>
        <v>2007.4375</v>
      </c>
      <c r="Q302" s="9">
        <v>0</v>
      </c>
      <c r="R302" s="9">
        <v>0</v>
      </c>
      <c r="S302" s="9">
        <v>0</v>
      </c>
      <c r="T302" s="9">
        <v>0</v>
      </c>
      <c r="U302" s="9"/>
      <c r="V302" s="19" t="s">
        <v>795</v>
      </c>
      <c r="W302" s="9"/>
    </row>
    <row r="303" spans="1:23">
      <c r="A303" s="254" t="s">
        <v>767</v>
      </c>
      <c r="B303" s="243" t="s">
        <v>651</v>
      </c>
      <c r="C303" s="9" t="s">
        <v>65</v>
      </c>
      <c r="D303" s="9" t="s">
        <v>790</v>
      </c>
      <c r="E303" s="19">
        <v>2008</v>
      </c>
      <c r="F303" s="249" t="s">
        <v>490</v>
      </c>
      <c r="G303" s="19" t="s">
        <v>791</v>
      </c>
      <c r="H303" s="19" t="s">
        <v>792</v>
      </c>
      <c r="I303" s="19">
        <f t="shared" si="54"/>
        <v>2.5000000000000005E-3</v>
      </c>
      <c r="J303" s="9">
        <v>3</v>
      </c>
      <c r="K303" s="9">
        <v>0.5</v>
      </c>
      <c r="L303" s="244">
        <f t="shared" si="40"/>
        <v>7.5000000000000012E-7</v>
      </c>
      <c r="M303" s="9">
        <f t="shared" si="55"/>
        <v>1.1574074074074073E-5</v>
      </c>
      <c r="N303" s="9">
        <f t="shared" si="56"/>
        <v>6.25E-2</v>
      </c>
      <c r="O303" s="9">
        <f>M303*(2.5*365)*(1440/90)</f>
        <v>0.16898148148148148</v>
      </c>
      <c r="P303" s="297">
        <f t="shared" si="50"/>
        <v>912.4375</v>
      </c>
      <c r="Q303" s="9">
        <v>0</v>
      </c>
      <c r="R303" s="9">
        <v>0</v>
      </c>
      <c r="S303" s="9">
        <v>0</v>
      </c>
      <c r="T303" s="9">
        <v>0</v>
      </c>
      <c r="U303" s="9"/>
      <c r="V303" s="19" t="s">
        <v>782</v>
      </c>
      <c r="W303" s="9"/>
    </row>
    <row r="304" spans="1:23">
      <c r="A304" s="254" t="s">
        <v>767</v>
      </c>
      <c r="B304" s="243" t="s">
        <v>651</v>
      </c>
      <c r="C304" s="9" t="s">
        <v>65</v>
      </c>
      <c r="D304" s="9" t="s">
        <v>790</v>
      </c>
      <c r="E304" s="19">
        <v>2008</v>
      </c>
      <c r="F304" s="249" t="s">
        <v>490</v>
      </c>
      <c r="G304" s="19" t="s">
        <v>791</v>
      </c>
      <c r="H304" s="19" t="s">
        <v>792</v>
      </c>
      <c r="I304" s="19">
        <f t="shared" si="54"/>
        <v>2.5000000000000005E-3</v>
      </c>
      <c r="J304" s="9">
        <v>1</v>
      </c>
      <c r="K304" s="9">
        <f>I304/10000</f>
        <v>2.5000000000000004E-7</v>
      </c>
      <c r="L304" s="244">
        <f t="shared" si="40"/>
        <v>2.5000000000000004E-7</v>
      </c>
      <c r="M304" s="9">
        <f t="shared" ref="M304:M305" si="57">40/1440</f>
        <v>2.7777777777777776E-2</v>
      </c>
      <c r="N304" s="9">
        <f t="shared" ref="N304:N305" si="58">(365/4 -14)/14</f>
        <v>5.5178571428571432</v>
      </c>
      <c r="O304" s="9">
        <f>M304*14*5.5</f>
        <v>2.1388888888888884</v>
      </c>
      <c r="P304" s="297">
        <f t="shared" si="50"/>
        <v>419.35714285714283</v>
      </c>
      <c r="Q304" s="9">
        <v>0</v>
      </c>
      <c r="R304" s="9">
        <v>0</v>
      </c>
      <c r="S304" s="9">
        <v>0</v>
      </c>
      <c r="T304" s="9">
        <v>0</v>
      </c>
      <c r="U304" s="9"/>
      <c r="V304" s="19" t="s">
        <v>796</v>
      </c>
      <c r="W304" s="9"/>
    </row>
    <row r="305" spans="1:23">
      <c r="A305" s="254" t="s">
        <v>767</v>
      </c>
      <c r="B305" s="243" t="s">
        <v>651</v>
      </c>
      <c r="C305" s="9" t="s">
        <v>65</v>
      </c>
      <c r="D305" s="9" t="s">
        <v>790</v>
      </c>
      <c r="E305" s="19">
        <v>2008</v>
      </c>
      <c r="F305" s="257" t="s">
        <v>490</v>
      </c>
      <c r="G305" s="19" t="s">
        <v>791</v>
      </c>
      <c r="H305" s="19" t="s">
        <v>792</v>
      </c>
      <c r="I305" s="19">
        <f t="shared" si="54"/>
        <v>2.5000000000000005E-3</v>
      </c>
      <c r="J305" s="9">
        <v>4</v>
      </c>
      <c r="K305" s="9">
        <f>2*I305*50/10000</f>
        <v>2.5000000000000005E-5</v>
      </c>
      <c r="L305" s="244">
        <f t="shared" si="40"/>
        <v>1.0000000000000002E-6</v>
      </c>
      <c r="M305" s="9">
        <f t="shared" si="57"/>
        <v>2.7777777777777776E-2</v>
      </c>
      <c r="N305" s="9">
        <f t="shared" si="58"/>
        <v>5.5178571428571432</v>
      </c>
      <c r="O305" s="9">
        <f>M305*14*2.5</f>
        <v>0.9722222222222221</v>
      </c>
      <c r="P305" s="297">
        <f t="shared" si="50"/>
        <v>187.60714285714286</v>
      </c>
      <c r="Q305" s="9">
        <v>0</v>
      </c>
      <c r="R305" s="9">
        <v>0</v>
      </c>
      <c r="S305" s="9">
        <v>0</v>
      </c>
      <c r="T305" s="9">
        <v>0</v>
      </c>
      <c r="U305" s="9"/>
      <c r="V305" s="19" t="s">
        <v>796</v>
      </c>
      <c r="W305" s="9"/>
    </row>
    <row r="306" spans="1:23">
      <c r="A306" s="254" t="s">
        <v>767</v>
      </c>
      <c r="B306" s="243" t="s">
        <v>651</v>
      </c>
      <c r="C306" s="9" t="s">
        <v>2</v>
      </c>
      <c r="D306" s="305" t="s">
        <v>797</v>
      </c>
      <c r="E306" s="19">
        <v>2010</v>
      </c>
      <c r="F306" s="9" t="s">
        <v>774</v>
      </c>
      <c r="G306" s="19" t="s">
        <v>798</v>
      </c>
      <c r="H306" s="19" t="s">
        <v>799</v>
      </c>
      <c r="I306" s="19">
        <v>270000</v>
      </c>
      <c r="J306" s="19">
        <v>8</v>
      </c>
      <c r="K306" s="297">
        <v>42000</v>
      </c>
      <c r="L306" s="244">
        <f t="shared" si="40"/>
        <v>216</v>
      </c>
      <c r="M306" s="19">
        <f>20*8*(0.5/24)</f>
        <v>3.333333333333333</v>
      </c>
      <c r="N306" s="19">
        <v>365</v>
      </c>
      <c r="O306" s="19">
        <f>M306*3</f>
        <v>10</v>
      </c>
      <c r="P306" s="297">
        <f t="shared" ref="P306:P308" si="59">3*365</f>
        <v>1095</v>
      </c>
      <c r="Q306" s="9">
        <v>1</v>
      </c>
      <c r="R306" s="9">
        <v>1</v>
      </c>
      <c r="S306" s="9">
        <v>0</v>
      </c>
      <c r="T306" s="9">
        <v>1</v>
      </c>
      <c r="U306" s="19"/>
      <c r="V306" s="19" t="s">
        <v>800</v>
      </c>
      <c r="W306" s="19"/>
    </row>
    <row r="307" spans="1:23">
      <c r="A307" s="254" t="s">
        <v>767</v>
      </c>
      <c r="B307" s="243" t="s">
        <v>651</v>
      </c>
      <c r="C307" s="9" t="s">
        <v>2</v>
      </c>
      <c r="D307" s="305" t="s">
        <v>797</v>
      </c>
      <c r="E307" s="19">
        <v>2010</v>
      </c>
      <c r="F307" s="9" t="s">
        <v>774</v>
      </c>
      <c r="G307" s="19" t="s">
        <v>798</v>
      </c>
      <c r="H307" s="19" t="s">
        <v>799</v>
      </c>
      <c r="I307" s="19">
        <v>10</v>
      </c>
      <c r="J307" s="19">
        <v>326</v>
      </c>
      <c r="K307" s="297">
        <v>42000</v>
      </c>
      <c r="L307" s="244">
        <f t="shared" si="40"/>
        <v>0.32600000000000001</v>
      </c>
      <c r="M307" s="19">
        <f>1/24</f>
        <v>4.1666666666666664E-2</v>
      </c>
      <c r="N307" s="19">
        <v>365</v>
      </c>
      <c r="O307" s="19">
        <f>1/24*3</f>
        <v>0.125</v>
      </c>
      <c r="P307" s="297">
        <f t="shared" si="59"/>
        <v>1095</v>
      </c>
      <c r="Q307" s="19">
        <v>0</v>
      </c>
      <c r="R307" s="9">
        <v>3</v>
      </c>
      <c r="S307" s="9">
        <v>0</v>
      </c>
      <c r="T307" s="9">
        <v>1</v>
      </c>
      <c r="U307" s="19"/>
      <c r="V307" s="19" t="s">
        <v>801</v>
      </c>
      <c r="W307" s="19"/>
    </row>
    <row r="308" spans="1:23">
      <c r="A308" s="254" t="s">
        <v>767</v>
      </c>
      <c r="B308" s="243" t="s">
        <v>651</v>
      </c>
      <c r="C308" s="9" t="s">
        <v>2</v>
      </c>
      <c r="D308" s="305" t="s">
        <v>797</v>
      </c>
      <c r="E308" s="19">
        <v>2010</v>
      </c>
      <c r="F308" s="9" t="s">
        <v>774</v>
      </c>
      <c r="G308" s="19" t="s">
        <v>798</v>
      </c>
      <c r="H308" s="19" t="s">
        <v>799</v>
      </c>
      <c r="I308" s="19">
        <v>0.25</v>
      </c>
      <c r="J308" s="19">
        <v>105</v>
      </c>
      <c r="K308" s="297">
        <v>42000</v>
      </c>
      <c r="L308" s="244">
        <f t="shared" si="40"/>
        <v>2.6250000000000002E-3</v>
      </c>
      <c r="M308" s="19">
        <f>15/1440</f>
        <v>1.0416666666666666E-2</v>
      </c>
      <c r="N308" s="19">
        <v>2.5</v>
      </c>
      <c r="O308" s="19">
        <f>120/2.5*3*M308</f>
        <v>1.5</v>
      </c>
      <c r="P308" s="297">
        <f t="shared" si="59"/>
        <v>1095</v>
      </c>
      <c r="Q308" s="9">
        <v>0</v>
      </c>
      <c r="R308" s="9">
        <v>0</v>
      </c>
      <c r="S308" s="9">
        <v>1</v>
      </c>
      <c r="T308" s="9">
        <v>0</v>
      </c>
      <c r="U308" s="19"/>
      <c r="V308" s="9" t="s">
        <v>800</v>
      </c>
      <c r="W308" s="19"/>
    </row>
    <row r="309" spans="1:23">
      <c r="A309" s="299" t="s">
        <v>767</v>
      </c>
      <c r="B309" s="300" t="s">
        <v>651</v>
      </c>
      <c r="C309" s="301" t="s">
        <v>802</v>
      </c>
      <c r="D309" s="302" t="s">
        <v>803</v>
      </c>
      <c r="E309" s="302">
        <v>2007</v>
      </c>
      <c r="F309" s="301" t="s">
        <v>774</v>
      </c>
      <c r="G309" s="302" t="s">
        <v>804</v>
      </c>
      <c r="H309" s="302" t="s">
        <v>805</v>
      </c>
      <c r="I309" s="302">
        <f>0.5*0.1</f>
        <v>0.05</v>
      </c>
      <c r="J309" s="302">
        <f t="shared" ref="J309:J310" si="60">216+158+56</f>
        <v>430</v>
      </c>
      <c r="K309" s="302">
        <f t="shared" ref="K309:K310" si="61">2614+1360+2600</f>
        <v>6574</v>
      </c>
      <c r="L309" s="303">
        <f t="shared" si="40"/>
        <v>2.15E-3</v>
      </c>
      <c r="M309" s="302">
        <f>1/24</f>
        <v>4.1666666666666664E-2</v>
      </c>
      <c r="N309" s="298">
        <v>0</v>
      </c>
      <c r="O309" s="297">
        <f>M309</f>
        <v>4.1666666666666664E-2</v>
      </c>
      <c r="P309" s="297">
        <f t="shared" ref="P309:P310" si="62">O309</f>
        <v>4.1666666666666664E-2</v>
      </c>
      <c r="Q309" s="301">
        <v>0</v>
      </c>
      <c r="R309" s="301">
        <v>1</v>
      </c>
      <c r="S309" s="301">
        <v>0</v>
      </c>
      <c r="T309" s="301">
        <v>0</v>
      </c>
      <c r="U309" s="302"/>
      <c r="V309" s="302" t="s">
        <v>795</v>
      </c>
      <c r="W309" s="302"/>
    </row>
    <row r="310" spans="1:23">
      <c r="A310" s="299" t="s">
        <v>767</v>
      </c>
      <c r="B310" s="300" t="s">
        <v>651</v>
      </c>
      <c r="C310" s="301" t="s">
        <v>802</v>
      </c>
      <c r="D310" s="302" t="s">
        <v>803</v>
      </c>
      <c r="E310" s="302">
        <v>2007</v>
      </c>
      <c r="F310" s="301" t="s">
        <v>774</v>
      </c>
      <c r="G310" s="302" t="s">
        <v>804</v>
      </c>
      <c r="H310" s="302" t="s">
        <v>805</v>
      </c>
      <c r="I310" s="302">
        <v>1</v>
      </c>
      <c r="J310" s="302">
        <f t="shared" si="60"/>
        <v>430</v>
      </c>
      <c r="K310" s="302">
        <f t="shared" si="61"/>
        <v>6574</v>
      </c>
      <c r="L310" s="303">
        <f t="shared" si="40"/>
        <v>4.2999999999999997E-2</v>
      </c>
      <c r="M310" s="302">
        <f>2/24</f>
        <v>8.3333333333333329E-2</v>
      </c>
      <c r="N310" s="298">
        <v>0</v>
      </c>
      <c r="O310" s="297">
        <f>M309</f>
        <v>4.1666666666666664E-2</v>
      </c>
      <c r="P310" s="297">
        <f t="shared" si="62"/>
        <v>4.1666666666666664E-2</v>
      </c>
      <c r="Q310" s="301">
        <v>0</v>
      </c>
      <c r="R310" s="301">
        <v>1</v>
      </c>
      <c r="S310" s="301">
        <v>0</v>
      </c>
      <c r="T310" s="301">
        <v>0</v>
      </c>
      <c r="U310" s="302"/>
      <c r="V310" s="302" t="s">
        <v>795</v>
      </c>
      <c r="W310" s="302"/>
    </row>
    <row r="311" spans="1:23">
      <c r="A311" s="299" t="s">
        <v>767</v>
      </c>
      <c r="B311" s="300" t="s">
        <v>651</v>
      </c>
      <c r="C311" s="301" t="s">
        <v>802</v>
      </c>
      <c r="D311" s="302" t="s">
        <v>803</v>
      </c>
      <c r="E311" s="302">
        <v>2007</v>
      </c>
      <c r="F311" s="301" t="s">
        <v>774</v>
      </c>
      <c r="G311" s="302" t="s">
        <v>804</v>
      </c>
      <c r="H311" s="302" t="s">
        <v>805</v>
      </c>
      <c r="I311" s="249">
        <f>0.05^2*PI()</f>
        <v>7.8539816339744835E-3</v>
      </c>
      <c r="J311" s="302">
        <v>3</v>
      </c>
      <c r="K311" s="304">
        <f>L311</f>
        <v>2.3561944901923452E-6</v>
      </c>
      <c r="L311" s="303">
        <f t="shared" si="40"/>
        <v>2.3561944901923452E-6</v>
      </c>
      <c r="M311" s="249">
        <f>30</f>
        <v>30</v>
      </c>
      <c r="N311" s="302">
        <v>30</v>
      </c>
      <c r="O311" s="305">
        <f>16*M311*3</f>
        <v>1440</v>
      </c>
      <c r="P311" s="300">
        <f>16*365</f>
        <v>5840</v>
      </c>
      <c r="Q311" s="301">
        <v>0</v>
      </c>
      <c r="R311" s="301">
        <v>1</v>
      </c>
      <c r="S311" s="301">
        <v>0</v>
      </c>
      <c r="T311" s="301">
        <v>0</v>
      </c>
      <c r="U311" s="302"/>
      <c r="V311" s="302" t="s">
        <v>806</v>
      </c>
      <c r="W311" s="302"/>
    </row>
    <row r="312" spans="1:23">
      <c r="A312" s="299" t="s">
        <v>767</v>
      </c>
      <c r="B312" s="300" t="s">
        <v>651</v>
      </c>
      <c r="C312" s="301" t="s">
        <v>802</v>
      </c>
      <c r="D312" s="302" t="s">
        <v>803</v>
      </c>
      <c r="E312" s="302">
        <v>2007</v>
      </c>
      <c r="F312" s="301" t="s">
        <v>774</v>
      </c>
      <c r="G312" s="302" t="s">
        <v>804</v>
      </c>
      <c r="H312" s="302" t="s">
        <v>805</v>
      </c>
      <c r="I312" s="302">
        <v>500</v>
      </c>
      <c r="J312" s="297">
        <v>4</v>
      </c>
      <c r="K312" s="297">
        <v>600000</v>
      </c>
      <c r="L312" s="303">
        <f t="shared" si="40"/>
        <v>0.2</v>
      </c>
      <c r="M312" s="302">
        <f>8/24</f>
        <v>0.33333333333333331</v>
      </c>
      <c r="N312" s="302">
        <v>365</v>
      </c>
      <c r="O312" s="302">
        <f>8/24*16</f>
        <v>5.333333333333333</v>
      </c>
      <c r="P312" s="302">
        <f>16*365</f>
        <v>5840</v>
      </c>
      <c r="Q312" s="301">
        <v>0</v>
      </c>
      <c r="R312" s="301">
        <v>1</v>
      </c>
      <c r="S312" s="301">
        <v>0</v>
      </c>
      <c r="T312" s="301">
        <v>0</v>
      </c>
      <c r="U312" s="302"/>
      <c r="V312" s="302" t="s">
        <v>807</v>
      </c>
      <c r="W312" s="302"/>
    </row>
    <row r="313" spans="1:23">
      <c r="A313" s="254" t="s">
        <v>767</v>
      </c>
      <c r="B313" s="243" t="s">
        <v>651</v>
      </c>
      <c r="C313" s="9" t="s">
        <v>65</v>
      </c>
      <c r="D313" s="19" t="s">
        <v>808</v>
      </c>
      <c r="E313" s="19">
        <v>2010</v>
      </c>
      <c r="F313" s="9" t="s">
        <v>774</v>
      </c>
      <c r="G313" s="19" t="s">
        <v>809</v>
      </c>
      <c r="H313" s="19" t="s">
        <v>810</v>
      </c>
      <c r="I313" s="19">
        <v>0.5</v>
      </c>
      <c r="J313" s="19">
        <f>36*6*60</f>
        <v>12960</v>
      </c>
      <c r="K313" s="19">
        <f t="shared" ref="K313:K316" si="63">1*36</f>
        <v>36</v>
      </c>
      <c r="L313" s="244">
        <f t="shared" si="40"/>
        <v>0.64800000000000002</v>
      </c>
      <c r="M313" s="19">
        <f t="shared" ref="M313:M315" si="64">15/1440</f>
        <v>1.0416666666666666E-2</v>
      </c>
      <c r="N313" s="19">
        <v>0</v>
      </c>
      <c r="O313" s="19">
        <f t="shared" ref="O313:O315" si="65">15/1440</f>
        <v>1.0416666666666666E-2</v>
      </c>
      <c r="P313" s="297">
        <f t="shared" ref="P313:P316" si="66">O313</f>
        <v>1.0416666666666666E-2</v>
      </c>
      <c r="Q313" s="9">
        <v>3</v>
      </c>
      <c r="R313" s="9">
        <v>0</v>
      </c>
      <c r="S313" s="9">
        <v>0</v>
      </c>
      <c r="T313" s="9">
        <v>2</v>
      </c>
      <c r="U313" s="19"/>
      <c r="V313" s="19" t="s">
        <v>811</v>
      </c>
      <c r="W313" s="19"/>
    </row>
    <row r="314" spans="1:23">
      <c r="A314" s="254" t="s">
        <v>767</v>
      </c>
      <c r="B314" s="243" t="s">
        <v>651</v>
      </c>
      <c r="C314" s="9" t="s">
        <v>65</v>
      </c>
      <c r="D314" s="19" t="s">
        <v>808</v>
      </c>
      <c r="E314" s="19">
        <v>2010</v>
      </c>
      <c r="F314" s="9" t="s">
        <v>774</v>
      </c>
      <c r="G314" s="19" t="s">
        <v>809</v>
      </c>
      <c r="H314" s="19" t="s">
        <v>810</v>
      </c>
      <c r="I314" s="19">
        <v>0.25</v>
      </c>
      <c r="J314" s="19">
        <f>36*6*2</f>
        <v>432</v>
      </c>
      <c r="K314" s="19">
        <f t="shared" si="63"/>
        <v>36</v>
      </c>
      <c r="L314" s="244">
        <f t="shared" si="40"/>
        <v>1.0800000000000001E-2</v>
      </c>
      <c r="M314" s="19">
        <f t="shared" si="64"/>
        <v>1.0416666666666666E-2</v>
      </c>
      <c r="N314" s="19">
        <v>0</v>
      </c>
      <c r="O314" s="19">
        <f t="shared" si="65"/>
        <v>1.0416666666666666E-2</v>
      </c>
      <c r="P314" s="297">
        <f t="shared" si="66"/>
        <v>1.0416666666666666E-2</v>
      </c>
      <c r="Q314" s="9">
        <v>0</v>
      </c>
      <c r="R314" s="9">
        <v>1</v>
      </c>
      <c r="S314" s="9">
        <v>1</v>
      </c>
      <c r="T314" s="9">
        <v>0</v>
      </c>
      <c r="U314" s="19"/>
      <c r="V314" s="19" t="s">
        <v>812</v>
      </c>
      <c r="W314" s="19"/>
    </row>
    <row r="315" spans="1:23">
      <c r="A315" s="254" t="s">
        <v>767</v>
      </c>
      <c r="B315" s="243" t="s">
        <v>651</v>
      </c>
      <c r="C315" s="9" t="s">
        <v>65</v>
      </c>
      <c r="D315" s="19" t="s">
        <v>808</v>
      </c>
      <c r="E315" s="19">
        <v>2010</v>
      </c>
      <c r="F315" s="9" t="s">
        <v>774</v>
      </c>
      <c r="G315" s="19" t="s">
        <v>809</v>
      </c>
      <c r="H315" s="19" t="s">
        <v>810</v>
      </c>
      <c r="I315" s="19">
        <f>PI()*0.05^2</f>
        <v>7.8539816339744835E-3</v>
      </c>
      <c r="J315" s="19">
        <f>36*6</f>
        <v>216</v>
      </c>
      <c r="K315" s="19">
        <f t="shared" si="63"/>
        <v>36</v>
      </c>
      <c r="L315" s="244">
        <f t="shared" si="40"/>
        <v>1.6964600329384886E-4</v>
      </c>
      <c r="M315" s="19">
        <f t="shared" si="64"/>
        <v>1.0416666666666666E-2</v>
      </c>
      <c r="N315" s="19">
        <v>0</v>
      </c>
      <c r="O315" s="19">
        <f t="shared" si="65"/>
        <v>1.0416666666666666E-2</v>
      </c>
      <c r="P315" s="297">
        <f t="shared" si="66"/>
        <v>1.0416666666666666E-2</v>
      </c>
      <c r="Q315" s="9">
        <v>0</v>
      </c>
      <c r="R315" s="9">
        <v>0</v>
      </c>
      <c r="S315" s="9">
        <v>1</v>
      </c>
      <c r="T315" s="9">
        <v>0</v>
      </c>
      <c r="U315" s="19"/>
      <c r="V315" s="19" t="s">
        <v>789</v>
      </c>
      <c r="W315" s="19"/>
    </row>
    <row r="316" spans="1:23">
      <c r="A316" s="254" t="s">
        <v>767</v>
      </c>
      <c r="B316" s="243" t="s">
        <v>651</v>
      </c>
      <c r="C316" s="9" t="s">
        <v>65</v>
      </c>
      <c r="D316" s="19" t="s">
        <v>808</v>
      </c>
      <c r="E316" s="19">
        <v>2010</v>
      </c>
      <c r="F316" s="9" t="s">
        <v>774</v>
      </c>
      <c r="G316" s="19" t="s">
        <v>809</v>
      </c>
      <c r="H316" s="19" t="s">
        <v>810</v>
      </c>
      <c r="I316" s="19">
        <f>PI()*0.01^2</f>
        <v>3.1415926535897931E-4</v>
      </c>
      <c r="J316" s="19">
        <f>36*6*60*4</f>
        <v>51840</v>
      </c>
      <c r="K316" s="19">
        <f t="shared" si="63"/>
        <v>36</v>
      </c>
      <c r="L316" s="244">
        <f t="shared" si="40"/>
        <v>1.6286016316209486E-3</v>
      </c>
      <c r="M316" s="19">
        <f>4/60/1440</f>
        <v>4.6296296296296294E-5</v>
      </c>
      <c r="N316" s="19">
        <v>0</v>
      </c>
      <c r="O316" s="19">
        <f>4/60/1440</f>
        <v>4.6296296296296294E-5</v>
      </c>
      <c r="P316" s="297">
        <f t="shared" si="66"/>
        <v>4.6296296296296294E-5</v>
      </c>
      <c r="Q316" s="9">
        <v>0</v>
      </c>
      <c r="R316" s="9">
        <v>0</v>
      </c>
      <c r="S316" s="9">
        <v>1</v>
      </c>
      <c r="T316" s="9">
        <v>0</v>
      </c>
      <c r="U316" s="19"/>
      <c r="V316" s="19" t="s">
        <v>789</v>
      </c>
      <c r="W316" s="19"/>
    </row>
    <row r="317" spans="1:23">
      <c r="A317" s="254" t="s">
        <v>767</v>
      </c>
      <c r="B317" s="243" t="s">
        <v>651</v>
      </c>
      <c r="C317" s="9" t="s">
        <v>15</v>
      </c>
      <c r="D317" s="19" t="s">
        <v>813</v>
      </c>
      <c r="E317" s="19">
        <v>2012</v>
      </c>
      <c r="F317" s="9" t="s">
        <v>774</v>
      </c>
      <c r="G317" s="19" t="s">
        <v>814</v>
      </c>
      <c r="H317" s="19" t="s">
        <v>815</v>
      </c>
      <c r="I317" s="19">
        <f>10*10</f>
        <v>100</v>
      </c>
      <c r="J317" s="19">
        <v>16</v>
      </c>
      <c r="K317" s="19">
        <f t="shared" ref="K317:K318" si="67">8*7*100</f>
        <v>5600</v>
      </c>
      <c r="L317" s="244">
        <f t="shared" si="40"/>
        <v>0.16</v>
      </c>
      <c r="M317" s="19">
        <f>1/24</f>
        <v>4.1666666666666664E-2</v>
      </c>
      <c r="N317" s="19">
        <f>365*(2010-1967)</f>
        <v>15695</v>
      </c>
      <c r="O317" s="19">
        <f>M317*32</f>
        <v>1.3333333333333333</v>
      </c>
      <c r="P317" s="19">
        <f t="shared" ref="P317:P318" si="68">365*(2010-1967)</f>
        <v>15695</v>
      </c>
      <c r="Q317" s="9">
        <v>1</v>
      </c>
      <c r="R317" s="9">
        <v>0</v>
      </c>
      <c r="S317" s="9">
        <v>0</v>
      </c>
      <c r="T317" s="9">
        <v>0</v>
      </c>
      <c r="U317" s="19"/>
      <c r="V317" s="19" t="s">
        <v>816</v>
      </c>
      <c r="W317" s="19"/>
    </row>
    <row r="318" spans="1:23">
      <c r="A318" s="254" t="s">
        <v>767</v>
      </c>
      <c r="B318" s="243" t="s">
        <v>651</v>
      </c>
      <c r="C318" s="9" t="s">
        <v>15</v>
      </c>
      <c r="D318" s="19" t="s">
        <v>813</v>
      </c>
      <c r="E318" s="19">
        <v>2012</v>
      </c>
      <c r="F318" s="9" t="s">
        <v>774</v>
      </c>
      <c r="G318" s="19" t="s">
        <v>814</v>
      </c>
      <c r="H318" s="19" t="s">
        <v>815</v>
      </c>
      <c r="I318" s="19">
        <f>0.02*0.01</f>
        <v>2.0000000000000001E-4</v>
      </c>
      <c r="J318" s="297">
        <f>(2722+3180)/2</f>
        <v>2951</v>
      </c>
      <c r="K318" s="19">
        <f t="shared" si="67"/>
        <v>5600</v>
      </c>
      <c r="L318" s="244">
        <f t="shared" si="40"/>
        <v>5.9020000000000008E-5</v>
      </c>
      <c r="M318" s="19">
        <f>1/1440</f>
        <v>6.9444444444444447E-4</v>
      </c>
      <c r="N318" s="19">
        <f>365*(2010-1967)</f>
        <v>15695</v>
      </c>
      <c r="O318" s="19">
        <f>1/1440*2</f>
        <v>1.3888888888888889E-3</v>
      </c>
      <c r="P318" s="19">
        <f t="shared" si="68"/>
        <v>15695</v>
      </c>
      <c r="Q318" s="9">
        <v>0</v>
      </c>
      <c r="R318" s="9">
        <v>0</v>
      </c>
      <c r="S318" s="9">
        <v>1</v>
      </c>
      <c r="T318" s="9">
        <v>0</v>
      </c>
      <c r="U318" s="19"/>
      <c r="V318" s="19" t="s">
        <v>817</v>
      </c>
      <c r="W318" s="19"/>
    </row>
    <row r="319" spans="1:23">
      <c r="A319" s="254" t="s">
        <v>767</v>
      </c>
      <c r="B319" s="243" t="s">
        <v>651</v>
      </c>
      <c r="C319" s="9" t="s">
        <v>15</v>
      </c>
      <c r="D319" s="19" t="s">
        <v>813</v>
      </c>
      <c r="E319" s="19">
        <v>2012</v>
      </c>
      <c r="F319" s="249" t="s">
        <v>55</v>
      </c>
      <c r="G319" s="19" t="s">
        <v>814</v>
      </c>
      <c r="H319" s="19" t="s">
        <v>815</v>
      </c>
      <c r="I319" s="249">
        <f t="shared" ref="I319:I320" si="69">0.1*0.1</f>
        <v>1.0000000000000002E-2</v>
      </c>
      <c r="J319" s="249">
        <f>(100^2*16)/I319</f>
        <v>15999999.999999996</v>
      </c>
      <c r="K319" s="255">
        <f t="shared" ref="K319:K320" si="70">L319</f>
        <v>16</v>
      </c>
      <c r="L319" s="244">
        <f t="shared" si="40"/>
        <v>16</v>
      </c>
      <c r="M319" s="249">
        <f>1/60/60/24</f>
        <v>1.1574074074074073E-5</v>
      </c>
      <c r="N319" s="249">
        <f>365*(2005-1968)</f>
        <v>13505</v>
      </c>
      <c r="O319" s="297">
        <f>M319*2</f>
        <v>2.3148148148148147E-5</v>
      </c>
      <c r="P319" s="249">
        <f>365*(2005-1968)</f>
        <v>13505</v>
      </c>
      <c r="Q319" s="9">
        <v>0</v>
      </c>
      <c r="R319" s="9">
        <v>0</v>
      </c>
      <c r="S319" s="9">
        <v>0</v>
      </c>
      <c r="T319" s="9">
        <v>0</v>
      </c>
      <c r="U319" s="19"/>
      <c r="V319" s="19" t="s">
        <v>818</v>
      </c>
      <c r="W319" s="19"/>
    </row>
    <row r="320" spans="1:23">
      <c r="A320" s="254" t="s">
        <v>767</v>
      </c>
      <c r="B320" s="243" t="s">
        <v>651</v>
      </c>
      <c r="C320" s="9" t="s">
        <v>15</v>
      </c>
      <c r="D320" s="19" t="s">
        <v>813</v>
      </c>
      <c r="E320" s="19">
        <v>2012</v>
      </c>
      <c r="F320" s="9" t="s">
        <v>774</v>
      </c>
      <c r="G320" s="19" t="s">
        <v>814</v>
      </c>
      <c r="H320" s="19" t="s">
        <v>815</v>
      </c>
      <c r="I320" s="19">
        <f t="shared" si="69"/>
        <v>1.0000000000000002E-2</v>
      </c>
      <c r="J320" s="19">
        <v>1</v>
      </c>
      <c r="K320" s="29">
        <f t="shared" si="70"/>
        <v>1.0000000000000002E-6</v>
      </c>
      <c r="L320" s="244">
        <f t="shared" si="40"/>
        <v>1.0000000000000002E-6</v>
      </c>
      <c r="M320" s="249">
        <v>1</v>
      </c>
      <c r="N320" s="19">
        <v>1</v>
      </c>
      <c r="O320" s="19">
        <f>M320*P320</f>
        <v>15695</v>
      </c>
      <c r="P320" s="19">
        <f>365*(2010-1967)</f>
        <v>15695</v>
      </c>
      <c r="Q320" s="9">
        <v>0</v>
      </c>
      <c r="R320" s="9">
        <v>0</v>
      </c>
      <c r="S320" s="9">
        <v>0</v>
      </c>
      <c r="T320" s="9">
        <v>0</v>
      </c>
      <c r="U320" s="19"/>
      <c r="V320" s="19" t="s">
        <v>819</v>
      </c>
      <c r="W320" s="19"/>
    </row>
    <row r="321" spans="1:23">
      <c r="A321" s="254" t="s">
        <v>767</v>
      </c>
      <c r="B321" s="243" t="s">
        <v>651</v>
      </c>
      <c r="C321" s="9" t="s">
        <v>15</v>
      </c>
      <c r="D321" s="19" t="s">
        <v>820</v>
      </c>
      <c r="E321" s="19">
        <v>2009</v>
      </c>
      <c r="F321" s="9" t="s">
        <v>786</v>
      </c>
      <c r="G321" s="19" t="s">
        <v>821</v>
      </c>
      <c r="H321" s="19" t="s">
        <v>822</v>
      </c>
      <c r="I321" s="19">
        <f>PI()*0.05^2</f>
        <v>7.8539816339744835E-3</v>
      </c>
      <c r="J321" s="19">
        <v>23</v>
      </c>
      <c r="K321" s="19">
        <v>72000</v>
      </c>
      <c r="L321" s="244">
        <f t="shared" si="40"/>
        <v>1.806415775814131E-5</v>
      </c>
      <c r="M321" s="19">
        <f>30/1440</f>
        <v>2.0833333333333332E-2</v>
      </c>
      <c r="N321" s="19">
        <v>0</v>
      </c>
      <c r="O321" s="19">
        <f>30/1440</f>
        <v>2.0833333333333332E-2</v>
      </c>
      <c r="P321" s="297">
        <f>O321</f>
        <v>2.0833333333333332E-2</v>
      </c>
      <c r="Q321" s="9">
        <v>0</v>
      </c>
      <c r="R321" s="9">
        <v>2</v>
      </c>
      <c r="S321" s="9">
        <v>2</v>
      </c>
      <c r="T321" s="9">
        <v>0</v>
      </c>
      <c r="U321" s="19"/>
      <c r="V321" s="19" t="s">
        <v>823</v>
      </c>
      <c r="W321" s="19"/>
    </row>
    <row r="322" spans="1:23">
      <c r="A322" s="254" t="s">
        <v>767</v>
      </c>
      <c r="B322" s="243" t="s">
        <v>651</v>
      </c>
      <c r="C322" s="9" t="s">
        <v>555</v>
      </c>
      <c r="D322" s="19" t="s">
        <v>824</v>
      </c>
      <c r="E322" s="19">
        <v>2010</v>
      </c>
      <c r="F322" s="9" t="s">
        <v>786</v>
      </c>
      <c r="G322" s="19" t="s">
        <v>135</v>
      </c>
      <c r="H322" s="19" t="s">
        <v>825</v>
      </c>
      <c r="I322" s="19">
        <f>3</f>
        <v>3</v>
      </c>
      <c r="J322" s="19">
        <v>220</v>
      </c>
      <c r="K322" s="19">
        <v>100000</v>
      </c>
      <c r="L322" s="244">
        <f t="shared" si="40"/>
        <v>6.6000000000000003E-2</v>
      </c>
      <c r="M322" s="298">
        <v>5</v>
      </c>
      <c r="N322" s="19">
        <v>365</v>
      </c>
      <c r="O322" s="19">
        <f>M322*14</f>
        <v>70</v>
      </c>
      <c r="P322" s="19">
        <f>14*365</f>
        <v>5110</v>
      </c>
      <c r="Q322" s="9">
        <v>0</v>
      </c>
      <c r="R322" s="9">
        <v>1</v>
      </c>
      <c r="S322" s="9">
        <v>0</v>
      </c>
      <c r="T322" s="9">
        <v>0</v>
      </c>
      <c r="U322" s="19"/>
      <c r="V322" s="19" t="s">
        <v>826</v>
      </c>
      <c r="W322" s="19"/>
    </row>
    <row r="323" spans="1:23">
      <c r="A323" s="254" t="s">
        <v>767</v>
      </c>
      <c r="B323" s="243" t="s">
        <v>651</v>
      </c>
      <c r="C323" s="9" t="s">
        <v>827</v>
      </c>
      <c r="D323" s="19" t="s">
        <v>828</v>
      </c>
      <c r="E323" s="19">
        <v>2004</v>
      </c>
      <c r="F323" s="9" t="s">
        <v>829</v>
      </c>
      <c r="G323" s="19" t="s">
        <v>830</v>
      </c>
      <c r="H323" s="19" t="s">
        <v>831</v>
      </c>
      <c r="I323" s="249">
        <f>AVERAGE(60, 28.5, 28.5, 5)^2</f>
        <v>930.25</v>
      </c>
      <c r="J323" s="249">
        <f>(11721*100*10000)/I323</f>
        <v>12599838.75302338</v>
      </c>
      <c r="K323" s="258">
        <f>L323</f>
        <v>1172100</v>
      </c>
      <c r="L323" s="248">
        <f t="shared" si="40"/>
        <v>1172100</v>
      </c>
      <c r="M323" s="249">
        <f>1/60/60/24</f>
        <v>1.1574074074074073E-5</v>
      </c>
      <c r="N323" s="19">
        <f>(19*365 + 7*365 + 14*365)/3</f>
        <v>4866.666666666667</v>
      </c>
      <c r="O323" s="19">
        <f>M323*4</f>
        <v>4.6296296296296294E-5</v>
      </c>
      <c r="P323" s="19">
        <f>40*365</f>
        <v>14600</v>
      </c>
      <c r="Q323" s="9">
        <v>0</v>
      </c>
      <c r="R323" s="9">
        <v>0</v>
      </c>
      <c r="S323" s="9">
        <v>2</v>
      </c>
      <c r="T323" s="9">
        <v>0</v>
      </c>
      <c r="U323" s="19"/>
      <c r="V323" s="19" t="s">
        <v>832</v>
      </c>
      <c r="W323" s="19"/>
    </row>
    <row r="324" spans="1:23">
      <c r="A324" s="254" t="s">
        <v>767</v>
      </c>
      <c r="B324" s="243" t="s">
        <v>651</v>
      </c>
      <c r="C324" s="9" t="s">
        <v>87</v>
      </c>
      <c r="D324" s="19" t="s">
        <v>833</v>
      </c>
      <c r="E324" s="19">
        <v>2011</v>
      </c>
      <c r="F324" s="9" t="s">
        <v>774</v>
      </c>
      <c r="G324" s="19" t="s">
        <v>834</v>
      </c>
      <c r="H324" s="19" t="s">
        <v>835</v>
      </c>
      <c r="I324" s="19">
        <f>24*25</f>
        <v>600</v>
      </c>
      <c r="J324" s="19">
        <v>10</v>
      </c>
      <c r="K324" s="19">
        <v>60000000</v>
      </c>
      <c r="L324" s="244">
        <f t="shared" si="40"/>
        <v>0.6</v>
      </c>
      <c r="M324" s="19">
        <f t="shared" ref="M324:M325" si="71">1/24</f>
        <v>4.1666666666666664E-2</v>
      </c>
      <c r="N324" s="19">
        <v>0</v>
      </c>
      <c r="O324" s="19">
        <f t="shared" ref="O324:O326" si="72">M324</f>
        <v>4.1666666666666664E-2</v>
      </c>
      <c r="P324" s="297">
        <f t="shared" ref="P324:P326" si="73">O324</f>
        <v>4.1666666666666664E-2</v>
      </c>
      <c r="Q324" s="9">
        <v>3</v>
      </c>
      <c r="R324" s="9">
        <v>2</v>
      </c>
      <c r="S324" s="19">
        <v>2</v>
      </c>
      <c r="T324" s="9">
        <v>2</v>
      </c>
      <c r="U324" s="19"/>
      <c r="V324" s="19" t="s">
        <v>836</v>
      </c>
      <c r="W324" s="19"/>
    </row>
    <row r="325" spans="1:23">
      <c r="A325" s="254" t="s">
        <v>767</v>
      </c>
      <c r="B325" s="243" t="s">
        <v>651</v>
      </c>
      <c r="C325" s="9" t="s">
        <v>87</v>
      </c>
      <c r="D325" s="19" t="s">
        <v>833</v>
      </c>
      <c r="E325" s="19">
        <v>2011</v>
      </c>
      <c r="F325" s="9" t="s">
        <v>774</v>
      </c>
      <c r="G325" s="19" t="s">
        <v>834</v>
      </c>
      <c r="H325" s="19" t="s">
        <v>835</v>
      </c>
      <c r="I325" s="298">
        <v>7000</v>
      </c>
      <c r="J325" s="19">
        <v>3</v>
      </c>
      <c r="K325" s="19">
        <v>9700000</v>
      </c>
      <c r="L325" s="244">
        <f t="shared" si="40"/>
        <v>2.1</v>
      </c>
      <c r="M325" s="19">
        <f t="shared" si="71"/>
        <v>4.1666666666666664E-2</v>
      </c>
      <c r="N325" s="298">
        <v>0</v>
      </c>
      <c r="O325" s="297">
        <f t="shared" si="72"/>
        <v>4.1666666666666664E-2</v>
      </c>
      <c r="P325" s="297">
        <f t="shared" si="73"/>
        <v>4.1666666666666664E-2</v>
      </c>
      <c r="Q325" s="9">
        <v>3</v>
      </c>
      <c r="R325" s="9">
        <v>0</v>
      </c>
      <c r="S325" s="9">
        <v>0</v>
      </c>
      <c r="T325" s="9">
        <v>2</v>
      </c>
      <c r="U325" s="19"/>
      <c r="V325" s="19" t="s">
        <v>837</v>
      </c>
      <c r="W325" s="19"/>
    </row>
    <row r="326" spans="1:23">
      <c r="A326" s="254" t="s">
        <v>767</v>
      </c>
      <c r="B326" s="243" t="s">
        <v>651</v>
      </c>
      <c r="C326" s="9" t="s">
        <v>87</v>
      </c>
      <c r="D326" s="19" t="s">
        <v>833</v>
      </c>
      <c r="E326" s="19">
        <v>2011</v>
      </c>
      <c r="F326" s="9" t="s">
        <v>774</v>
      </c>
      <c r="G326" s="19" t="s">
        <v>834</v>
      </c>
      <c r="H326" s="19" t="s">
        <v>835</v>
      </c>
      <c r="I326" s="19">
        <f>1*10^-7/3</f>
        <v>3.3333333333333334E-8</v>
      </c>
      <c r="J326" s="19">
        <f>106*20</f>
        <v>2120</v>
      </c>
      <c r="K326" s="19">
        <v>60000000</v>
      </c>
      <c r="L326" s="244">
        <f t="shared" si="40"/>
        <v>7.0666666666666671E-9</v>
      </c>
      <c r="M326" s="19">
        <f>5/1440</f>
        <v>3.472222222222222E-3</v>
      </c>
      <c r="N326" s="19">
        <v>0</v>
      </c>
      <c r="O326" s="249">
        <f t="shared" si="72"/>
        <v>3.472222222222222E-3</v>
      </c>
      <c r="P326" s="297">
        <f t="shared" si="73"/>
        <v>3.472222222222222E-3</v>
      </c>
      <c r="Q326" s="9">
        <v>3</v>
      </c>
      <c r="R326" s="9">
        <v>0</v>
      </c>
      <c r="S326" s="9">
        <v>2</v>
      </c>
      <c r="T326" s="9">
        <v>2</v>
      </c>
      <c r="U326" s="19"/>
      <c r="V326" s="19" t="s">
        <v>838</v>
      </c>
      <c r="W326" s="19"/>
    </row>
    <row r="327" spans="1:23">
      <c r="A327" s="299" t="s">
        <v>767</v>
      </c>
      <c r="B327" s="300" t="s">
        <v>651</v>
      </c>
      <c r="C327" s="301" t="s">
        <v>2</v>
      </c>
      <c r="D327" s="302" t="s">
        <v>839</v>
      </c>
      <c r="E327" s="302">
        <v>2012</v>
      </c>
      <c r="F327" s="301" t="s">
        <v>774</v>
      </c>
      <c r="G327" s="302" t="s">
        <v>840</v>
      </c>
      <c r="H327" s="302" t="s">
        <v>841</v>
      </c>
      <c r="I327" s="302">
        <v>1</v>
      </c>
      <c r="J327" s="302">
        <v>750</v>
      </c>
      <c r="K327" s="302">
        <v>12000</v>
      </c>
      <c r="L327" s="303">
        <f t="shared" si="40"/>
        <v>7.4999999999999997E-2</v>
      </c>
      <c r="M327" s="302">
        <f>15/1440</f>
        <v>1.0416666666666666E-2</v>
      </c>
      <c r="N327" s="302">
        <f>3</f>
        <v>3</v>
      </c>
      <c r="O327" s="302">
        <f>M327*24*17</f>
        <v>4.25</v>
      </c>
      <c r="P327" s="302">
        <f>17*365</f>
        <v>6205</v>
      </c>
      <c r="Q327" s="301">
        <v>0</v>
      </c>
      <c r="R327" s="301">
        <v>3</v>
      </c>
      <c r="S327" s="301">
        <v>0</v>
      </c>
      <c r="T327" s="301">
        <v>0</v>
      </c>
      <c r="U327" s="302"/>
      <c r="V327" s="302" t="s">
        <v>842</v>
      </c>
      <c r="W327" s="302"/>
    </row>
    <row r="328" spans="1:23">
      <c r="A328" s="299" t="s">
        <v>767</v>
      </c>
      <c r="B328" s="300" t="s">
        <v>651</v>
      </c>
      <c r="C328" s="301" t="s">
        <v>2</v>
      </c>
      <c r="D328" s="302" t="s">
        <v>839</v>
      </c>
      <c r="E328" s="302">
        <v>2012</v>
      </c>
      <c r="F328" s="301" t="s">
        <v>774</v>
      </c>
      <c r="G328" s="302" t="s">
        <v>840</v>
      </c>
      <c r="H328" s="302" t="s">
        <v>841</v>
      </c>
      <c r="I328" s="302">
        <f>0.03*0.01</f>
        <v>2.9999999999999997E-4</v>
      </c>
      <c r="J328" s="306">
        <f>683*0.959</f>
        <v>654.99699999999996</v>
      </c>
      <c r="K328" s="302">
        <v>12000</v>
      </c>
      <c r="L328" s="303">
        <f t="shared" si="40"/>
        <v>1.9649909999999997E-5</v>
      </c>
      <c r="M328" s="302">
        <f>5/1440</f>
        <v>3.472222222222222E-3</v>
      </c>
      <c r="N328" s="298">
        <v>0</v>
      </c>
      <c r="O328" s="297">
        <f>M328</f>
        <v>3.472222222222222E-3</v>
      </c>
      <c r="P328" s="297">
        <f>O328</f>
        <v>3.472222222222222E-3</v>
      </c>
      <c r="Q328" s="301">
        <v>0</v>
      </c>
      <c r="R328" s="301">
        <v>1</v>
      </c>
      <c r="S328" s="301">
        <v>0</v>
      </c>
      <c r="T328" s="301">
        <v>0</v>
      </c>
      <c r="U328" s="302"/>
      <c r="V328" s="302" t="s">
        <v>843</v>
      </c>
      <c r="W328" s="302"/>
    </row>
    <row r="329" spans="1:23">
      <c r="A329" s="254" t="s">
        <v>767</v>
      </c>
      <c r="B329" s="243" t="s">
        <v>651</v>
      </c>
      <c r="C329" s="9" t="s">
        <v>65</v>
      </c>
      <c r="D329" s="19" t="s">
        <v>844</v>
      </c>
      <c r="E329" s="19">
        <v>2010</v>
      </c>
      <c r="F329" s="9" t="s">
        <v>774</v>
      </c>
      <c r="G329" s="19" t="s">
        <v>845</v>
      </c>
      <c r="H329" s="297" t="s">
        <v>846</v>
      </c>
      <c r="I329" s="298">
        <v>1948</v>
      </c>
      <c r="J329" s="298">
        <v>46</v>
      </c>
      <c r="K329" s="297">
        <v>7000000</v>
      </c>
      <c r="L329" s="307">
        <f t="shared" si="40"/>
        <v>8.9608000000000008</v>
      </c>
      <c r="M329" s="297">
        <f>12/24</f>
        <v>0.5</v>
      </c>
      <c r="N329" s="297">
        <f>(319/46-0.5*7.4)/7.4</f>
        <v>0.43713278495887187</v>
      </c>
      <c r="O329" s="297">
        <f>0.5*7.4</f>
        <v>3.7</v>
      </c>
      <c r="P329" s="298">
        <f>319/46</f>
        <v>6.9347826086956523</v>
      </c>
      <c r="Q329" s="9">
        <v>0</v>
      </c>
      <c r="R329" s="9">
        <v>1</v>
      </c>
      <c r="S329" s="9">
        <v>0</v>
      </c>
      <c r="T329" s="9">
        <v>1</v>
      </c>
      <c r="U329" s="19"/>
      <c r="V329" s="19" t="s">
        <v>847</v>
      </c>
      <c r="W329" s="19"/>
    </row>
    <row r="330" spans="1:23">
      <c r="A330" s="305" t="s">
        <v>767</v>
      </c>
      <c r="B330" s="305" t="s">
        <v>651</v>
      </c>
      <c r="C330" s="297" t="s">
        <v>65</v>
      </c>
      <c r="D330" s="297" t="s">
        <v>844</v>
      </c>
      <c r="E330" s="297">
        <v>2010</v>
      </c>
      <c r="F330" s="297" t="s">
        <v>774</v>
      </c>
      <c r="G330" s="297" t="s">
        <v>845</v>
      </c>
      <c r="H330" s="297" t="s">
        <v>846</v>
      </c>
      <c r="I330" s="298">
        <f>500*30000</f>
        <v>15000000</v>
      </c>
      <c r="J330" s="298">
        <v>20</v>
      </c>
      <c r="K330" s="297">
        <v>7000000</v>
      </c>
      <c r="L330" s="307">
        <f t="shared" si="40"/>
        <v>30000</v>
      </c>
      <c r="M330" s="297">
        <f>8/24</f>
        <v>0.33333333333333331</v>
      </c>
      <c r="N330" s="297">
        <f>(129/20-0.333333*138/20)/(138/20)</f>
        <v>0.60144960869565223</v>
      </c>
      <c r="O330" s="297">
        <f>M330*138/20</f>
        <v>2.2999999999999998</v>
      </c>
      <c r="P330" s="297">
        <f>129/20</f>
        <v>6.45</v>
      </c>
      <c r="Q330" s="297">
        <v>0</v>
      </c>
      <c r="R330" s="297">
        <v>1</v>
      </c>
      <c r="S330" s="297">
        <v>0</v>
      </c>
      <c r="T330" s="297">
        <v>1</v>
      </c>
      <c r="U330" s="297"/>
      <c r="V330" s="297" t="s">
        <v>847</v>
      </c>
      <c r="W330" s="297"/>
    </row>
    <row r="331" spans="1:23">
      <c r="A331" s="254" t="s">
        <v>767</v>
      </c>
      <c r="B331" s="243" t="s">
        <v>651</v>
      </c>
      <c r="C331" s="9" t="s">
        <v>15</v>
      </c>
      <c r="D331" s="19" t="s">
        <v>848</v>
      </c>
      <c r="E331" s="19">
        <v>2009</v>
      </c>
      <c r="F331" s="9" t="s">
        <v>774</v>
      </c>
      <c r="G331" s="19" t="s">
        <v>849</v>
      </c>
      <c r="H331" s="19" t="s">
        <v>850</v>
      </c>
      <c r="I331" s="249">
        <f>0.05^2</f>
        <v>2.5000000000000005E-3</v>
      </c>
      <c r="J331" s="249">
        <v>160</v>
      </c>
      <c r="K331" s="249">
        <f>338424*100</f>
        <v>33842400</v>
      </c>
      <c r="L331" s="244">
        <f t="shared" si="40"/>
        <v>4.000000000000001E-5</v>
      </c>
      <c r="M331" s="249">
        <f>365</f>
        <v>365</v>
      </c>
      <c r="N331" s="249">
        <v>365</v>
      </c>
      <c r="O331" s="249">
        <f t="shared" ref="O331:O332" si="74">M331*10</f>
        <v>3650</v>
      </c>
      <c r="P331" s="19">
        <f t="shared" ref="P331:P332" si="75">12*365</f>
        <v>4380</v>
      </c>
      <c r="Q331" s="9">
        <v>0</v>
      </c>
      <c r="R331" s="9">
        <v>0</v>
      </c>
      <c r="S331" s="9">
        <v>1</v>
      </c>
      <c r="T331" s="9">
        <v>0</v>
      </c>
      <c r="U331" s="249" t="s">
        <v>851</v>
      </c>
      <c r="V331" s="19" t="s">
        <v>852</v>
      </c>
      <c r="W331" s="19"/>
    </row>
    <row r="332" spans="1:23">
      <c r="A332" s="254" t="s">
        <v>767</v>
      </c>
      <c r="B332" s="243" t="s">
        <v>651</v>
      </c>
      <c r="C332" s="9" t="s">
        <v>15</v>
      </c>
      <c r="D332" s="19" t="s">
        <v>848</v>
      </c>
      <c r="E332" s="19">
        <v>2009</v>
      </c>
      <c r="F332" s="9" t="s">
        <v>774</v>
      </c>
      <c r="G332" s="19" t="s">
        <v>849</v>
      </c>
      <c r="H332" s="19" t="s">
        <v>850</v>
      </c>
      <c r="I332" s="258">
        <v>1661252.981314043</v>
      </c>
      <c r="J332" s="262">
        <v>445.45454545454544</v>
      </c>
      <c r="K332" s="249">
        <v>33842400</v>
      </c>
      <c r="L332" s="244">
        <f t="shared" si="40"/>
        <v>74001.269167625549</v>
      </c>
      <c r="M332" s="19">
        <f>(10*2)/24</f>
        <v>0.83333333333333337</v>
      </c>
      <c r="N332" s="19">
        <v>365</v>
      </c>
      <c r="O332" s="249">
        <f t="shared" si="74"/>
        <v>8.3333333333333339</v>
      </c>
      <c r="P332" s="19">
        <f t="shared" si="75"/>
        <v>4380</v>
      </c>
      <c r="Q332" s="9">
        <v>1</v>
      </c>
      <c r="R332" s="9">
        <v>0</v>
      </c>
      <c r="S332" s="9">
        <v>0</v>
      </c>
      <c r="T332" s="9">
        <v>2</v>
      </c>
      <c r="U332" s="19" t="s">
        <v>853</v>
      </c>
      <c r="V332" s="9" t="s">
        <v>854</v>
      </c>
      <c r="W332" s="19"/>
    </row>
    <row r="333" spans="1:23">
      <c r="A333" s="254" t="s">
        <v>767</v>
      </c>
      <c r="B333" s="243" t="s">
        <v>651</v>
      </c>
      <c r="C333" s="9" t="s">
        <v>827</v>
      </c>
      <c r="D333" s="19" t="s">
        <v>855</v>
      </c>
      <c r="E333" s="19">
        <v>2008</v>
      </c>
      <c r="F333" s="249" t="s">
        <v>55</v>
      </c>
      <c r="G333" s="9" t="s">
        <v>856</v>
      </c>
      <c r="H333" s="9" t="s">
        <v>857</v>
      </c>
      <c r="I333" s="249">
        <f>0.2*0.2</f>
        <v>4.0000000000000008E-2</v>
      </c>
      <c r="J333" s="19">
        <f>(500^2*PI()*13)/I333</f>
        <v>255254403.10417065</v>
      </c>
      <c r="K333" s="19">
        <f>1750*100</f>
        <v>175000</v>
      </c>
      <c r="L333" s="244">
        <f t="shared" si="40"/>
        <v>1021.0176124166827</v>
      </c>
      <c r="M333" s="249">
        <f>1/60/60/24</f>
        <v>1.1574074074074073E-5</v>
      </c>
      <c r="N333" s="9">
        <f>40*365</f>
        <v>14600</v>
      </c>
      <c r="O333" s="19">
        <f>M333*2</f>
        <v>2.3148148148148147E-5</v>
      </c>
      <c r="P333" s="19">
        <f>(2002-1960)*365</f>
        <v>15330</v>
      </c>
      <c r="Q333" s="9">
        <v>1</v>
      </c>
      <c r="R333" s="9">
        <v>0</v>
      </c>
      <c r="S333" s="19">
        <v>2</v>
      </c>
      <c r="T333" s="19">
        <v>0</v>
      </c>
      <c r="U333" s="19"/>
      <c r="V333" s="19" t="s">
        <v>858</v>
      </c>
      <c r="W333" s="19"/>
    </row>
    <row r="334" spans="1:23">
      <c r="A334" s="254" t="s">
        <v>767</v>
      </c>
      <c r="B334" s="243" t="s">
        <v>651</v>
      </c>
      <c r="C334" s="19" t="s">
        <v>34</v>
      </c>
      <c r="D334" s="19" t="s">
        <v>859</v>
      </c>
      <c r="E334" s="19">
        <v>2011</v>
      </c>
      <c r="F334" s="19" t="s">
        <v>774</v>
      </c>
      <c r="G334" s="19" t="s">
        <v>860</v>
      </c>
      <c r="H334" s="19" t="s">
        <v>861</v>
      </c>
      <c r="I334" s="19">
        <f t="shared" ref="I334:I335" si="76">0.3*0.15</f>
        <v>4.4999999999999998E-2</v>
      </c>
      <c r="J334" s="19">
        <f>49*2-22</f>
        <v>76</v>
      </c>
      <c r="K334" s="19">
        <f t="shared" ref="K334:K337" si="77">0.1*3</f>
        <v>0.30000000000000004</v>
      </c>
      <c r="L334" s="244">
        <f t="shared" si="40"/>
        <v>3.4200000000000002E-4</v>
      </c>
      <c r="M334" s="19">
        <f t="shared" ref="M334:M335" si="78">30/1440</f>
        <v>2.0833333333333332E-2</v>
      </c>
      <c r="N334" s="19">
        <v>0</v>
      </c>
      <c r="O334" s="19">
        <f>30/1440</f>
        <v>2.0833333333333332E-2</v>
      </c>
      <c r="P334" s="297">
        <f>O334</f>
        <v>2.0833333333333332E-2</v>
      </c>
      <c r="Q334" s="9">
        <v>0</v>
      </c>
      <c r="R334" s="9">
        <v>2</v>
      </c>
      <c r="S334" s="9">
        <v>0</v>
      </c>
      <c r="T334" s="9">
        <v>0</v>
      </c>
      <c r="U334" s="19"/>
      <c r="V334" s="9" t="s">
        <v>862</v>
      </c>
      <c r="W334" s="19"/>
    </row>
    <row r="335" spans="1:23">
      <c r="A335" s="254" t="s">
        <v>767</v>
      </c>
      <c r="B335" s="243" t="s">
        <v>651</v>
      </c>
      <c r="C335" s="19" t="s">
        <v>34</v>
      </c>
      <c r="D335" s="298" t="s">
        <v>859</v>
      </c>
      <c r="E335" s="19">
        <v>2011</v>
      </c>
      <c r="F335" s="19" t="s">
        <v>774</v>
      </c>
      <c r="G335" s="19" t="s">
        <v>860</v>
      </c>
      <c r="H335" s="19" t="s">
        <v>861</v>
      </c>
      <c r="I335" s="19">
        <f t="shared" si="76"/>
        <v>4.4999999999999998E-2</v>
      </c>
      <c r="J335" s="19">
        <v>22</v>
      </c>
      <c r="K335" s="19">
        <f t="shared" si="77"/>
        <v>0.30000000000000004</v>
      </c>
      <c r="L335" s="244">
        <f t="shared" si="40"/>
        <v>9.8999999999999994E-5</v>
      </c>
      <c r="M335" s="19">
        <f t="shared" si="78"/>
        <v>2.0833333333333332E-2</v>
      </c>
      <c r="N335" s="19">
        <v>10</v>
      </c>
      <c r="O335" s="19">
        <f>M335*2</f>
        <v>4.1666666666666664E-2</v>
      </c>
      <c r="P335" s="297">
        <f>N335</f>
        <v>10</v>
      </c>
      <c r="Q335" s="9">
        <v>0</v>
      </c>
      <c r="R335" s="9">
        <v>1</v>
      </c>
      <c r="S335" s="9">
        <v>0</v>
      </c>
      <c r="T335" s="9">
        <v>0</v>
      </c>
      <c r="U335" s="19"/>
      <c r="V335" s="9" t="s">
        <v>863</v>
      </c>
      <c r="W335" s="19"/>
    </row>
    <row r="336" spans="1:23">
      <c r="A336" s="254" t="s">
        <v>767</v>
      </c>
      <c r="B336" s="243" t="s">
        <v>651</v>
      </c>
      <c r="C336" s="19" t="s">
        <v>34</v>
      </c>
      <c r="D336" s="298" t="s">
        <v>859</v>
      </c>
      <c r="E336" s="19">
        <v>2011</v>
      </c>
      <c r="F336" s="19" t="s">
        <v>774</v>
      </c>
      <c r="G336" s="19" t="s">
        <v>860</v>
      </c>
      <c r="H336" s="19" t="s">
        <v>861</v>
      </c>
      <c r="I336" s="19">
        <f>0.1*0.05</f>
        <v>5.000000000000001E-3</v>
      </c>
      <c r="J336" s="19">
        <f>49+39</f>
        <v>88</v>
      </c>
      <c r="K336" s="19">
        <f t="shared" si="77"/>
        <v>0.30000000000000004</v>
      </c>
      <c r="L336" s="244">
        <f t="shared" si="40"/>
        <v>4.4000000000000006E-5</v>
      </c>
      <c r="M336" s="19">
        <f>15/1440</f>
        <v>1.0416666666666666E-2</v>
      </c>
      <c r="N336" s="19">
        <v>2</v>
      </c>
      <c r="O336" s="19">
        <f>M336*(4*30/2)</f>
        <v>0.625</v>
      </c>
      <c r="P336" s="19">
        <f>4*30</f>
        <v>120</v>
      </c>
      <c r="Q336" s="9">
        <v>0</v>
      </c>
      <c r="R336" s="9">
        <v>1</v>
      </c>
      <c r="S336" s="9">
        <v>0</v>
      </c>
      <c r="T336" s="9">
        <v>0</v>
      </c>
      <c r="U336" s="19"/>
      <c r="V336" s="9" t="s">
        <v>864</v>
      </c>
      <c r="W336" s="19"/>
    </row>
    <row r="337" spans="1:23">
      <c r="A337" s="254" t="s">
        <v>767</v>
      </c>
      <c r="B337" s="243" t="s">
        <v>651</v>
      </c>
      <c r="C337" s="19" t="s">
        <v>34</v>
      </c>
      <c r="D337" s="298" t="s">
        <v>859</v>
      </c>
      <c r="E337" s="19">
        <v>2011</v>
      </c>
      <c r="F337" s="19" t="s">
        <v>774</v>
      </c>
      <c r="G337" s="19" t="s">
        <v>860</v>
      </c>
      <c r="H337" s="19" t="s">
        <v>861</v>
      </c>
      <c r="I337" s="19">
        <f>0.3*0.3</f>
        <v>0.09</v>
      </c>
      <c r="J337" s="19">
        <v>36</v>
      </c>
      <c r="K337" s="19">
        <f t="shared" si="77"/>
        <v>0.30000000000000004</v>
      </c>
      <c r="L337" s="244">
        <f t="shared" si="40"/>
        <v>3.2399999999999996E-4</v>
      </c>
      <c r="M337" s="19">
        <f>((1+1+2)/3)/24</f>
        <v>5.5555555555555552E-2</v>
      </c>
      <c r="N337" s="19">
        <v>4</v>
      </c>
      <c r="O337" s="297">
        <f>5/24</f>
        <v>0.20833333333333334</v>
      </c>
      <c r="P337" s="297">
        <f>7.5 + 5/24</f>
        <v>7.708333333333333</v>
      </c>
      <c r="Q337" s="9">
        <v>0</v>
      </c>
      <c r="R337" s="9">
        <v>1</v>
      </c>
      <c r="S337" s="9">
        <v>0</v>
      </c>
      <c r="T337" s="9">
        <v>0</v>
      </c>
      <c r="U337" s="19"/>
      <c r="V337" s="9" t="s">
        <v>819</v>
      </c>
      <c r="W337" s="19"/>
    </row>
    <row r="338" spans="1:23">
      <c r="A338" s="254" t="s">
        <v>767</v>
      </c>
      <c r="B338" s="243" t="s">
        <v>651</v>
      </c>
      <c r="C338" s="19" t="s">
        <v>73</v>
      </c>
      <c r="D338" s="19" t="s">
        <v>865</v>
      </c>
      <c r="E338" s="19">
        <v>2010</v>
      </c>
      <c r="F338" s="247" t="s">
        <v>774</v>
      </c>
      <c r="G338" s="19" t="s">
        <v>866</v>
      </c>
      <c r="H338" s="9" t="s">
        <v>867</v>
      </c>
      <c r="I338" s="19">
        <f>0.5*0.25</f>
        <v>0.125</v>
      </c>
      <c r="J338" s="19">
        <v>27</v>
      </c>
      <c r="K338" s="19">
        <f>1*4</f>
        <v>4</v>
      </c>
      <c r="L338" s="244">
        <f t="shared" si="40"/>
        <v>3.3750000000000002E-4</v>
      </c>
      <c r="M338" s="19">
        <f>30/1440</f>
        <v>2.0833333333333332E-2</v>
      </c>
      <c r="N338" s="19">
        <v>0</v>
      </c>
      <c r="O338" s="19">
        <f>30/1440</f>
        <v>2.0833333333333332E-2</v>
      </c>
      <c r="P338" s="297">
        <f>O338</f>
        <v>2.0833333333333332E-2</v>
      </c>
      <c r="Q338" s="19">
        <v>0</v>
      </c>
      <c r="R338" s="19">
        <v>1</v>
      </c>
      <c r="S338" s="19">
        <v>0</v>
      </c>
      <c r="T338" s="19">
        <v>0</v>
      </c>
      <c r="U338" s="19"/>
      <c r="V338" s="19" t="s">
        <v>868</v>
      </c>
      <c r="W338" s="19"/>
    </row>
    <row r="339" spans="1:23">
      <c r="A339" s="254" t="s">
        <v>767</v>
      </c>
      <c r="B339" s="243" t="s">
        <v>651</v>
      </c>
      <c r="C339" s="19" t="s">
        <v>869</v>
      </c>
      <c r="D339" s="19" t="s">
        <v>870</v>
      </c>
      <c r="E339" s="19">
        <v>2006</v>
      </c>
      <c r="F339" s="249" t="s">
        <v>4</v>
      </c>
      <c r="G339" s="9" t="s">
        <v>653</v>
      </c>
      <c r="H339" s="9" t="s">
        <v>871</v>
      </c>
      <c r="I339" s="249">
        <f>20*20</f>
        <v>400</v>
      </c>
      <c r="J339" s="249">
        <f>8+11</f>
        <v>19</v>
      </c>
      <c r="K339" s="249">
        <f>120*100</f>
        <v>12000</v>
      </c>
      <c r="L339" s="244">
        <f t="shared" si="40"/>
        <v>0.76</v>
      </c>
      <c r="M339" s="249">
        <v>2</v>
      </c>
      <c r="N339" s="19">
        <v>365</v>
      </c>
      <c r="O339" s="249">
        <f>M339*11</f>
        <v>22</v>
      </c>
      <c r="P339" s="249">
        <f>11*365</f>
        <v>4015</v>
      </c>
      <c r="Q339" s="19">
        <v>0</v>
      </c>
      <c r="R339" s="19">
        <v>1</v>
      </c>
      <c r="S339" s="19">
        <v>0</v>
      </c>
      <c r="T339" s="19">
        <v>0</v>
      </c>
      <c r="U339" s="259" t="s">
        <v>872</v>
      </c>
      <c r="V339" s="249" t="s">
        <v>873</v>
      </c>
      <c r="W339" s="19"/>
    </row>
    <row r="340" spans="1:23">
      <c r="A340" s="254" t="s">
        <v>767</v>
      </c>
      <c r="B340" s="243" t="s">
        <v>651</v>
      </c>
      <c r="C340" s="19" t="s">
        <v>869</v>
      </c>
      <c r="D340" s="19" t="s">
        <v>870</v>
      </c>
      <c r="E340" s="19">
        <v>2006</v>
      </c>
      <c r="F340" s="249" t="s">
        <v>4</v>
      </c>
      <c r="G340" s="19" t="s">
        <v>653</v>
      </c>
      <c r="H340" s="19" t="s">
        <v>874</v>
      </c>
      <c r="I340" s="258">
        <f t="shared" ref="I340:I341" si="79">RADIANS(45)/2*100^2*2</f>
        <v>7853.981633974483</v>
      </c>
      <c r="J340" s="249">
        <f>(11500*1000)/SQRT(100^2+100^2-(2*100*100)*COS(RADIANS(45)))</f>
        <v>150254.7409607833</v>
      </c>
      <c r="K340" s="249">
        <f>1948500/3</f>
        <v>649500</v>
      </c>
      <c r="L340" s="248">
        <f t="shared" si="40"/>
        <v>118009.79759235855</v>
      </c>
      <c r="M340" s="249">
        <f>30/(60*60*24)</f>
        <v>3.4722222222222224E-4</v>
      </c>
      <c r="N340" s="19">
        <v>365</v>
      </c>
      <c r="O340" s="249">
        <f>M340*13</f>
        <v>4.5138888888888893E-3</v>
      </c>
      <c r="P340" s="19">
        <f>13*365</f>
        <v>4745</v>
      </c>
      <c r="Q340" s="19">
        <v>0</v>
      </c>
      <c r="R340" s="19">
        <v>1</v>
      </c>
      <c r="S340" s="19">
        <v>0</v>
      </c>
      <c r="T340" s="19">
        <v>2</v>
      </c>
      <c r="U340" s="19" t="s">
        <v>875</v>
      </c>
      <c r="V340" s="249" t="s">
        <v>876</v>
      </c>
      <c r="W340" s="19"/>
    </row>
    <row r="341" spans="1:23">
      <c r="A341" s="254" t="s">
        <v>767</v>
      </c>
      <c r="B341" s="243" t="s">
        <v>651</v>
      </c>
      <c r="C341" s="19" t="s">
        <v>869</v>
      </c>
      <c r="D341" s="19" t="s">
        <v>870</v>
      </c>
      <c r="E341" s="19">
        <v>2006</v>
      </c>
      <c r="F341" s="249" t="s">
        <v>4</v>
      </c>
      <c r="G341" s="19" t="s">
        <v>653</v>
      </c>
      <c r="H341" s="19" t="s">
        <v>874</v>
      </c>
      <c r="I341" s="258">
        <f t="shared" si="79"/>
        <v>7853.981633974483</v>
      </c>
      <c r="J341" s="249">
        <f>(1000*1000)/SQRT(100^2+100^2-(2*100*100)*COS(RADIANS(45)))</f>
        <v>13065.629648763766</v>
      </c>
      <c r="K341" s="249">
        <f>19485*100/3</f>
        <v>649500</v>
      </c>
      <c r="L341" s="248">
        <f t="shared" si="40"/>
        <v>10261.72152977031</v>
      </c>
      <c r="M341" s="249">
        <f>300/(60*60*24)</f>
        <v>3.472222222222222E-3</v>
      </c>
      <c r="N341" s="19">
        <v>90</v>
      </c>
      <c r="O341" s="249">
        <f>M341*(1983-1978+1)*4</f>
        <v>8.3333333333333329E-2</v>
      </c>
      <c r="P341" s="19">
        <f>5*365</f>
        <v>1825</v>
      </c>
      <c r="Q341" s="19">
        <v>0</v>
      </c>
      <c r="R341" s="19">
        <v>1</v>
      </c>
      <c r="S341" s="19">
        <v>0</v>
      </c>
      <c r="T341" s="19">
        <v>0</v>
      </c>
      <c r="U341" s="19"/>
      <c r="V341" s="19" t="s">
        <v>877</v>
      </c>
      <c r="W341" s="19" t="s">
        <v>878</v>
      </c>
    </row>
    <row r="342" spans="1:23">
      <c r="A342" s="254" t="s">
        <v>767</v>
      </c>
      <c r="B342" s="243" t="s">
        <v>651</v>
      </c>
      <c r="C342" s="19" t="s">
        <v>869</v>
      </c>
      <c r="D342" s="19" t="s">
        <v>870</v>
      </c>
      <c r="E342" s="19">
        <v>2006</v>
      </c>
      <c r="F342" s="249" t="s">
        <v>4</v>
      </c>
      <c r="G342" s="19" t="s">
        <v>653</v>
      </c>
      <c r="H342" s="19" t="s">
        <v>874</v>
      </c>
      <c r="I342" s="249">
        <f>800*(67*2)</f>
        <v>107200</v>
      </c>
      <c r="J342" s="258">
        <f>(SQRT(288.3*100*1000)*SQRT(288.3*100*1000)/800*66)/(67*2)</f>
        <v>17749.813432835821</v>
      </c>
      <c r="K342" s="258">
        <v>190278</v>
      </c>
      <c r="L342" s="248">
        <f t="shared" si="40"/>
        <v>190278</v>
      </c>
      <c r="M342" s="249">
        <f>((67*2)/(176000/60/60))/(60*60*24)</f>
        <v>3.1723484848484848E-5</v>
      </c>
      <c r="N342" s="19">
        <v>365</v>
      </c>
      <c r="O342" s="249">
        <f>M342*19</f>
        <v>6.0274621212121212E-4</v>
      </c>
      <c r="P342" s="249">
        <f>(1996-1977+1)*365</f>
        <v>7300</v>
      </c>
      <c r="Q342" s="19">
        <v>0</v>
      </c>
      <c r="R342" s="19">
        <v>0</v>
      </c>
      <c r="S342" s="19">
        <v>0</v>
      </c>
      <c r="T342" s="19">
        <v>2</v>
      </c>
      <c r="U342" s="19" t="s">
        <v>879</v>
      </c>
      <c r="V342" s="249" t="s">
        <v>880</v>
      </c>
      <c r="W342" s="19"/>
    </row>
    <row r="343" spans="1:23">
      <c r="A343" s="254" t="s">
        <v>767</v>
      </c>
      <c r="B343" s="243" t="s">
        <v>651</v>
      </c>
      <c r="C343" s="19" t="s">
        <v>869</v>
      </c>
      <c r="D343" s="19" t="s">
        <v>870</v>
      </c>
      <c r="E343" s="19">
        <v>2006</v>
      </c>
      <c r="F343" s="249" t="s">
        <v>4</v>
      </c>
      <c r="G343" s="249" t="s">
        <v>44</v>
      </c>
      <c r="H343" s="19" t="s">
        <v>881</v>
      </c>
      <c r="I343" s="19">
        <f>(100*PI()^2)</f>
        <v>986.96044010893581</v>
      </c>
      <c r="J343" s="19">
        <f>4*21</f>
        <v>84</v>
      </c>
      <c r="K343" s="249">
        <f>23*30*100</f>
        <v>69000</v>
      </c>
      <c r="L343" s="244">
        <f t="shared" si="40"/>
        <v>8.2904676969150604</v>
      </c>
      <c r="M343" s="249">
        <f>(15/60)/24</f>
        <v>1.0416666666666666E-2</v>
      </c>
      <c r="N343" s="19">
        <v>14</v>
      </c>
      <c r="O343" s="249">
        <f>M343*(12/2)*(1995-1960+1)</f>
        <v>2.25</v>
      </c>
      <c r="P343" s="249">
        <f>(1995-1960+1)*365</f>
        <v>13140</v>
      </c>
      <c r="Q343" s="19">
        <v>0</v>
      </c>
      <c r="R343" s="19">
        <v>1</v>
      </c>
      <c r="S343" s="19">
        <v>0</v>
      </c>
      <c r="T343" s="19">
        <v>0</v>
      </c>
      <c r="U343" s="19" t="s">
        <v>882</v>
      </c>
      <c r="V343" s="19" t="s">
        <v>883</v>
      </c>
      <c r="W343" s="19" t="s">
        <v>884</v>
      </c>
    </row>
    <row r="344" spans="1:23">
      <c r="A344" s="254" t="s">
        <v>767</v>
      </c>
      <c r="B344" s="243" t="s">
        <v>651</v>
      </c>
      <c r="C344" s="19" t="s">
        <v>869</v>
      </c>
      <c r="D344" s="19" t="s">
        <v>870</v>
      </c>
      <c r="E344" s="19">
        <v>2006</v>
      </c>
      <c r="F344" s="249" t="s">
        <v>4</v>
      </c>
      <c r="G344" s="249" t="s">
        <v>44</v>
      </c>
      <c r="H344" s="19" t="s">
        <v>881</v>
      </c>
      <c r="I344" s="249">
        <f>2*1</f>
        <v>2</v>
      </c>
      <c r="J344" s="260">
        <f>(116/3)</f>
        <v>38.666666666666664</v>
      </c>
      <c r="K344" s="19">
        <v>69000</v>
      </c>
      <c r="L344" s="244">
        <f t="shared" si="40"/>
        <v>7.7333333333333325E-3</v>
      </c>
      <c r="M344" s="249">
        <f>2/24</f>
        <v>8.3333333333333329E-2</v>
      </c>
      <c r="N344" s="249">
        <f>(1994-1960+1)/10*365</f>
        <v>1277.5</v>
      </c>
      <c r="O344" s="249">
        <f>M344*10</f>
        <v>0.83333333333333326</v>
      </c>
      <c r="P344" s="249">
        <f>(1994 - 1960 + 1)*365</f>
        <v>12775</v>
      </c>
      <c r="Q344" s="19">
        <v>0</v>
      </c>
      <c r="R344" s="19">
        <v>1</v>
      </c>
      <c r="S344" s="19">
        <v>0</v>
      </c>
      <c r="T344" s="19">
        <v>0</v>
      </c>
      <c r="U344" s="19" t="s">
        <v>882</v>
      </c>
      <c r="V344" s="19" t="s">
        <v>885</v>
      </c>
      <c r="W344" s="19" t="s">
        <v>884</v>
      </c>
    </row>
    <row r="345" spans="1:23">
      <c r="A345" s="254" t="s">
        <v>767</v>
      </c>
      <c r="B345" s="243" t="s">
        <v>651</v>
      </c>
      <c r="C345" s="19" t="s">
        <v>869</v>
      </c>
      <c r="D345" s="19" t="s">
        <v>870</v>
      </c>
      <c r="E345" s="19">
        <v>2006</v>
      </c>
      <c r="F345" s="249" t="s">
        <v>4</v>
      </c>
      <c r="G345" s="249" t="s">
        <v>44</v>
      </c>
      <c r="H345" s="19" t="s">
        <v>881</v>
      </c>
      <c r="I345" s="249">
        <f>RADIANS(45)/2*400^2*2</f>
        <v>125663.70614359173</v>
      </c>
      <c r="J345" s="249">
        <f>4*(84*1000)/SQRT(400^2+400^2-(2*400*400)*COS(RADIANS(45)))</f>
        <v>1097.5128904961564</v>
      </c>
      <c r="K345" s="249">
        <f>23*30*100</f>
        <v>69000</v>
      </c>
      <c r="L345" s="244">
        <f t="shared" si="40"/>
        <v>13791.753736011296</v>
      </c>
      <c r="M345" s="249">
        <f>306/(10000/60/60)/(60*60*24)</f>
        <v>1.2750000000000001E-3</v>
      </c>
      <c r="N345" s="19">
        <v>14</v>
      </c>
      <c r="O345" s="249">
        <f>M345*(12/2)*(1995-1960+1)</f>
        <v>0.27540000000000003</v>
      </c>
      <c r="P345" s="249">
        <f>(1995-1960+1)*365</f>
        <v>13140</v>
      </c>
      <c r="Q345" s="19">
        <v>0</v>
      </c>
      <c r="R345" s="19">
        <v>1</v>
      </c>
      <c r="S345" s="19">
        <v>0</v>
      </c>
      <c r="T345" s="19">
        <v>0</v>
      </c>
      <c r="U345" s="19" t="s">
        <v>882</v>
      </c>
      <c r="V345" s="19" t="s">
        <v>883</v>
      </c>
      <c r="W345" s="19" t="s">
        <v>884</v>
      </c>
    </row>
    <row r="346" spans="1:23">
      <c r="A346" s="254" t="s">
        <v>767</v>
      </c>
      <c r="B346" s="243" t="s">
        <v>651</v>
      </c>
      <c r="C346" s="19" t="s">
        <v>869</v>
      </c>
      <c r="D346" s="19" t="s">
        <v>870</v>
      </c>
      <c r="E346" s="19">
        <v>2006</v>
      </c>
      <c r="F346" s="249" t="s">
        <v>4</v>
      </c>
      <c r="G346" s="19" t="s">
        <v>653</v>
      </c>
      <c r="H346" s="19" t="s">
        <v>886</v>
      </c>
      <c r="I346" s="249">
        <f t="shared" ref="I346:I347" si="80">PI()*0.01^2</f>
        <v>3.1415926535897931E-4</v>
      </c>
      <c r="J346" s="249">
        <v>2</v>
      </c>
      <c r="K346" s="249">
        <f>19485*100</f>
        <v>1948500</v>
      </c>
      <c r="L346" s="29">
        <f t="shared" si="40"/>
        <v>6.2831853071795862E-8</v>
      </c>
      <c r="M346" s="249">
        <f>30</f>
        <v>30</v>
      </c>
      <c r="N346" s="249">
        <v>30</v>
      </c>
      <c r="O346" s="249">
        <f>365*(1995-1974+1)</f>
        <v>8030</v>
      </c>
      <c r="P346" s="249">
        <f>(1995-1974+1)*365</f>
        <v>8030</v>
      </c>
      <c r="Q346" s="19">
        <v>0</v>
      </c>
      <c r="R346" s="19">
        <v>0</v>
      </c>
      <c r="S346" s="19">
        <v>0</v>
      </c>
      <c r="T346" s="19">
        <v>0</v>
      </c>
      <c r="U346" s="19"/>
      <c r="V346" s="19" t="s">
        <v>847</v>
      </c>
      <c r="W346" s="19"/>
    </row>
    <row r="347" spans="1:23">
      <c r="A347" s="254" t="s">
        <v>767</v>
      </c>
      <c r="B347" s="243" t="s">
        <v>651</v>
      </c>
      <c r="C347" s="19" t="s">
        <v>869</v>
      </c>
      <c r="D347" s="19" t="s">
        <v>870</v>
      </c>
      <c r="E347" s="19">
        <v>2006</v>
      </c>
      <c r="F347" s="249" t="s">
        <v>4</v>
      </c>
      <c r="G347" s="249" t="s">
        <v>44</v>
      </c>
      <c r="H347" s="19" t="s">
        <v>887</v>
      </c>
      <c r="I347" s="249">
        <f t="shared" si="80"/>
        <v>3.1415926535897931E-4</v>
      </c>
      <c r="J347" s="249">
        <v>4</v>
      </c>
      <c r="K347" s="249">
        <f>25000*100/2</f>
        <v>1250000</v>
      </c>
      <c r="L347" s="29">
        <f t="shared" si="40"/>
        <v>1.2566370614359172E-7</v>
      </c>
      <c r="M347" s="249">
        <f>90</f>
        <v>90</v>
      </c>
      <c r="N347" s="249">
        <f>365-90</f>
        <v>275</v>
      </c>
      <c r="O347" s="249">
        <f>M347*(1994-1960+1)</f>
        <v>3150</v>
      </c>
      <c r="P347" s="249">
        <f>(1994 - 1960 + 1)*365</f>
        <v>12775</v>
      </c>
      <c r="Q347" s="19">
        <v>0</v>
      </c>
      <c r="R347" s="19">
        <v>0</v>
      </c>
      <c r="S347" s="19">
        <v>0</v>
      </c>
      <c r="T347" s="19">
        <v>0</v>
      </c>
      <c r="U347" s="19"/>
      <c r="V347" s="19" t="s">
        <v>847</v>
      </c>
      <c r="W347" s="19"/>
    </row>
    <row r="348" spans="1:23">
      <c r="A348" s="254" t="s">
        <v>767</v>
      </c>
      <c r="B348" s="243" t="s">
        <v>651</v>
      </c>
      <c r="C348" s="19" t="s">
        <v>15</v>
      </c>
      <c r="D348" s="19" t="s">
        <v>888</v>
      </c>
      <c r="E348" s="19">
        <v>2012</v>
      </c>
      <c r="F348" s="9" t="s">
        <v>889</v>
      </c>
      <c r="G348" s="19" t="s">
        <v>890</v>
      </c>
      <c r="H348" s="19" t="s">
        <v>891</v>
      </c>
      <c r="I348" s="19">
        <f t="shared" ref="I348:I349" si="81">PI()*0.025^2</f>
        <v>1.9634954084936209E-3</v>
      </c>
      <c r="J348" s="19">
        <f>(51+87)/2*6</f>
        <v>414</v>
      </c>
      <c r="K348" s="249">
        <v>1100000</v>
      </c>
      <c r="L348" s="244">
        <f t="shared" si="40"/>
        <v>8.1288709911635904E-5</v>
      </c>
      <c r="M348" s="249">
        <v>365</v>
      </c>
      <c r="N348" s="19">
        <v>0</v>
      </c>
      <c r="O348" s="249">
        <f>M348</f>
        <v>365</v>
      </c>
      <c r="P348" s="268">
        <v>365</v>
      </c>
      <c r="Q348" s="19">
        <v>0</v>
      </c>
      <c r="R348" s="19">
        <v>0</v>
      </c>
      <c r="S348" s="19">
        <v>0</v>
      </c>
      <c r="T348" s="19">
        <v>0</v>
      </c>
      <c r="U348" s="19"/>
      <c r="V348" s="19" t="s">
        <v>892</v>
      </c>
      <c r="W348" s="19"/>
    </row>
    <row r="349" spans="1:23">
      <c r="A349" s="249" t="s">
        <v>767</v>
      </c>
      <c r="B349" s="243" t="s">
        <v>651</v>
      </c>
      <c r="C349" s="249" t="s">
        <v>15</v>
      </c>
      <c r="D349" s="249" t="s">
        <v>888</v>
      </c>
      <c r="E349" s="249">
        <v>2012</v>
      </c>
      <c r="F349" s="249" t="s">
        <v>889</v>
      </c>
      <c r="G349" s="249" t="s">
        <v>890</v>
      </c>
      <c r="H349" s="249" t="s">
        <v>891</v>
      </c>
      <c r="I349" s="249">
        <f t="shared" si="81"/>
        <v>1.9634954084936209E-3</v>
      </c>
      <c r="J349" s="249">
        <v>25</v>
      </c>
      <c r="K349" s="249">
        <v>1100000</v>
      </c>
      <c r="L349" s="255">
        <f t="shared" si="40"/>
        <v>4.9087385212340526E-6</v>
      </c>
      <c r="M349" s="249">
        <f t="shared" ref="M349:N349" si="82">14*365</f>
        <v>5110</v>
      </c>
      <c r="N349" s="249">
        <f t="shared" si="82"/>
        <v>5110</v>
      </c>
      <c r="O349" s="249">
        <f>(M349*(2000/14))</f>
        <v>730000</v>
      </c>
      <c r="P349" s="249">
        <f t="shared" ref="P349" si="83">2000*365</f>
        <v>730000</v>
      </c>
      <c r="Q349" s="249">
        <v>0</v>
      </c>
      <c r="R349" s="249">
        <v>0</v>
      </c>
      <c r="S349" s="249">
        <v>0</v>
      </c>
      <c r="T349" s="249">
        <v>0</v>
      </c>
      <c r="U349" s="249"/>
      <c r="V349" s="249" t="s">
        <v>892</v>
      </c>
      <c r="W349" s="249"/>
    </row>
    <row r="350" spans="1:23">
      <c r="A350" s="254" t="s">
        <v>767</v>
      </c>
      <c r="B350" s="243" t="s">
        <v>651</v>
      </c>
      <c r="C350" s="19" t="s">
        <v>15</v>
      </c>
      <c r="D350" s="19" t="s">
        <v>888</v>
      </c>
      <c r="E350" s="19">
        <v>2012</v>
      </c>
      <c r="F350" s="249" t="s">
        <v>55</v>
      </c>
      <c r="G350" s="19" t="s">
        <v>890</v>
      </c>
      <c r="H350" s="19" t="s">
        <v>891</v>
      </c>
      <c r="I350" s="249">
        <f>0.01^2</f>
        <v>1E-4</v>
      </c>
      <c r="J350" s="249">
        <f>((SQRT(AVERAGE(17*10000,78*10000)))/50*(SQRT(AVERAGE(17*10000,78*10000))))/0.01*6</f>
        <v>5699999.9999999981</v>
      </c>
      <c r="K350" s="249">
        <v>1100000</v>
      </c>
      <c r="L350" s="244">
        <f t="shared" si="40"/>
        <v>5.6999999999999988E-2</v>
      </c>
      <c r="M350" s="249">
        <f>1/24/60/60</f>
        <v>1.1574074074074073E-5</v>
      </c>
      <c r="N350" s="19">
        <v>0</v>
      </c>
      <c r="O350" s="261">
        <f>M350</f>
        <v>1.1574074074074073E-5</v>
      </c>
      <c r="P350" s="19">
        <f>M350</f>
        <v>1.1574074074074073E-5</v>
      </c>
      <c r="Q350" s="19">
        <v>0</v>
      </c>
      <c r="R350" s="19">
        <v>0</v>
      </c>
      <c r="S350" s="19">
        <v>0</v>
      </c>
      <c r="T350" s="19">
        <v>0</v>
      </c>
      <c r="U350" s="19"/>
      <c r="V350" s="19" t="s">
        <v>893</v>
      </c>
      <c r="W350" s="19"/>
    </row>
    <row r="351" spans="1:23">
      <c r="A351" s="254" t="s">
        <v>767</v>
      </c>
      <c r="B351" s="243" t="s">
        <v>651</v>
      </c>
      <c r="C351" s="19" t="s">
        <v>15</v>
      </c>
      <c r="D351" s="19" t="s">
        <v>888</v>
      </c>
      <c r="E351" s="19">
        <v>2012</v>
      </c>
      <c r="F351" s="9" t="s">
        <v>774</v>
      </c>
      <c r="G351" s="19" t="s">
        <v>890</v>
      </c>
      <c r="H351" s="19" t="s">
        <v>891</v>
      </c>
      <c r="I351" s="249">
        <f>0.1^2*PI()</f>
        <v>3.1415926535897934E-2</v>
      </c>
      <c r="J351" s="19">
        <v>4</v>
      </c>
      <c r="K351" s="19">
        <v>775000</v>
      </c>
      <c r="L351" s="244">
        <f t="shared" si="40"/>
        <v>1.2566370614359173E-5</v>
      </c>
      <c r="M351" s="249">
        <v>365</v>
      </c>
      <c r="N351" s="249">
        <v>365</v>
      </c>
      <c r="O351" s="249">
        <f>(2009-1915+1)*M351</f>
        <v>34675</v>
      </c>
      <c r="P351" s="249">
        <f>(2009-1915+1)*365</f>
        <v>34675</v>
      </c>
      <c r="Q351" s="19">
        <v>0</v>
      </c>
      <c r="R351" s="19">
        <v>0</v>
      </c>
      <c r="S351" s="19">
        <v>0</v>
      </c>
      <c r="T351" s="19">
        <v>0</v>
      </c>
      <c r="U351" s="19"/>
      <c r="V351" s="19" t="s">
        <v>894</v>
      </c>
      <c r="W351" s="19"/>
    </row>
  </sheetData>
  <dataValidations count="1">
    <dataValidation type="list" allowBlank="1" sqref="F246:F278 F280:F287">
      <formula1>"field/direct observation,paleo-reconstruction,other geographic data,remote sensing,passive/automated data collection"</formula1>
    </dataValidation>
  </dataValidations>
  <hyperlinks>
    <hyperlink ref="U141" r:id="rId1"/>
    <hyperlink ref="U142" r:id="rId2"/>
    <hyperlink ref="U143" r:id="rId3"/>
    <hyperlink ref="U175" r:id="rId4"/>
    <hyperlink ref="D181" r:id="rId5" display="http://dx.doi.org/10.1890/080192"/>
    <hyperlink ref="U147" r:id="rId6" display="http://dx.doi.org/10.1525/auk.2009.09140"/>
  </hyperlinks>
  <pageMargins left="0.75" right="0.75" top="1" bottom="1" header="0.5" footer="0.5"/>
  <pageSetup orientation="portrait" horizontalDpi="4294967292" verticalDpi="4294967292"/>
  <drawing r:id="rId7"/>
  <legacyDrawing r:id="rId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tabSelected="1" workbookViewId="0">
      <selection activeCell="F24" sqref="F24"/>
    </sheetView>
  </sheetViews>
  <sheetFormatPr baseColWidth="10" defaultRowHeight="12" x14ac:dyDescent="0"/>
  <cols>
    <col min="1" max="16384" width="10.83203125" style="36"/>
  </cols>
  <sheetData>
    <row r="1" spans="1:2">
      <c r="A1" s="36" t="s">
        <v>901</v>
      </c>
      <c r="B1" s="36" t="s">
        <v>902</v>
      </c>
    </row>
    <row r="2" spans="1:2">
      <c r="A2" s="322">
        <v>10</v>
      </c>
      <c r="B2" s="36" t="s">
        <v>903</v>
      </c>
    </row>
    <row r="3" spans="1:2">
      <c r="A3" s="63">
        <v>10</v>
      </c>
      <c r="B3" s="36" t="s">
        <v>904</v>
      </c>
    </row>
    <row r="4" spans="1:2">
      <c r="A4" s="268">
        <v>10</v>
      </c>
      <c r="B4" s="36" t="s">
        <v>905</v>
      </c>
    </row>
    <row r="5" spans="1:2">
      <c r="A5" s="266">
        <v>10</v>
      </c>
      <c r="B5" s="36" t="s">
        <v>906</v>
      </c>
    </row>
    <row r="6" spans="1:2">
      <c r="A6" s="323">
        <v>10</v>
      </c>
      <c r="B6" s="36" t="s">
        <v>916</v>
      </c>
    </row>
    <row r="7" spans="1:2">
      <c r="A7" s="309">
        <v>10</v>
      </c>
      <c r="B7" s="36" t="s">
        <v>984</v>
      </c>
    </row>
    <row r="8" spans="1:2">
      <c r="A8" s="77">
        <v>10</v>
      </c>
      <c r="B8" s="36" t="s">
        <v>984</v>
      </c>
    </row>
    <row r="9" spans="1:2">
      <c r="A9" s="77">
        <v>10</v>
      </c>
      <c r="B9" s="36" t="s">
        <v>984</v>
      </c>
    </row>
    <row r="10" spans="1:2">
      <c r="A10" s="85">
        <v>10</v>
      </c>
      <c r="B10" s="36" t="s">
        <v>984</v>
      </c>
    </row>
    <row r="11" spans="1:2">
      <c r="A11" s="108">
        <v>10</v>
      </c>
      <c r="B11" s="36" t="s">
        <v>984</v>
      </c>
    </row>
    <row r="12" spans="1:2">
      <c r="A12" s="189">
        <v>10</v>
      </c>
      <c r="B12" s="36" t="s">
        <v>984</v>
      </c>
    </row>
    <row r="13" spans="1:2">
      <c r="A13" s="320">
        <v>10</v>
      </c>
      <c r="B13" s="36" t="s">
        <v>984</v>
      </c>
    </row>
    <row r="14" spans="1:2">
      <c r="A14" s="321">
        <v>10</v>
      </c>
      <c r="B14" s="36" t="s">
        <v>984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vt:lpstr>
    </vt:vector>
  </TitlesOfParts>
  <Company>Princeton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Lyndon Estes</dc:creator>
  <cp:lastModifiedBy>Lyndon Estes</cp:lastModifiedBy>
  <dcterms:created xsi:type="dcterms:W3CDTF">2017-04-01T17:13:08Z</dcterms:created>
  <dcterms:modified xsi:type="dcterms:W3CDTF">2017-06-23T10:50:49Z</dcterms:modified>
</cp:coreProperties>
</file>