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4080" yWindow="4980" windowWidth="39580" windowHeight="17940" activeTab="1"/>
  </bookViews>
  <sheets>
    <sheet name="Sheet1" sheetId="1" r:id="rId1"/>
    <sheet name="data-bearin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2" i="2" l="1"/>
  <c r="L72" i="2"/>
  <c r="I72" i="2"/>
  <c r="J71" i="2"/>
  <c r="L71" i="2"/>
  <c r="K71" i="2"/>
  <c r="G71" i="2"/>
  <c r="H71" i="2"/>
  <c r="I71" i="2"/>
  <c r="J70" i="2"/>
  <c r="L70" i="2"/>
  <c r="K70" i="2"/>
  <c r="G70" i="2"/>
  <c r="I70" i="2"/>
  <c r="J69" i="2"/>
  <c r="H69" i="2"/>
  <c r="L69" i="2"/>
  <c r="G69" i="2"/>
  <c r="I69" i="2"/>
  <c r="J68" i="2"/>
  <c r="H68" i="2"/>
  <c r="L68" i="2"/>
  <c r="K68" i="2"/>
  <c r="G68" i="2"/>
  <c r="I68" i="2"/>
  <c r="J67" i="2"/>
  <c r="H67" i="2"/>
  <c r="L67" i="2"/>
  <c r="K67" i="2"/>
  <c r="G67" i="2"/>
  <c r="I67" i="2"/>
  <c r="J66" i="2"/>
  <c r="L66" i="2"/>
  <c r="K66" i="2"/>
  <c r="G66" i="2"/>
  <c r="I66" i="2"/>
  <c r="J65" i="2"/>
  <c r="H65" i="2"/>
  <c r="L65" i="2"/>
  <c r="G65" i="2"/>
  <c r="I65" i="2"/>
  <c r="M64" i="2"/>
  <c r="J64" i="2"/>
  <c r="H64" i="2"/>
  <c r="L64" i="2"/>
  <c r="I64" i="2"/>
  <c r="M63" i="2"/>
  <c r="J63" i="2"/>
  <c r="L63" i="2"/>
  <c r="G63" i="2"/>
  <c r="I63" i="2"/>
  <c r="J62" i="2"/>
  <c r="L62" i="2"/>
  <c r="K62" i="2"/>
  <c r="G62" i="2"/>
  <c r="I62" i="2"/>
  <c r="J61" i="2"/>
  <c r="G61" i="2"/>
  <c r="I61" i="2"/>
  <c r="M60" i="2"/>
  <c r="J60" i="2"/>
  <c r="L60" i="2"/>
  <c r="K60" i="2"/>
  <c r="G60" i="2"/>
  <c r="I60" i="2"/>
  <c r="L59" i="2"/>
  <c r="K59" i="2"/>
  <c r="J59" i="2"/>
  <c r="G59" i="2"/>
  <c r="I59" i="2"/>
  <c r="L58" i="2"/>
  <c r="K58" i="2"/>
  <c r="J58" i="2"/>
  <c r="G58" i="2"/>
  <c r="I58" i="2"/>
  <c r="J57" i="2"/>
  <c r="L57" i="2"/>
  <c r="K57" i="2"/>
  <c r="G57" i="2"/>
  <c r="I57" i="2"/>
  <c r="J56" i="2"/>
  <c r="L56" i="2"/>
  <c r="K56" i="2"/>
  <c r="G56" i="2"/>
  <c r="H56" i="2"/>
  <c r="I56" i="2"/>
  <c r="M55" i="2"/>
  <c r="J55" i="2"/>
  <c r="H55" i="2"/>
  <c r="L55" i="2"/>
  <c r="K55" i="2"/>
  <c r="G55" i="2"/>
  <c r="I55" i="2"/>
  <c r="M54" i="2"/>
  <c r="J54" i="2"/>
  <c r="L54" i="2"/>
  <c r="K54" i="2"/>
  <c r="G54" i="2"/>
  <c r="H54" i="2"/>
  <c r="I54" i="2"/>
  <c r="M53" i="2"/>
  <c r="J53" i="2"/>
  <c r="L53" i="2"/>
  <c r="K53" i="2"/>
  <c r="G53" i="2"/>
  <c r="H53" i="2"/>
  <c r="I53" i="2"/>
  <c r="M52" i="2"/>
  <c r="J52" i="2"/>
  <c r="L52" i="2"/>
  <c r="K52" i="2"/>
  <c r="G52" i="2"/>
  <c r="H52" i="2"/>
  <c r="I52" i="2"/>
  <c r="J51" i="2"/>
  <c r="H51" i="2"/>
  <c r="L51" i="2"/>
  <c r="K51" i="2"/>
  <c r="G51" i="2"/>
  <c r="I51" i="2"/>
  <c r="M50" i="2"/>
  <c r="L50" i="2"/>
  <c r="K50" i="2"/>
  <c r="H50" i="2"/>
  <c r="I50" i="2"/>
  <c r="J49" i="2"/>
  <c r="I49" i="2"/>
  <c r="J48" i="2"/>
  <c r="H48" i="2"/>
  <c r="I48" i="2"/>
  <c r="M47" i="2"/>
  <c r="K47" i="2"/>
  <c r="J47" i="2"/>
  <c r="G47" i="2"/>
  <c r="H47" i="2"/>
  <c r="I47" i="2"/>
  <c r="M46" i="2"/>
  <c r="K46" i="2"/>
  <c r="J46" i="2"/>
  <c r="G46" i="2"/>
  <c r="H46" i="2"/>
  <c r="I46" i="2"/>
  <c r="J45" i="2"/>
  <c r="L45" i="2"/>
  <c r="K45" i="2"/>
  <c r="G45" i="2"/>
  <c r="H45" i="2"/>
  <c r="I45" i="2"/>
  <c r="M44" i="2"/>
  <c r="J44" i="2"/>
  <c r="L44" i="2"/>
  <c r="K44" i="2"/>
  <c r="G44" i="2"/>
  <c r="H44" i="2"/>
  <c r="I44" i="2"/>
  <c r="K43" i="2"/>
  <c r="J43" i="2"/>
  <c r="G43" i="2"/>
  <c r="H43" i="2"/>
  <c r="I43" i="2"/>
  <c r="J42" i="2"/>
  <c r="G42" i="2"/>
  <c r="I42" i="2"/>
  <c r="J41" i="2"/>
  <c r="L41" i="2"/>
  <c r="K41" i="2"/>
  <c r="H41" i="2"/>
  <c r="I41" i="2"/>
  <c r="J40" i="2"/>
  <c r="L40" i="2"/>
  <c r="K40" i="2"/>
  <c r="I40" i="2"/>
  <c r="J39" i="2"/>
  <c r="L39" i="2"/>
  <c r="K39" i="2"/>
  <c r="I39" i="2"/>
  <c r="J38" i="2"/>
  <c r="L38" i="2"/>
  <c r="K38" i="2"/>
  <c r="G38" i="2"/>
  <c r="I38" i="2"/>
  <c r="J37" i="2"/>
  <c r="L37" i="2"/>
  <c r="K37" i="2"/>
  <c r="H37" i="2"/>
  <c r="I37" i="2"/>
  <c r="M36" i="2"/>
  <c r="J36" i="2"/>
  <c r="L36" i="2"/>
  <c r="K36" i="2"/>
  <c r="G36" i="2"/>
  <c r="I36" i="2"/>
  <c r="J35" i="2"/>
  <c r="L35" i="2"/>
  <c r="G35" i="2"/>
  <c r="I35" i="2"/>
  <c r="J34" i="2"/>
  <c r="L34" i="2"/>
  <c r="I34" i="2"/>
  <c r="J33" i="2"/>
  <c r="L33" i="2"/>
  <c r="G33" i="2"/>
  <c r="I33" i="2"/>
  <c r="J32" i="2"/>
  <c r="L32" i="2"/>
  <c r="K32" i="2"/>
  <c r="I32" i="2"/>
  <c r="J31" i="2"/>
  <c r="L31" i="2"/>
  <c r="K31" i="2"/>
  <c r="I31" i="2"/>
  <c r="M30" i="2"/>
  <c r="J30" i="2"/>
  <c r="L30" i="2"/>
  <c r="K30" i="2"/>
  <c r="G30" i="2"/>
  <c r="I30" i="2"/>
  <c r="J29" i="2"/>
  <c r="L29" i="2"/>
  <c r="G29" i="2"/>
  <c r="I29" i="2"/>
  <c r="J28" i="2"/>
  <c r="L28" i="2"/>
  <c r="G28" i="2"/>
  <c r="I28" i="2"/>
  <c r="J27" i="2"/>
  <c r="L27" i="2"/>
  <c r="K27" i="2"/>
  <c r="G27" i="2"/>
  <c r="H27" i="2"/>
  <c r="I27" i="2"/>
  <c r="J26" i="2"/>
  <c r="L26" i="2"/>
  <c r="K26" i="2"/>
  <c r="G26" i="2"/>
  <c r="I26" i="2"/>
  <c r="J25" i="2"/>
  <c r="L25" i="2"/>
  <c r="K25" i="2"/>
  <c r="G25" i="2"/>
  <c r="I25" i="2"/>
  <c r="M24" i="2"/>
  <c r="K24" i="2"/>
  <c r="J24" i="2"/>
  <c r="G24" i="2"/>
  <c r="I24" i="2"/>
  <c r="M23" i="2"/>
  <c r="K23" i="2"/>
  <c r="J23" i="2"/>
  <c r="G23" i="2"/>
  <c r="I23" i="2"/>
  <c r="M22" i="2"/>
  <c r="K22" i="2"/>
  <c r="J22" i="2"/>
  <c r="G22" i="2"/>
  <c r="I22" i="2"/>
  <c r="M21" i="2"/>
  <c r="K21" i="2"/>
  <c r="J21" i="2"/>
  <c r="G21" i="2"/>
  <c r="I21" i="2"/>
  <c r="M20" i="2"/>
  <c r="K20" i="2"/>
  <c r="J20" i="2"/>
  <c r="G20" i="2"/>
  <c r="I20" i="2"/>
  <c r="M19" i="2"/>
  <c r="K19" i="2"/>
  <c r="J19" i="2"/>
  <c r="G19" i="2"/>
  <c r="I19" i="2"/>
  <c r="M18" i="2"/>
  <c r="K18" i="2"/>
  <c r="J18" i="2"/>
  <c r="G18" i="2"/>
  <c r="I18" i="2"/>
  <c r="M17" i="2"/>
  <c r="K17" i="2"/>
  <c r="J17" i="2"/>
  <c r="G17" i="2"/>
  <c r="I17" i="2"/>
  <c r="M16" i="2"/>
  <c r="K16" i="2"/>
  <c r="J16" i="2"/>
  <c r="G16" i="2"/>
  <c r="I16" i="2"/>
  <c r="M15" i="2"/>
  <c r="K15" i="2"/>
  <c r="J15" i="2"/>
  <c r="G15" i="2"/>
  <c r="I15" i="2"/>
  <c r="M14" i="2"/>
  <c r="K14" i="2"/>
  <c r="J14" i="2"/>
  <c r="G14" i="2"/>
  <c r="I14" i="2"/>
  <c r="M13" i="2"/>
  <c r="K13" i="2"/>
  <c r="J13" i="2"/>
  <c r="G13" i="2"/>
  <c r="I13" i="2"/>
  <c r="M12" i="2"/>
  <c r="K12" i="2"/>
  <c r="J12" i="2"/>
  <c r="G12" i="2"/>
  <c r="I12" i="2"/>
  <c r="M11" i="2"/>
  <c r="K11" i="2"/>
  <c r="J11" i="2"/>
  <c r="G11" i="2"/>
  <c r="I11" i="2"/>
  <c r="J10" i="2"/>
  <c r="L10" i="2"/>
  <c r="G10" i="2"/>
  <c r="I10" i="2"/>
  <c r="L9" i="2"/>
  <c r="G9" i="2"/>
  <c r="I9" i="2"/>
  <c r="L8" i="2"/>
  <c r="K8" i="2"/>
  <c r="J8" i="2"/>
  <c r="G8" i="2"/>
  <c r="I8" i="2"/>
  <c r="L7" i="2"/>
  <c r="K7" i="2"/>
  <c r="J7" i="2"/>
  <c r="G7" i="2"/>
  <c r="I7" i="2"/>
  <c r="L6" i="2"/>
  <c r="K6" i="2"/>
  <c r="J6" i="2"/>
  <c r="G6" i="2"/>
  <c r="I6" i="2"/>
  <c r="L5" i="2"/>
  <c r="K5" i="2"/>
  <c r="J5" i="2"/>
  <c r="G5" i="2"/>
  <c r="I5" i="2"/>
  <c r="L4" i="2"/>
  <c r="K4" i="2"/>
  <c r="J4" i="2"/>
  <c r="G4" i="2"/>
  <c r="I4" i="2"/>
  <c r="L3" i="2"/>
  <c r="K3" i="2"/>
  <c r="J3" i="2"/>
  <c r="G3" i="2"/>
  <c r="I3" i="2"/>
  <c r="J89" i="1"/>
  <c r="J85" i="1"/>
  <c r="J86" i="1"/>
  <c r="L86" i="1"/>
  <c r="K87" i="1"/>
  <c r="K86" i="1"/>
  <c r="J87" i="1"/>
  <c r="H87" i="1"/>
  <c r="L87" i="1"/>
  <c r="K88" i="1"/>
  <c r="J88" i="1"/>
  <c r="H89" i="1"/>
  <c r="L89" i="1"/>
  <c r="H88" i="1"/>
  <c r="L88" i="1"/>
  <c r="G87" i="1"/>
  <c r="I87" i="1"/>
  <c r="G88" i="1"/>
  <c r="I88" i="1"/>
  <c r="G89" i="1"/>
  <c r="I89" i="1"/>
  <c r="G86" i="1"/>
  <c r="I86" i="1"/>
  <c r="G85" i="1"/>
  <c r="H85" i="1"/>
  <c r="I85" i="1"/>
  <c r="J84" i="1"/>
  <c r="H84" i="1"/>
  <c r="L84" i="1"/>
  <c r="I92" i="1"/>
  <c r="G90" i="1"/>
  <c r="I90" i="1"/>
  <c r="L85" i="1"/>
  <c r="J92" i="1"/>
  <c r="L92" i="1"/>
  <c r="J91" i="1"/>
  <c r="L91" i="1"/>
  <c r="K91" i="1"/>
  <c r="K90" i="1"/>
  <c r="G91" i="1"/>
  <c r="H91" i="1"/>
  <c r="I91" i="1"/>
  <c r="J90" i="1"/>
  <c r="L90" i="1"/>
  <c r="J83" i="1"/>
  <c r="L83" i="1"/>
  <c r="M83" i="1"/>
  <c r="G83" i="1"/>
  <c r="I83" i="1"/>
  <c r="K82" i="1"/>
  <c r="J82" i="1"/>
  <c r="L82" i="1"/>
  <c r="G82" i="1"/>
  <c r="I82" i="1"/>
  <c r="G81" i="1"/>
  <c r="I81" i="1"/>
  <c r="J81" i="1"/>
  <c r="K80" i="1"/>
  <c r="J80" i="1"/>
  <c r="L80" i="1"/>
  <c r="G80" i="1"/>
  <c r="I80" i="1"/>
  <c r="K79" i="1"/>
  <c r="K78" i="1"/>
  <c r="J79" i="1"/>
  <c r="J78" i="1"/>
  <c r="G79" i="1"/>
  <c r="I79" i="1"/>
  <c r="G78" i="1"/>
  <c r="I78" i="1"/>
  <c r="K77" i="1"/>
  <c r="J77" i="1"/>
  <c r="L77" i="1"/>
  <c r="G77" i="1"/>
  <c r="I77" i="1"/>
  <c r="M80" i="1"/>
  <c r="L79" i="1"/>
  <c r="L78" i="1"/>
  <c r="K76" i="1"/>
  <c r="J76" i="1"/>
  <c r="L76" i="1"/>
  <c r="G76" i="1"/>
  <c r="H76" i="1"/>
  <c r="M75" i="1"/>
  <c r="M74" i="1"/>
  <c r="M73" i="1"/>
  <c r="M72" i="1"/>
  <c r="K75" i="1"/>
  <c r="J75" i="1"/>
  <c r="J74" i="1"/>
  <c r="L74" i="1"/>
  <c r="H75" i="1"/>
  <c r="G75" i="1"/>
  <c r="I75" i="1"/>
  <c r="G74" i="1"/>
  <c r="H74" i="1"/>
  <c r="K74" i="1"/>
  <c r="K73" i="1"/>
  <c r="J73" i="1"/>
  <c r="L73" i="1"/>
  <c r="H73" i="1"/>
  <c r="G73" i="1"/>
  <c r="K72" i="1"/>
  <c r="J72" i="1"/>
  <c r="L72" i="1"/>
  <c r="H72" i="1"/>
  <c r="G72" i="1"/>
  <c r="K70" i="1"/>
  <c r="K71" i="1"/>
  <c r="J71" i="1"/>
  <c r="L70" i="1"/>
  <c r="G71" i="1"/>
  <c r="H71" i="1"/>
  <c r="M70" i="1"/>
  <c r="H70" i="1"/>
  <c r="I70" i="1"/>
  <c r="J69" i="1"/>
  <c r="I69" i="1"/>
  <c r="J68" i="1"/>
  <c r="H67" i="1"/>
  <c r="H68" i="1"/>
  <c r="I68" i="1"/>
  <c r="M67" i="1"/>
  <c r="K67" i="1"/>
  <c r="J67" i="1"/>
  <c r="J66" i="1"/>
  <c r="G67" i="1"/>
  <c r="M66" i="1"/>
  <c r="K66" i="1"/>
  <c r="H66" i="1"/>
  <c r="G66" i="1"/>
  <c r="K65" i="1"/>
  <c r="H65" i="1"/>
  <c r="J65" i="1"/>
  <c r="L65" i="1"/>
  <c r="H64" i="1"/>
  <c r="G65" i="1"/>
  <c r="K64" i="1"/>
  <c r="M64" i="1"/>
  <c r="J64" i="1"/>
  <c r="L64" i="1"/>
  <c r="G64" i="1"/>
  <c r="I64" i="1"/>
  <c r="L71" i="1"/>
  <c r="L75" i="1"/>
  <c r="I65" i="1"/>
  <c r="I66" i="1"/>
  <c r="I67" i="1"/>
  <c r="I73" i="1"/>
  <c r="I76" i="1"/>
  <c r="I74" i="1"/>
  <c r="I71" i="1"/>
  <c r="I72" i="1"/>
  <c r="M32" i="1"/>
  <c r="K32" i="1"/>
  <c r="J32" i="1"/>
  <c r="L32" i="1"/>
  <c r="G32" i="1"/>
  <c r="I3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3" i="1"/>
  <c r="J27" i="1"/>
  <c r="J28" i="1"/>
  <c r="J29" i="1"/>
  <c r="J30" i="1"/>
  <c r="J31" i="1"/>
  <c r="H29" i="1"/>
  <c r="G26" i="1"/>
  <c r="I26" i="1"/>
  <c r="G25" i="1"/>
  <c r="I25" i="1"/>
  <c r="G24" i="1"/>
  <c r="I24" i="1"/>
  <c r="G23" i="1"/>
  <c r="I23" i="1"/>
  <c r="G22" i="1"/>
  <c r="I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27" i="1"/>
  <c r="G28" i="1"/>
  <c r="G29" i="1"/>
  <c r="G30" i="1"/>
  <c r="G31" i="1"/>
  <c r="G13" i="1"/>
  <c r="I13" i="1"/>
  <c r="M84" i="1"/>
  <c r="I84" i="1"/>
  <c r="K59" i="1"/>
  <c r="J59" i="1"/>
  <c r="H59" i="1"/>
  <c r="G59" i="1"/>
  <c r="I59" i="1"/>
  <c r="J58" i="1"/>
  <c r="G58" i="1"/>
  <c r="I58" i="1"/>
  <c r="J56" i="1"/>
  <c r="J57" i="1"/>
  <c r="L57" i="1"/>
  <c r="J55" i="1"/>
  <c r="K57" i="1"/>
  <c r="L56" i="1"/>
  <c r="H57" i="1"/>
  <c r="I57" i="1"/>
  <c r="L55" i="1"/>
  <c r="K56" i="1"/>
  <c r="K55" i="1"/>
  <c r="I56" i="1"/>
  <c r="I55" i="1"/>
  <c r="H49" i="1"/>
  <c r="I49" i="1"/>
  <c r="J49" i="1"/>
  <c r="L49" i="1"/>
  <c r="J51" i="1"/>
  <c r="L51" i="1"/>
  <c r="K51" i="1"/>
  <c r="G51" i="1"/>
  <c r="I51" i="1"/>
  <c r="K49" i="1"/>
  <c r="J36" i="1"/>
  <c r="J12" i="1"/>
  <c r="L12" i="1"/>
  <c r="G12" i="1"/>
  <c r="I12" i="1"/>
  <c r="L11" i="1"/>
  <c r="G11" i="1"/>
  <c r="I11" i="1"/>
  <c r="K29" i="1"/>
  <c r="L4" i="1"/>
  <c r="K5" i="1"/>
  <c r="K4" i="1"/>
  <c r="J4" i="1"/>
  <c r="M44" i="1"/>
  <c r="J44" i="1"/>
  <c r="L44" i="1"/>
  <c r="K44" i="1"/>
  <c r="G44" i="1"/>
  <c r="I44" i="1"/>
  <c r="G41" i="1"/>
  <c r="I41" i="1"/>
  <c r="J41" i="1"/>
  <c r="L41" i="1"/>
  <c r="J35" i="1"/>
  <c r="J5" i="1"/>
  <c r="J6" i="1"/>
  <c r="J7" i="1"/>
  <c r="J8" i="1"/>
  <c r="J9" i="1"/>
  <c r="J38" i="1"/>
  <c r="L38" i="1"/>
  <c r="I38" i="1"/>
  <c r="J37" i="1"/>
  <c r="L37" i="1"/>
  <c r="G37" i="1"/>
  <c r="I37" i="1"/>
  <c r="L5" i="1"/>
  <c r="I36" i="1"/>
  <c r="L36" i="1"/>
  <c r="L35" i="1"/>
  <c r="L29" i="1"/>
  <c r="K36" i="1"/>
  <c r="K35" i="1"/>
  <c r="I35" i="1"/>
  <c r="L31" i="1"/>
  <c r="I31" i="1"/>
  <c r="L30" i="1"/>
  <c r="I30" i="1"/>
  <c r="I29" i="1"/>
  <c r="L27" i="1"/>
  <c r="K28" i="1"/>
  <c r="L28" i="1"/>
  <c r="K27" i="1"/>
  <c r="I28" i="1"/>
  <c r="I27" i="1"/>
  <c r="L9" i="1"/>
  <c r="L8" i="1"/>
  <c r="L7" i="1"/>
  <c r="L6" i="1"/>
  <c r="K9" i="1"/>
  <c r="K7" i="1"/>
  <c r="K6" i="1"/>
  <c r="K8" i="1"/>
  <c r="G9" i="1"/>
  <c r="I9" i="1"/>
  <c r="G7" i="1"/>
  <c r="I7" i="1"/>
  <c r="G5" i="1"/>
  <c r="I5" i="1"/>
  <c r="G8" i="1"/>
  <c r="I8" i="1"/>
  <c r="G6" i="1"/>
  <c r="I6" i="1"/>
  <c r="G4" i="1"/>
  <c r="I4" i="1"/>
</calcChain>
</file>

<file path=xl/comments1.xml><?xml version="1.0" encoding="utf-8"?>
<comments xmlns="http://schemas.openxmlformats.org/spreadsheetml/2006/main">
  <authors>
    <author>Labeeb</author>
    <author/>
    <author>LA</author>
    <author>ges_student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Publication Year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LyndonEstes:</t>
        </r>
        <r>
          <rPr>
            <sz val="9"/>
            <color indexed="81"/>
            <rFont val="Tahoma"/>
            <family val="2"/>
          </rPr>
          <t xml:space="preserve">
Calculate as (plot resolution * N sites) / 10000</t>
        </r>
      </text>
    </comment>
    <comment ref="R2" authorId="1">
      <text>
        <r>
          <rPr>
            <sz val="10"/>
            <rFont val="Arial"/>
          </rPr>
          <t>Lyndon Estes:
separate with semi-colon if more than one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Surface Temperature -AWG 28 wire ~ O.D. 1.0 mm x 1.4 mm - Calculated using area of ellipse.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It takes sensors approximately 1 second to measure and log the data.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39.5 hrs total study duration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start date - 7/13/2011
end date - 4/27/2012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29 hrs of total study duration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Air temperature probe diameter - 0.0076 m - Product brochure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PAR sensor diameter - 0.0238 m - Product brochure</t>
        </r>
      </text>
    </comment>
    <comment ref="G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piping plover eggs salvaged as plot res. Egg dimensions obtained from http://obpa-nc.org/DOI-AdminRecord/0042723-0042737.pdf</t>
        </r>
      </text>
    </comment>
    <comment ref="J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Piping plovers lay one egg/day. Assume this to be samp_duration. Source: https://www.fws.gov/northeast/nyfo/es/GLplover03.pdf </t>
        </r>
      </text>
    </comment>
    <comment ref="K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Eggs are laid and hatch between May to July. Assume August to to late April time between sampling. Averaged no. of days between each sampling.</t>
        </r>
      </text>
    </comment>
    <comment ref="M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Started in 1993 to 2008</t>
        </r>
      </text>
    </comment>
    <comment ref="G1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piping plover eggs salvaged as plot res. Egg dimensions obtained from http://obpa-nc.org/DOI-AdminRecord/0042723-0042737.pdf</t>
        </r>
      </text>
    </comment>
    <comment ref="J1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Average time of incubation before eggs hatch. Source: https://www.fws.gov/northeast/nyfo/es/GLplover03.pdf</t>
        </r>
      </text>
    </comment>
    <comment ref="K1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Eggs are laid and hatch between May to July. Assume August to to late April time between sampling. Averaged no. of days between each sampling.</t>
        </r>
      </text>
    </comment>
    <comment ref="M1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Started in 1993 to 2008</t>
        </r>
      </text>
    </comment>
    <comment ref="G1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plot resolution. Assume that plot resolution is PS = (mean plant sample size from 2002 &amp; 2003/density) in ha converted to m^2.</t>
        </r>
      </text>
    </comment>
    <comment ref="H1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many plants sampled, so assume mean "sample size" as n_sites</t>
        </r>
      </text>
    </comment>
    <comment ref="J1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~ 2 hours spent at each site</t>
        </r>
      </text>
    </comment>
    <comment ref="K1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Sample done once each year, so assume time between samples to be 1 year</t>
        </r>
      </text>
    </comment>
    <comment ref="L1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Unclear. Assigned 1 day value. 
</t>
        </r>
      </text>
    </comment>
    <comment ref="M1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Study was conducted over the course of two year 2002 and 2003</t>
        </r>
      </text>
    </comment>
    <comment ref="T1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The paper and the data source were unclear about the plot resolution. The sampling  method used is Ordered Distance Method where sampling area is highly variable. 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Plot size not mentioned. The 4x4 m ground survey plots were randomly selected. Assuming this to be plot resolution for both sites.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59 selected out of 118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1 hr per tree, but actual time spent sampling the base, sub-canopy and canopy is 10 minutes each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Tree surveys repeated day and night. Assuming ~12 hours apart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start date: 2/1/2011 and end date: 10/31/2011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Five temperature sensors were placed per elevation from 900 to 1900 m &amp; each sensor was paired with another above the ground (~1 m) . 10*6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~1 second to data log</t>
        </r>
      </text>
    </comment>
    <comment ref="L29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data loggers continuously collected temp data from May to Sep, 2011 i.e. 123 days and 177,120 minutes. Total of 11,808 times the data was measured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May to September, 2011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 how many sites. Assuming that transect surveys were done for all sites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takes ~ 1 hr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Assume it takes 1 day
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transect was sampled 59 times and 8 times respectively</t>
        </r>
      </text>
    </comment>
    <comment ref="M30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Assume Feb to Oct, 2011</t>
        </r>
      </text>
    </comment>
    <comment ref="G3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Using satellite imagery from Google Earth the width of the river approximated to 30 meters. </t>
        </r>
      </text>
    </comment>
    <comment ref="J3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3 hours to complete sampling the entire transect</t>
        </r>
      </text>
    </comment>
    <comment ref="L3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10 repeated samples * samp_duration. Includes native fish sampling as well</t>
        </r>
      </text>
    </comment>
    <comment ref="M3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March, 2008 to May, 2010</t>
        </r>
      </text>
    </comment>
    <comment ref="T3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experimental determiniation of fish biomass and nutrient recycling 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Avg. of sensor SA of all applicable HOBO and iButton data loggers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10 streams</t>
        </r>
      </text>
    </comment>
    <comment ref="I3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Not sure how many data loggers used. Conservative assumption one used for each stream.</t>
        </r>
      </text>
    </comment>
    <comment ref="J3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It takes sensors approximately ~ 1 second to measure and log the data. Data is logged every 15 mins. Therefore, 0.01667 min*96(15 min intervals)/(60*24) [in days] -- Assumed 15 minute interval from USGS guidelines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Assuming ~15 minutes intervals for smaller streams according to USGS Hydrologic data collection guidelines</t>
        </r>
      </text>
    </comment>
    <comment ref="L3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Data collected from July to August (2007). Assuming 6/1/07 to 8/31/07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Avg. of sensor SA of ONLY applicable HOBO data loggers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Not sure how many data loggers used. Conservative assumption one used for each stream.</t>
        </r>
      </text>
    </comment>
    <comment ref="J36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It takes sensors approximately ~ 1 second to measure and log the data. Data is logged every 15 mins. Therefore, 0.01667 min*96(15 min intervals)/(60*24) [in days] -- Assumed 15 minute interval from USGS guidelines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Assuming ~15 minutes intervals for smaller streams according to USGS Hydrologic data collection guidelines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Data collected from Sep, 2007 to Sep, 2008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12x12 (in) Surber sampler</t>
        </r>
      </text>
    </comment>
    <comment ref="J3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~ 30 mins for each sample</t>
        </r>
      </text>
    </comment>
    <comment ref="L3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each sample site visited once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Sampled from June, 2002 to (end of) September, 2005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Size of plastic plate with insect trap coating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Number of emergence traps used not disclosed - assume one trap set in two sites</t>
        </r>
      </text>
    </comment>
    <comment ref="J3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it takes 1 hr to collect and record insects from traps</t>
        </r>
      </text>
    </comment>
    <comment ref="L3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1 hr spent at two sites every 48 hrs over the course of 78 days</t>
        </r>
      </text>
    </comment>
    <comment ref="G4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Plot resolution average of transect search (1500*300 (m)) and 180 degree search (pi*300^2), because unclear how many swimming or flying birds sampled as two separate plot resolutions used</t>
        </r>
      </text>
    </comment>
    <comment ref="H4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76 surveys for both flying and swimming birds
</t>
        </r>
      </text>
    </comment>
    <comment ref="K4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takes one day to get from one survey site to another</t>
        </r>
      </text>
    </comment>
    <comment ref="M4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March 1, 2006 to Oct 31, 2009</t>
        </r>
      </text>
    </comment>
    <comment ref="G4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LRFF average (head-to-body length * wingspan). Source: http://animaldiversity.org/site/accounts/information/Pteropus_scapulatus.html</t>
        </r>
      </text>
    </comment>
    <comment ref="H4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LRFFs captured eight times from six locations  from table 1 -  assuming each capture had one mist-net</t>
        </r>
      </text>
    </comment>
    <comment ref="J4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approx. 15 minutes spent on each bat</t>
        </r>
      </text>
    </comment>
    <comment ref="L4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Assumption - 15 minutes spend on each bat and 7 days spend on recording information on all the 664 bats.</t>
        </r>
      </text>
    </comment>
    <comment ref="G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Authors note approximate sampling area is 5 cm^2 at all sites</t>
        </r>
      </text>
    </comment>
    <comment ref="H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dry (n=24), lentic (n=16) &amp; lotic (n=40)
Lentic lake sampling - 15 lakes were sampled twice and 1 lake was sampled once. At each lake 4 sites were selected and each site had four different samples so (16*16)</t>
        </r>
      </text>
    </comment>
    <comment ref="J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it takes 5 minutes to collect the moss cushion samples</t>
        </r>
      </text>
    </comment>
    <comment ref="K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meterological seasons and calclating mean no. of days between each sampling season</t>
        </r>
      </text>
    </comment>
    <comment ref="M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Using meterological seasons to approximate study span. Data collection started in Summer, 2001 and ended in Summer, 2003</t>
        </r>
      </text>
    </comment>
    <comment ref="G5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Two sampling methods used - transects and 15' plot observations - the plot observations were hapazardly selected. It is highly variable and not provided. Assume transect resolution as the minimum plot resolution for all sites.</t>
        </r>
      </text>
    </comment>
    <comment ref="J5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15 mins spent at each observational plot. Assume this as approximate time spent sampling each plot.</t>
        </r>
      </text>
    </comment>
    <comment ref="K5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no. of days between each sampling event averaged</t>
        </r>
      </text>
    </comment>
    <comment ref="L5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Sampling duration not indicated. Assuming all sites sampled once * samp_duration</t>
        </r>
      </text>
    </comment>
    <comment ref="G5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Mean surface area of sites sampled. Surface area highly variable.</t>
        </r>
      </text>
    </comment>
    <comment ref="J5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two divers surverying sample site with an approx. mean width of 10.5 m. Assume 15 mins at each site</t>
        </r>
      </text>
    </comment>
    <comment ref="L5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n=90 sampled three times</t>
        </r>
      </text>
    </comment>
    <comment ref="G5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Mean surface area of sites sampled. Surface area highly variable.</t>
        </r>
      </text>
    </comment>
    <comment ref="J5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two divers surverying sample site with an approx. mean width of 10.5 m. Assume 15 mins at each site</t>
        </r>
      </text>
    </comment>
    <comment ref="L5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n=60 sampled three times</t>
        </r>
      </text>
    </comment>
    <comment ref="H5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At each site four quadrats were used</t>
        </r>
      </text>
    </comment>
    <comment ref="J5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15 mins spent counting macrophytes within all four quadrats</t>
        </r>
      </text>
    </comment>
    <comment ref="L5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each site sampled once and all four quadrats retrieved simultaneously ~ 15 mins</t>
        </r>
      </text>
    </comment>
    <comment ref="G58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Sea-Bird SBE43 sensor</t>
        </r>
      </text>
    </comment>
    <comment ref="J58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assume 1 minute for the sensor to record oxygen concentration</t>
        </r>
      </text>
    </comment>
    <comment ref="K58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assume 1 day between data collection at both sites</t>
        </r>
      </text>
    </comment>
    <comment ref="L5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Uncertain study_duration. Assume one day</t>
        </r>
      </text>
    </comment>
    <comment ref="M58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January, 2009</t>
        </r>
      </text>
    </comment>
    <comment ref="H59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10 cores per station</t>
        </r>
      </text>
    </comment>
    <comment ref="J59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Assume 5 mins to drill the core</t>
        </r>
      </text>
    </comment>
    <comment ref="K5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it takes 30 minutes</t>
        </r>
      </text>
    </comment>
    <comment ref="L5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Uncertain study_duration. Assume one day</t>
        </r>
      </text>
    </comment>
    <comment ref="M59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January, 2009</t>
        </r>
      </text>
    </comment>
    <comment ref="H6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4 sites * 3 plots per site</t>
        </r>
      </text>
    </comment>
    <comment ref="J6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1 hr spent at each plot</t>
        </r>
      </text>
    </comment>
    <comment ref="K6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every 11 months</t>
        </r>
      </text>
    </comment>
    <comment ref="L6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s_duration*(12 sites*3*3)</t>
        </r>
      </text>
    </comment>
    <comment ref="M6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reference to a three year study. Assume 3 years</t>
        </r>
      </text>
    </comment>
    <comment ref="G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diameter of air and soil temp sensor 0.03</t>
        </r>
      </text>
    </comment>
    <comment ref="H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one air and one soil temp sensor at each site i.e. 4 sites * 2 sensors</t>
        </r>
      </text>
    </comment>
    <comment ref="J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takes 1 minute to record the temperature reading</t>
        </r>
      </text>
    </comment>
    <comment ref="K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hourly data collection</t>
        </r>
      </text>
    </comment>
    <comment ref="L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1.577x10^6 minutes in 1095 days. Assume that sensors capture collected data throughout the study span</t>
        </r>
      </text>
    </comment>
    <comment ref="M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G6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collection funnel's diameter as sampling resolution 0.142 m</t>
        </r>
      </text>
    </comment>
    <comment ref="H6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one rain guage at each site </t>
        </r>
      </text>
    </comment>
    <comment ref="J6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it takes 1 second to record the rain drops in mm during rainfall</t>
        </r>
      </text>
    </comment>
    <comment ref="K6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hourly data collection</t>
        </r>
      </text>
    </comment>
    <comment ref="L6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G6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Fork like soil moisture probe  with two prongs. Assume prongs are prism and calculate surface area</t>
        </r>
      </text>
    </comment>
    <comment ref="H6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4 soil moisture probes at each site</t>
        </r>
      </text>
    </comment>
    <comment ref="J6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measuring time 10 ms</t>
        </r>
      </text>
    </comment>
    <comment ref="K6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hourly data collection</t>
        </r>
      </text>
    </comment>
    <comment ref="L6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G6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shape of LAI probe as prism</t>
        </r>
      </text>
    </comment>
    <comment ref="H6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Difficult to estimate no. of LAI readings performed. Assume averaged LAI recorded for each site</t>
        </r>
      </text>
    </comment>
    <comment ref="J68" authorId="2">
      <text>
        <r>
          <rPr>
            <b/>
            <sz val="9"/>
            <color indexed="81"/>
            <rFont val="Tahoma"/>
            <family val="2"/>
          </rPr>
          <t xml:space="preserve">LA:
</t>
        </r>
        <r>
          <rPr>
            <sz val="9"/>
            <color indexed="81"/>
            <rFont val="Tahoma"/>
            <family val="2"/>
          </rPr>
          <t>Assume takes 1 second to record</t>
        </r>
      </text>
    </comment>
    <comment ref="K6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Paper indicates that LAI was collected once in April, 2009</t>
        </r>
      </text>
    </comment>
    <comment ref="L6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M6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G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LI-3100C Area Meter's max resolution 1 mm^2</t>
        </r>
      </text>
    </comment>
    <comment ref="H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4 sites as no. of LA samples</t>
        </r>
      </text>
    </comment>
    <comment ref="J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to scan and calculate LA</t>
        </r>
      </text>
    </comment>
    <comment ref="K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Paper indicates that LAI was collected once in April, 2009</t>
        </r>
      </text>
    </comment>
    <comment ref="L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M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H7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six litter bags at each site</t>
        </r>
      </text>
    </comment>
    <comment ref="J7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it takes 1 day to fill a single litter bag</t>
        </r>
      </text>
    </comment>
    <comment ref="K7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annual litter collection instead. Dec-to August i.e. 9*30</t>
        </r>
      </text>
    </comment>
    <comment ref="L7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leaves collected sep-nov for three years</t>
        </r>
      </text>
    </comment>
    <comment ref="J7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per soil core</t>
        </r>
      </text>
    </comment>
    <comment ref="M7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G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diameter of polypropylene collar as soil respiration instrument's resolution </t>
        </r>
      </text>
    </comment>
    <comment ref="H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12 collars * 4 sites</t>
        </r>
      </text>
    </comment>
    <comment ref="J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K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biweekly during growing season and once a month during autumn - mean value calculated</t>
        </r>
      </text>
    </comment>
    <comment ref="L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51 attempts at sampling at low elevation sites and 1 attempt at high elevation sampling. Assume the rest were recorded manually. Also, the paper is unclear about duration of soil resp sampling - going to assume April 2009 to March
2010 from the figure.</t>
        </r>
      </text>
    </comment>
    <comment ref="M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done between April, 2009 to March, 2010
</t>
        </r>
      </text>
    </comment>
    <comment ref="G7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temp probe a cylinder. Use surface area of a cylinder</t>
        </r>
      </text>
    </comment>
    <comment ref="H7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similar sites sampled for manual soil temp i.e. 12 sample sites * 4 sites</t>
        </r>
      </text>
    </comment>
    <comment ref="J7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K7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similar time between sampling as above</t>
        </r>
      </text>
    </comment>
    <comment ref="L7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51 attempts *1 years at high elevation sampling, because of insufficient data from the soil resp instrument.</t>
        </r>
      </text>
    </comment>
    <comment ref="M7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done between April, 2009 to March, 2010
</t>
        </r>
      </text>
    </comment>
    <comment ref="G7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total surface area of all three sheild rods</t>
        </r>
      </text>
    </comment>
    <comment ref="H7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similar sites sampled for manual soil moisture  i.e. 12 sample sites * 4 sites</t>
        </r>
      </text>
    </comment>
    <comment ref="J7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K7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similar time between sampling as above</t>
        </r>
      </text>
    </comment>
    <comment ref="L7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51 attempts *1 years at high elevation sampling, because of insufficient data from the soil resp instrument.</t>
        </r>
      </text>
    </comment>
    <comment ref="M7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done between April, 2009 to March, 2010
</t>
        </r>
      </text>
    </comment>
    <comment ref="G7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that soil respiration instrument used so same plot_res </t>
        </r>
      </text>
    </comment>
    <comment ref="J7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K7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sampled 4 times in 62 days</t>
        </r>
      </text>
    </comment>
    <comment ref="L7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samp_duration* 11 sites * 4 times</t>
        </r>
      </text>
    </comment>
    <comment ref="M7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July to August, 2010</t>
        </r>
      </text>
    </comment>
    <comment ref="H7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2 pits per site * 4 sites</t>
        </r>
      </text>
    </comment>
    <comment ref="J7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minutes to collect one soil profile sample</t>
        </r>
      </text>
    </comment>
    <comment ref="K7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 approx. 1 hr from one sample site to another</t>
        </r>
      </text>
    </comment>
    <comment ref="L7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 * 8 sample sites * 6 different profil depth</t>
        </r>
      </text>
    </comment>
    <comment ref="M7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performed in a month</t>
        </r>
      </text>
    </comment>
    <comment ref="G7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water sampling was done. Assume used a bottle with approx 2 inch opening and use as plot_res</t>
        </r>
      </text>
    </comment>
    <comment ref="J7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2 mins to fill up a container with 2 liters of water</t>
        </r>
      </text>
    </comment>
    <comment ref="K7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approximately one hour to reach the next sampling depth</t>
        </r>
      </text>
    </comment>
    <comment ref="L7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samp_duration*2</t>
        </r>
      </text>
    </comment>
    <comment ref="M7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when study took place. Assume it took 30 days.</t>
        </r>
      </text>
    </comment>
    <comment ref="G7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Core size uncertain. Assume 10 cm core diameter</t>
        </r>
      </text>
    </comment>
    <comment ref="J7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to drill a core</t>
        </r>
      </text>
    </comment>
    <comment ref="K7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hr between each sample site</t>
        </r>
      </text>
    </comment>
    <comment ref="L7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15 day survey</t>
        </r>
      </text>
    </comment>
    <comment ref="M7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days study span. Including 15 days the length of the actual survey</t>
        </r>
      </text>
    </comment>
    <comment ref="G7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water sampling was done. Assume used a bottle with approx 2 inch opening and use as plot_res</t>
        </r>
      </text>
    </comment>
    <comment ref="J7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mins to fill up a container with .75 liters of water</t>
        </r>
      </text>
    </comment>
    <comment ref="K7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hr between each sample site</t>
        </r>
      </text>
    </comment>
    <comment ref="L7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15 day survey</t>
        </r>
      </text>
    </comment>
    <comment ref="M7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days study span. Including 15 days the length of the actual survey</t>
        </r>
      </text>
    </comment>
    <comment ref="G8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water sampling was done. Assume used a bottle with approx 2 inch opening and use as plot_res</t>
        </r>
      </text>
    </comment>
    <comment ref="J8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 to collect sample</t>
        </r>
      </text>
    </comment>
    <comment ref="K8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hr between each sample depth</t>
        </r>
      </text>
    </comment>
    <comment ref="M8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December, 1998</t>
        </r>
      </text>
    </comment>
    <comment ref="G8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Core size uncertain. Assume 10 cm core diameter</t>
        </r>
      </text>
    </comment>
    <comment ref="J8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to drill a core</t>
        </r>
      </text>
    </comment>
    <comment ref="K8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 sample only. Three DNA extractions from single soil core</t>
        </r>
      </text>
    </comment>
    <comment ref="L8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Unclear. Assigned 1 day</t>
        </r>
      </text>
    </comment>
    <comment ref="M8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when study took place. Assume it took 30 days.</t>
        </r>
      </text>
    </comment>
    <comment ref="G8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solid soil tube used with 2.5 inch diameter http://www.soilsample.com/catalog/tooling.pdf</t>
        </r>
      </text>
    </comment>
    <comment ref="J8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10 mins per soil core</t>
        </r>
      </text>
    </comment>
    <comment ref="K8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All sample sites except reference sites were 30 meters apart. Assume 5 minutes between each sample.</t>
        </r>
      </text>
    </comment>
    <comment ref="M8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2010</t>
        </r>
      </text>
    </comment>
    <comment ref="G8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Dimensions for each site unclear. Assume, site is circle, and use </t>
        </r>
        <r>
          <rPr>
            <i/>
            <sz val="9"/>
            <color indexed="81"/>
            <rFont val="Tahoma"/>
            <family val="2"/>
          </rPr>
          <t>M. jurtina's</t>
        </r>
        <r>
          <rPr>
            <sz val="9"/>
            <color indexed="81"/>
            <rFont val="Tahoma"/>
            <family val="2"/>
          </rPr>
          <t xml:space="preserve"> perceptual range as surrogate for diameter</t>
        </r>
      </text>
    </comment>
    <comment ref="J8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long sample collections were done at each site. Highly variable, so assume 8 am to 5 pm (c.a. 9h) spent at one site</t>
        </r>
      </text>
    </comment>
    <comment ref="K8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assume 1 day between each site</t>
        </r>
      </text>
    </comment>
    <comment ref="L8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Uncertain assume sampling done at each site at least once</t>
        </r>
      </text>
    </comment>
    <comment ref="M8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 to August, 2009</t>
        </r>
      </text>
    </comment>
    <comment ref="H8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Total of 16 regions, each region has 27 transects, and each transect has 10 quadrats.</t>
        </r>
      </text>
    </comment>
    <comment ref="J8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10 minutes to collect the information at each quadrat</t>
        </r>
      </text>
    </comment>
    <comment ref="K8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annual sampling</t>
        </r>
      </text>
    </comment>
    <comment ref="M8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2000 to 2004</t>
        </r>
      </text>
    </comment>
    <comment ref="G8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8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15 mins to obtain various types of DNA samples such as fecal samples, hair samples etc from caught or dead arctic foxes</t>
        </r>
      </text>
    </comment>
    <comment ref="K8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two days given vast sampling area</t>
        </r>
      </text>
    </comment>
    <comment ref="L8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that 1507 samples collection x samp_duration</t>
        </r>
      </text>
    </comment>
    <comment ref="M8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year long sampling study</t>
        </r>
      </text>
    </comment>
    <comment ref="G8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8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mins for dissection and tissue extraction</t>
        </r>
      </text>
    </comment>
    <comment ref="K8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approximately 5 hours between each site for sampling.</t>
        </r>
      </text>
    </comment>
    <comment ref="M8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1999 to 2007</t>
        </r>
      </text>
    </comment>
    <comment ref="G8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8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15 mins to obtain various types of DNA samples such as fecal samples, hair samples etc from caught or dead arctic foxes</t>
        </r>
      </text>
    </comment>
    <comment ref="K8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approximately 5 hours between each site for sampling.</t>
        </r>
      </text>
    </comment>
    <comment ref="M8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1989 to 2004</t>
        </r>
      </text>
    </comment>
    <comment ref="G8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8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spent collecting DNA samples</t>
        </r>
      </text>
    </comment>
    <comment ref="K8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2-3 days between each sample site because of remoteness of sample sites</t>
        </r>
      </text>
    </comment>
    <comment ref="M8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year long study</t>
        </r>
      </text>
    </comment>
    <comment ref="G8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8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spent collecting DNA samples</t>
        </r>
      </text>
    </comment>
    <comment ref="K8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two days given vast sampling area</t>
        </r>
      </text>
    </comment>
    <comment ref="M8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year long study</t>
        </r>
      </text>
    </comment>
    <comment ref="G9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goat as plot_res. Mean length of adult 1.4 meters * c.a. width 0.3683 (from http://www.chuckhawks.com/kill_zone_game_animals.htm).</t>
        </r>
      </text>
    </comment>
    <comment ref="J9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to record/log telemetry data</t>
        </r>
      </text>
    </comment>
    <comment ref="K9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during migration events sampling was done every 7d and during non-migraiton seasons sampling was done twice a month c.a. 15d. </t>
        </r>
      </text>
    </comment>
    <comment ref="L9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5743 telemetry locations recorded. Assume that each telemetry location equates to total number of animals sampled from June, 2009 to August, 2005</t>
        </r>
      </text>
    </comment>
    <comment ref="M9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June, 1999 to August, 2009</t>
        </r>
      </text>
    </comment>
    <comment ref="J9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mins spent sampling each transect</t>
        </r>
      </text>
    </comment>
    <comment ref="K9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yearly sampling done every 2 weeks between June to August</t>
        </r>
      </text>
    </comment>
    <comment ref="L9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 X no. of sites X no. of times sampled each year
</t>
        </r>
      </text>
    </comment>
    <comment ref="M9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June, 2006 to August, 2008</t>
        </r>
      </text>
    </comment>
    <comment ref="J9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10 mins per quadrat
</t>
        </r>
      </text>
    </comment>
    <comment ref="K9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sampling for % cover &amp; vegetation height, and bare ground shrub done roughly a year apart</t>
        </r>
      </text>
    </comment>
    <comment ref="L9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 X 20 quadrats X sampled twice in 2006 &amp; 2009 </t>
        </r>
      </text>
    </comment>
    <comment ref="M9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June, 2006 to August, 2008</t>
        </r>
      </text>
    </comment>
  </commentList>
</comments>
</file>

<file path=xl/comments2.xml><?xml version="1.0" encoding="utf-8"?>
<comments xmlns="http://schemas.openxmlformats.org/spreadsheetml/2006/main">
  <authors>
    <author>Labeeb</author>
    <author/>
    <author>LA</author>
    <author>ges_student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Publication Year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LyndonEstes:</t>
        </r>
        <r>
          <rPr>
            <sz val="9"/>
            <color indexed="81"/>
            <rFont val="Tahoma"/>
            <family val="2"/>
          </rPr>
          <t xml:space="preserve">
Calculate as (plot resolution * N sites) / 10000</t>
        </r>
      </text>
    </comment>
    <comment ref="R2" authorId="1">
      <text>
        <r>
          <rPr>
            <sz val="10"/>
            <rFont val="Arial"/>
          </rPr>
          <t>Lyndon Estes:
separate with semi-colon if more than one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Surface Temperature -AWG 28 wire ~ O.D. 1.0 mm x 1.4 mm - Calculated using area of ellipse.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It takes sensors approximately 1 second to measure and log the data.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39.5 hrs total study duration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start date - 7/13/2011
end date - 4/27/2012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29 hrs of total study duration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Air temperature probe diameter - 0.0076 m - Product brochure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PAR sensor diameter - 0.0238 m - Product brochure</t>
        </r>
      </text>
    </comment>
    <comment ref="G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piping plover eggs salvaged as plot res. Egg dimensions obtained from http://obpa-nc.org/DOI-AdminRecord/0042723-0042737.pdf</t>
        </r>
      </text>
    </comment>
    <comment ref="J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Piping plovers lay one egg/day. Assume this to be samp_duration. Source: https://www.fws.gov/northeast/nyfo/es/GLplover03.pdf </t>
        </r>
      </text>
    </comment>
    <comment ref="K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Eggs are laid and hatch between May to July. Assume August to to late April time between sampling. Averaged no. of days between each sampling.</t>
        </r>
      </text>
    </comment>
    <comment ref="M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Started in 1993 to 2008</t>
        </r>
      </text>
    </comment>
    <comment ref="G1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piping plover eggs salvaged as plot res. Egg dimensions obtained from http://obpa-nc.org/DOI-AdminRecord/0042723-0042737.pdf</t>
        </r>
      </text>
    </comment>
    <comment ref="J1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Average time of incubation before eggs hatch. Source: https://www.fws.gov/northeast/nyfo/es/GLplover03.pdf</t>
        </r>
      </text>
    </comment>
    <comment ref="K1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Eggs are laid and hatch between May to July. Assume August to to late April time between sampling. Averaged no. of days between each sampling.</t>
        </r>
      </text>
    </comment>
    <comment ref="M1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Started in 1993 to 2008</t>
        </r>
      </text>
    </comment>
    <comment ref="G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plot resolution. Assume that plot resolution is PS = (mean plant sample size from 2002 &amp; 2003/density) in ha converted to m^2.</t>
        </r>
      </text>
    </comment>
    <comment ref="H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many plants sampled, so assume mean "sample size" as n_sites</t>
        </r>
      </text>
    </comment>
    <comment ref="J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~ 2 hours spent at each site</t>
        </r>
      </text>
    </comment>
    <comment ref="K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Sample done once each year, so assume time between samples to be 1 year</t>
        </r>
      </text>
    </comment>
    <comment ref="L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Unclear. Assigned 1 day value. 
</t>
        </r>
      </text>
    </comment>
    <comment ref="M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Study was conducted over the course of two year 2002 and 2003</t>
        </r>
      </text>
    </comment>
    <comment ref="T1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The paper and the data source were unclear about the plot resolution. The sampling  method used is Ordered Distance Method where sampling area is highly variable. 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Plot size not mentioned. The 4x4 m ground survey plots were randomly selected. Assuming this to be plot resolution for both sites.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59 selected out of 118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1 hr per tree, but actual time spent sampling the base, sub-canopy and canopy is 10 minutes each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Tree surveys repeated day and night. Assuming ~12 hours apart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start date: 2/1/2011 and end date: 10/31/2011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Five temperature sensors were placed per elevation from 900 to 1900 m &amp; each sensor was paired with another above the ground (~1 m) . 10*6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~1 second to data log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data loggers continuously collected temp data from May to Sep, 2011 i.e. 123 days and 177,120 minutes. Total of 11,808 times the data was measured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May to September, 2011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 how many sites. Assuming that transect surveys were done for all sites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Assuming takes ~ 1 hr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Assume it takes 1 day
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transect was sampled 59 times and 8 times respectively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Assume Feb to Oct, 2011</t>
        </r>
      </text>
    </comment>
    <comment ref="G3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Using satellite imagery from Google Earth the width of the river approximated to 30 meters. </t>
        </r>
      </text>
    </comment>
    <comment ref="J3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3 hours to complete sampling the entire transect</t>
        </r>
      </text>
    </comment>
    <comment ref="L3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10 repeated samples * samp_duration. Includes native fish sampling as well</t>
        </r>
      </text>
    </comment>
    <comment ref="M3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March, 2008 to May, 2010</t>
        </r>
      </text>
    </comment>
    <comment ref="T3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experimental determiniation of fish biomass and nutrient recycling 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Avg. of sensor SA of all applicable HOBO and iButton data loggers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10 streams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Not sure how many data loggers used. Conservative assumption one used for each stream.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It takes sensors approximately ~ 1 second to measure and log the data. Data is logged every 15 mins. Therefore, 0.01667 min*96(15 min intervals)/(60*24) [in days] -- Assumed 15 minute interval from USGS guidelines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Assuming ~15 minutes intervals for smaller streams according to USGS Hydrologic data collection guidelines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Data collected from July to August (2007). Assuming 6/1/07 to 8/31/07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Avg. of sensor SA of ONLY applicable HOBO data loggers</t>
        </r>
      </text>
    </comment>
    <comment ref="I3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Not sure how many data loggers used. Conservative assumption one used for each stream.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It takes sensors approximately ~ 1 second to measure and log the data. Data is logged every 15 mins. Therefore, 0.01667 min*96(15 min intervals)/(60*24) [in days] -- Assumed 15 minute interval from USGS guidelines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Unclear. Assuming ~15 minutes intervals for smaller streams according to USGS Hydrologic data collection guidelines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Data collected from Sep, 2007 to Sep, 2008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12x12 (in) Surber sampler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~ 30 mins for each sample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each sample site visited once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Sampled from June, 2002 to (end of) September, 2005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Size of plastic plate with insect trap coating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Number of emergence traps used not disclosed - assume one trap set in two sites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it takes 1 hr to collect and record insects from traps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Labeeb:</t>
        </r>
        <r>
          <rPr>
            <sz val="9"/>
            <color indexed="81"/>
            <rFont val="Tahoma"/>
            <family val="2"/>
          </rPr>
          <t xml:space="preserve">
Assume 1 hr spent at two sites every 48 hrs over the course of 78 days</t>
        </r>
      </text>
    </comment>
    <comment ref="G3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Plot resolution average of transect search (1500*300 (m)) and 180 degree search (pi*300^2), because unclear how many swimming or flying birds sampled as two separate plot resolutions used</t>
        </r>
      </text>
    </comment>
    <comment ref="H3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76 surveys for both flying and swimming birds
</t>
        </r>
      </text>
    </comment>
    <comment ref="K3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takes one day to get from one survey site to another</t>
        </r>
      </text>
    </comment>
    <comment ref="M3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March 1, 2006 to Oct 31, 2009</t>
        </r>
      </text>
    </comment>
    <comment ref="G3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LRFF average (head-to-body length * wingspan). Source: http://animaldiversity.org/site/accounts/information/Pteropus_scapulatus.html</t>
        </r>
      </text>
    </comment>
    <comment ref="H3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LRFFs captured eight times from six locations  from table 1 -  assuming each capture had one mist-net</t>
        </r>
      </text>
    </comment>
    <comment ref="J3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approx. 15 minutes spent on each bat</t>
        </r>
      </text>
    </comment>
    <comment ref="L3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Assumption - 15 minutes spend on each bat and 7 days spend on recording information on all the 664 bats.</t>
        </r>
      </text>
    </comment>
    <comment ref="G3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Authors note approximate sampling area is 5 cm^2 at all sites</t>
        </r>
      </text>
    </comment>
    <comment ref="H3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dry (n=24), lentic (n=16) &amp; lotic (n=40)
Lentic lake sampling - 15 lakes were sampled twice and 1 lake was sampled once. At each lake 4 sites were selected and each site had four different samples so (16*16)</t>
        </r>
      </text>
    </comment>
    <comment ref="J3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it takes 5 minutes to collect the moss cushion samples</t>
        </r>
      </text>
    </comment>
    <comment ref="K3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meterological seasons and calclating mean no. of days between each sampling season</t>
        </r>
      </text>
    </comment>
    <comment ref="M3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Using meterological seasons to approximate study span. Data collection started in Summer, 2001 and ended in Summer, 2003</t>
        </r>
      </text>
    </comment>
    <comment ref="G3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Two sampling methods used - transects and 15' plot observations - the plot observations were hapazardly selected. It is highly variable and not provided. Assume transect resolution as the minimum plot resolution for all sites.</t>
        </r>
      </text>
    </comment>
    <comment ref="J3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15 mins spent at each observational plot. Assume this as approximate time spent sampling each plot.</t>
        </r>
      </text>
    </comment>
    <comment ref="K3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no. of days between each sampling event averaged</t>
        </r>
      </text>
    </comment>
    <comment ref="L3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Sampling duration not indicated. Assuming all sites sampled once * samp_duration</t>
        </r>
      </text>
    </comment>
    <comment ref="G3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Mean surface area of sites sampled. Surface area highly variable.</t>
        </r>
      </text>
    </comment>
    <comment ref="J3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two divers surverying sample site with an approx. mean width of 10.5 m. Assume 15 mins at each site</t>
        </r>
      </text>
    </comment>
    <comment ref="L3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n=90 sampled three times</t>
        </r>
      </text>
    </comment>
    <comment ref="G4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Mean surface area of sites sampled. Surface area highly variable.</t>
        </r>
      </text>
    </comment>
    <comment ref="J4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two divers surverying sample site with an approx. mean width of 10.5 m. Assume 15 mins at each site</t>
        </r>
      </text>
    </comment>
    <comment ref="L4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n=60 sampled three times</t>
        </r>
      </text>
    </comment>
    <comment ref="H4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At each site four quadrats were used</t>
        </r>
      </text>
    </comment>
    <comment ref="J4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15 mins spent counting macrophytes within all four quadrats</t>
        </r>
      </text>
    </comment>
    <comment ref="L4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each site sampled once and all four quadrats retrieved simultaneously ~ 15 mins</t>
        </r>
      </text>
    </comment>
    <comment ref="G42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Sea-Bird SBE43 sensor</t>
        </r>
      </text>
    </comment>
    <comment ref="J42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assume 1 minute for the sensor to record oxygen concentration</t>
        </r>
      </text>
    </comment>
    <comment ref="K42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assume 1 day between data collection at both sites</t>
        </r>
      </text>
    </comment>
    <comment ref="L4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Uncertain study_duration. Assume one day</t>
        </r>
      </text>
    </comment>
    <comment ref="M42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January, 2009</t>
        </r>
      </text>
    </comment>
    <comment ref="H43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10 cores per station</t>
        </r>
      </text>
    </comment>
    <comment ref="J43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Assume 5 mins to drill the core</t>
        </r>
      </text>
    </comment>
    <comment ref="K4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it takes 30 minutes</t>
        </r>
      </text>
    </comment>
    <comment ref="L4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Uncertain study_duration. Assume one day</t>
        </r>
      </text>
    </comment>
    <comment ref="M43" authorId="3">
      <text>
        <r>
          <rPr>
            <b/>
            <sz val="9"/>
            <color indexed="81"/>
            <rFont val="Tahoma"/>
            <family val="2"/>
          </rPr>
          <t>ges_student:</t>
        </r>
        <r>
          <rPr>
            <sz val="9"/>
            <color indexed="81"/>
            <rFont val="Tahoma"/>
            <family val="2"/>
          </rPr>
          <t xml:space="preserve">
January, 2009</t>
        </r>
      </text>
    </comment>
    <comment ref="H4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4 sites * 3 plots per site</t>
        </r>
      </text>
    </comment>
    <comment ref="J4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1 hr spent at each plot</t>
        </r>
      </text>
    </comment>
    <comment ref="K4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every 11 months</t>
        </r>
      </text>
    </comment>
    <comment ref="L4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s_duration*(12 sites*3*3)</t>
        </r>
      </text>
    </comment>
    <comment ref="M4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reference to a three year study. Assume 3 years</t>
        </r>
      </text>
    </comment>
    <comment ref="G4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diameter of air and soil temp sensor 0.03</t>
        </r>
      </text>
    </comment>
    <comment ref="H4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one air and one soil temp sensor at each site i.e. 4 sites * 2 sensors</t>
        </r>
      </text>
    </comment>
    <comment ref="J4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takes 1 minute to record the temperature reading</t>
        </r>
      </text>
    </comment>
    <comment ref="K4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hourly data collection</t>
        </r>
      </text>
    </comment>
    <comment ref="L4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1.577x10^6 minutes in 1095 days. Assume that sensors capture collected data throughout the study span</t>
        </r>
      </text>
    </comment>
    <comment ref="M4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G4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collection funnel's diameter as sampling resolution 0.142 m</t>
        </r>
      </text>
    </comment>
    <comment ref="H4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one rain guage at each site </t>
        </r>
      </text>
    </comment>
    <comment ref="J4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it takes 1 second to record the rain drops in mm during rainfall</t>
        </r>
      </text>
    </comment>
    <comment ref="K4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hourly data collection</t>
        </r>
      </text>
    </comment>
    <comment ref="L4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G4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Fork like soil moisture probe  with two prongs. Assume prongs are prism and calculate surface area</t>
        </r>
      </text>
    </comment>
    <comment ref="H4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4 soil moisture probes at each site</t>
        </r>
      </text>
    </comment>
    <comment ref="J4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measuring time 10 ms</t>
        </r>
      </text>
    </comment>
    <comment ref="K4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hourly data collection</t>
        </r>
      </text>
    </comment>
    <comment ref="L4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G4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shape of LAI probe as prism</t>
        </r>
      </text>
    </comment>
    <comment ref="H4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Difficult to estimate no. of LAI readings performed. Assume averaged LAI recorded for each site</t>
        </r>
      </text>
    </comment>
    <comment ref="J48" authorId="2">
      <text>
        <r>
          <rPr>
            <b/>
            <sz val="9"/>
            <color indexed="81"/>
            <rFont val="Tahoma"/>
            <family val="2"/>
          </rPr>
          <t xml:space="preserve">LA:
</t>
        </r>
        <r>
          <rPr>
            <sz val="9"/>
            <color indexed="81"/>
            <rFont val="Tahoma"/>
            <family val="2"/>
          </rPr>
          <t>Assume takes 1 second to record</t>
        </r>
      </text>
    </comment>
    <comment ref="K4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Paper indicates that LAI was collected once in April, 2009</t>
        </r>
      </text>
    </comment>
    <comment ref="L4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M4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G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LI-3100C Area Meter's max resolution 1 mm^2</t>
        </r>
      </text>
    </comment>
    <comment ref="H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4 sites as no. of LA samples</t>
        </r>
      </text>
    </comment>
    <comment ref="J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to scan and calculate LA</t>
        </r>
      </text>
    </comment>
    <comment ref="K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Paper indicates that LAI was collected once in April, 2009</t>
        </r>
      </text>
    </comment>
    <comment ref="L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study_duration. Assigned one day value</t>
        </r>
      </text>
    </comment>
    <comment ref="M4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H5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six litter bags at each site</t>
        </r>
      </text>
    </comment>
    <comment ref="J5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it takes 1 day to fill a single litter bag</t>
        </r>
      </text>
    </comment>
    <comment ref="K5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annual litter collection instead. Dec-to August i.e. 9*30</t>
        </r>
      </text>
    </comment>
    <comment ref="L5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leaves collected sep-nov for three years</t>
        </r>
      </text>
    </comment>
    <comment ref="J5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per soil core</t>
        </r>
      </text>
    </comment>
    <comment ref="M5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2009</t>
        </r>
      </text>
    </comment>
    <comment ref="G5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diameter of polypropylene collar as soil respiration instrument's resolution </t>
        </r>
      </text>
    </comment>
    <comment ref="H5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12 collars * 4 sites</t>
        </r>
      </text>
    </comment>
    <comment ref="J5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K5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biweekly during growing season and once a month during autumn - mean value calculated</t>
        </r>
      </text>
    </comment>
    <comment ref="L5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51 attempts at sampling at low elevation sites and 1 attempt at high elevation sampling. Assume the rest were recorded manually. Also, the paper is unclear about duration of soil resp sampling - going to assume April 2009 to March
2010 from the figure.</t>
        </r>
      </text>
    </comment>
    <comment ref="M5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done between April, 2009 to March, 2010
</t>
        </r>
      </text>
    </comment>
    <comment ref="G5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temp probe a cylinder. Use surface area of a cylinder</t>
        </r>
      </text>
    </comment>
    <comment ref="H5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similar sites sampled for manual soil temp i.e. 12 sample sites * 4 sites</t>
        </r>
      </text>
    </comment>
    <comment ref="J5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K5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similar time between sampling as above</t>
        </r>
      </text>
    </comment>
    <comment ref="L5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51 attempts *1 years at high elevation sampling, because of insufficient data from the soil resp instrument.</t>
        </r>
      </text>
    </comment>
    <comment ref="M5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done between April, 2009 to March, 2010
</t>
        </r>
      </text>
    </comment>
    <comment ref="G5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total surface area of all three sheild rods</t>
        </r>
      </text>
    </comment>
    <comment ref="H5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similar sites sampled for manual soil moisture  i.e. 12 sample sites * 4 sites</t>
        </r>
      </text>
    </comment>
    <comment ref="J5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K5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similar time between sampling as above</t>
        </r>
      </text>
    </comment>
    <comment ref="L5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51 attempts *1 years at high elevation sampling, because of insufficient data from the soil resp instrument.</t>
        </r>
      </text>
    </comment>
    <comment ref="M5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done between April, 2009 to March, 2010
</t>
        </r>
      </text>
    </comment>
    <comment ref="G5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that soil respiration instrument used so same plot_res </t>
        </r>
      </text>
    </comment>
    <comment ref="J5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recording time</t>
        </r>
      </text>
    </comment>
    <comment ref="K5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sampled 4 times in 62 days</t>
        </r>
      </text>
    </comment>
    <comment ref="L5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samp_duration* 11 sites * 4 times</t>
        </r>
      </text>
    </comment>
    <comment ref="M5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July to August, 2010</t>
        </r>
      </text>
    </comment>
    <comment ref="H5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2 pits per site * 4 sites</t>
        </r>
      </text>
    </comment>
    <comment ref="J5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minutes to collect one soil profile sample</t>
        </r>
      </text>
    </comment>
    <comment ref="K5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 approx. 1 hr from one sample site to another</t>
        </r>
      </text>
    </comment>
    <comment ref="L5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 * 8 sample sites * 6 different profil depth</t>
        </r>
      </text>
    </comment>
    <comment ref="M5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performed in a month</t>
        </r>
      </text>
    </comment>
    <comment ref="G5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water sampling was done. Assume used a bottle with approx 2 inch opening and use as plot_res</t>
        </r>
      </text>
    </comment>
    <comment ref="J5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2 mins to fill up a container with 2 liters of water</t>
        </r>
      </text>
    </comment>
    <comment ref="K5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approximately one hour to reach the next sampling depth</t>
        </r>
      </text>
    </comment>
    <comment ref="L5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samp_duration*2</t>
        </r>
      </text>
    </comment>
    <comment ref="M5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when study took place. Assume it took 30 days.</t>
        </r>
      </text>
    </comment>
    <comment ref="G5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Core size uncertain. Assume 10 cm core diameter</t>
        </r>
      </text>
    </comment>
    <comment ref="J5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to drill a core</t>
        </r>
      </text>
    </comment>
    <comment ref="K5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hr between each sample site</t>
        </r>
      </text>
    </comment>
    <comment ref="L5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15 day survey</t>
        </r>
      </text>
    </comment>
    <comment ref="M5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days study span. Including 15 days the length of the actual survey</t>
        </r>
      </text>
    </comment>
    <comment ref="G5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water sampling was done. Assume used a bottle with approx 2 inch opening and use as plot_res</t>
        </r>
      </text>
    </comment>
    <comment ref="J5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mins to fill up a container with .75 liters of water</t>
        </r>
      </text>
    </comment>
    <comment ref="K5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hr between each sample site</t>
        </r>
      </text>
    </comment>
    <comment ref="L5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15 day survey</t>
        </r>
      </text>
    </comment>
    <comment ref="M5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days study span. Including 15 days the length of the actual survey</t>
        </r>
      </text>
    </comment>
    <comment ref="G6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water sampling was done. Assume used a bottle with approx 2 inch opening and use as plot_res</t>
        </r>
      </text>
    </comment>
    <comment ref="J6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 to collect sample</t>
        </r>
      </text>
    </comment>
    <comment ref="K6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hr between each sample depth</t>
        </r>
      </text>
    </comment>
    <comment ref="M6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December, 1998</t>
        </r>
      </text>
    </comment>
    <comment ref="G6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Core size uncertain. Assume 10 cm core diameter</t>
        </r>
      </text>
    </comment>
    <comment ref="J6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to drill a core</t>
        </r>
      </text>
    </comment>
    <comment ref="K6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 sample only. Three DNA extractions from single soil core</t>
        </r>
      </text>
    </comment>
    <comment ref="L6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Unclear. Assigned 1 day</t>
        </r>
      </text>
    </comment>
    <comment ref="M6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when study took place. Assume it took 30 days.</t>
        </r>
      </text>
    </comment>
    <comment ref="G6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solid soil tube used with 2.5 inch diameter http://www.soilsample.com/catalog/tooling.pdf</t>
        </r>
      </text>
    </comment>
    <comment ref="J6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10 mins per soil core</t>
        </r>
      </text>
    </comment>
    <comment ref="K6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All sample sites except reference sites were 30 meters apart. Assume 5 minutes between each sample.</t>
        </r>
      </text>
    </comment>
    <comment ref="M6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April, 2010</t>
        </r>
      </text>
    </comment>
    <comment ref="G6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Dimensions for each site unclear. Assume, site is circle, and use </t>
        </r>
        <r>
          <rPr>
            <i/>
            <sz val="9"/>
            <color indexed="81"/>
            <rFont val="Tahoma"/>
            <family val="2"/>
          </rPr>
          <t>M. jurtina's</t>
        </r>
        <r>
          <rPr>
            <sz val="9"/>
            <color indexed="81"/>
            <rFont val="Tahoma"/>
            <family val="2"/>
          </rPr>
          <t xml:space="preserve"> perceptual range as surrogate for diameter</t>
        </r>
      </text>
    </comment>
    <comment ref="J6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how long sample collections were done at each site. Highly variable, so assume 8 am to 5 pm (c.a. 9h) spent at one site</t>
        </r>
      </text>
    </comment>
    <comment ref="K6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Unclear assume 1 day between each site</t>
        </r>
      </text>
    </comment>
    <comment ref="L6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Uncertain assume sampling done at each site at least once</t>
        </r>
      </text>
    </comment>
    <comment ref="M63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 to August, 2009</t>
        </r>
      </text>
    </comment>
    <comment ref="H6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Total of 16 regions, each region has 27 transects, and each transect has 10 quadrats.</t>
        </r>
      </text>
    </comment>
    <comment ref="J6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Assuming 10 minutes to collect the information at each quadrat</t>
        </r>
      </text>
    </comment>
    <comment ref="K6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annual sampling</t>
        </r>
      </text>
    </comment>
    <comment ref="M64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2000 to 2004</t>
        </r>
      </text>
    </comment>
    <comment ref="G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15 mins to obtain various types of DNA samples such as fecal samples, hair samples etc from caught or dead arctic foxes</t>
        </r>
      </text>
    </comment>
    <comment ref="K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two days given vast sampling area</t>
        </r>
      </text>
    </comment>
    <comment ref="L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that 1507 samples collection x samp_duration</t>
        </r>
      </text>
    </comment>
    <comment ref="M65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year long sampling study</t>
        </r>
      </text>
    </comment>
    <comment ref="G6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6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mins for dissection and tissue extraction</t>
        </r>
      </text>
    </comment>
    <comment ref="K6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approximately 5 hours between each site for sampling.</t>
        </r>
      </text>
    </comment>
    <comment ref="M66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1999 to 2007</t>
        </r>
      </text>
    </comment>
    <comment ref="G6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6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15 mins to obtain various types of DNA samples such as fecal samples, hair samples etc from caught or dead arctic foxes</t>
        </r>
      </text>
    </comment>
    <comment ref="K6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approximately 5 hours between each site for sampling.</t>
        </r>
      </text>
    </comment>
    <comment ref="M67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1989 to 2004</t>
        </r>
      </text>
    </comment>
    <comment ref="G6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6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spent collecting DNA samples</t>
        </r>
      </text>
    </comment>
    <comment ref="K6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2-3 days between each sample site because of remoteness of sample sites</t>
        </r>
      </text>
    </comment>
    <comment ref="M68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year long study</t>
        </r>
      </text>
    </comment>
    <comment ref="G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arctic fox as plot resolution - mean length head to tail and approximated width of the AF</t>
        </r>
      </text>
    </comment>
    <comment ref="J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5 mins spent collecting DNA samples</t>
        </r>
      </text>
    </comment>
    <comment ref="K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at least two days given vast sampling area</t>
        </r>
      </text>
    </comment>
    <comment ref="M69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year long study</t>
        </r>
      </text>
    </comment>
    <comment ref="G7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goat as plot_res. Mean length of adult 1.4 meters * c.a. width 0.3683 (from http://www.chuckhawks.com/kill_zone_game_animals.htm).</t>
        </r>
      </text>
    </comment>
    <comment ref="J7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1 minute to record/log telemetry data</t>
        </r>
      </text>
    </comment>
    <comment ref="K7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during migration events sampling was done every 7d and during non-migraiton seasons sampling was done twice a month c.a. 15d. </t>
        </r>
      </text>
    </comment>
    <comment ref="L7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5743 telemetry locations recorded. Assume that each telemetry location equates to total number of animals sampled from June, 2009 to August, 2005</t>
        </r>
      </text>
    </comment>
    <comment ref="M70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June, 1999 to August, 2009</t>
        </r>
      </text>
    </comment>
    <comment ref="J7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30 mins spent sampling each transect</t>
        </r>
      </text>
    </comment>
    <comment ref="K7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yearly sampling done every 2 weeks between June to August</t>
        </r>
      </text>
    </comment>
    <comment ref="L7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 X no. of sites X no. of times sampled each year
</t>
        </r>
      </text>
    </comment>
    <comment ref="M71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June, 2006 to August, 2008</t>
        </r>
      </text>
    </comment>
    <comment ref="J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10 mins per quadrat
</t>
        </r>
      </text>
    </comment>
    <comment ref="K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assume sampling for % cover &amp; vegetation height, and bare ground shrub done roughly a year apart</t>
        </r>
      </text>
    </comment>
    <comment ref="L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samp_duration X 20 quadrats X sampled twice in 2006 &amp; 2009 </t>
        </r>
      </text>
    </comment>
    <comment ref="M72" authorId="2">
      <text>
        <r>
          <rPr>
            <b/>
            <sz val="9"/>
            <color indexed="81"/>
            <rFont val="Tahoma"/>
            <family val="2"/>
          </rPr>
          <t>LA:</t>
        </r>
        <r>
          <rPr>
            <sz val="9"/>
            <color indexed="81"/>
            <rFont val="Tahoma"/>
            <family val="2"/>
          </rPr>
          <t xml:space="preserve">
June, 2006 to August, 2008</t>
        </r>
      </text>
    </comment>
  </commentList>
</comments>
</file>

<file path=xl/sharedStrings.xml><?xml version="1.0" encoding="utf-8"?>
<sst xmlns="http://schemas.openxmlformats.org/spreadsheetml/2006/main" count="1164" uniqueCount="271">
  <si>
    <t>m^2</t>
  </si>
  <si>
    <t>n</t>
  </si>
  <si>
    <t>ha</t>
  </si>
  <si>
    <t>days</t>
  </si>
  <si>
    <t>days</t>
  </si>
  <si>
    <t>days</t>
  </si>
  <si>
    <t>days</t>
  </si>
  <si>
    <t>journal</t>
  </si>
  <si>
    <t>DOI</t>
  </si>
  <si>
    <t>study_year</t>
  </si>
  <si>
    <t>study_type</t>
  </si>
  <si>
    <t>country_region</t>
  </si>
  <si>
    <t>subject_matter</t>
  </si>
  <si>
    <t>plot_res</t>
  </si>
  <si>
    <t>n_sites</t>
  </si>
  <si>
    <t>sampled_area</t>
  </si>
  <si>
    <t>samp_duration</t>
  </si>
  <si>
    <t>t_btwn_samp</t>
  </si>
  <si>
    <t>study_duration</t>
  </si>
  <si>
    <t>study_span</t>
  </si>
  <si>
    <t>composition</t>
  </si>
  <si>
    <t>structure</t>
  </si>
  <si>
    <t>function</t>
  </si>
  <si>
    <t>tax_breadth</t>
  </si>
  <si>
    <t>DOI_data_source</t>
  </si>
  <si>
    <t>sensitivity</t>
  </si>
  <si>
    <t>notes</t>
  </si>
  <si>
    <t>Behavioral Ecology</t>
  </si>
  <si>
    <t>10.1093/beheco/arn123</t>
  </si>
  <si>
    <t>Discovery Bay, Jamaica</t>
  </si>
  <si>
    <t>Damselfish behavior and quality of their territory</t>
  </si>
  <si>
    <t>Excluded. Reason - experimental manipulation.</t>
  </si>
  <si>
    <t>Biogeosciences</t>
  </si>
  <si>
    <t>10.5194/bg-10-7661-2013</t>
  </si>
  <si>
    <t>Gypsum Hill, Axel Heiberg Island, Nunavut, Canada</t>
  </si>
  <si>
    <t>Community characterization of gypsum endoliths</t>
  </si>
  <si>
    <t>plot_res; n_sites; samp_duration</t>
  </si>
  <si>
    <t>air temp probe @ 1 sec interval</t>
  </si>
  <si>
    <t>surface temp sensor @ 15 minute interval</t>
  </si>
  <si>
    <t>surface temp sensor @ 1 sec interval</t>
  </si>
  <si>
    <t>air temp probe @ 15 minute interval</t>
  </si>
  <si>
    <t>PAR sensor @ 15 minute interval</t>
  </si>
  <si>
    <t>PAR sensor @ 1 sec interval</t>
  </si>
  <si>
    <t>Proceedings of the Royal Society B-Biological Sciences</t>
  </si>
  <si>
    <t>Biological Conservation</t>
  </si>
  <si>
    <t xml:space="preserve">10.1098/rspb.2010.1148 </t>
  </si>
  <si>
    <t>10.1016/j.biocon.2008.09.014</t>
  </si>
  <si>
    <t>10.1016/j.biocon.2008.08.021</t>
  </si>
  <si>
    <t>http://dx.doi.org/10.1098/rspb.2013.1581</t>
  </si>
  <si>
    <t>Frontiers in Ecology and the Environment</t>
  </si>
  <si>
    <t>Mount Banahaw, Luzon, Philippines</t>
  </si>
  <si>
    <t>Singapore</t>
  </si>
  <si>
    <t>plot_res; t_btwn_samp</t>
  </si>
  <si>
    <t>n_sites; sampled_area; samp_duration</t>
  </si>
  <si>
    <t>microclimate induced aboreality in frogs</t>
  </si>
  <si>
    <t>n_sites; sampled_area; t_btwn_samp; study_duration; study_span</t>
  </si>
  <si>
    <t>Tree transect survey - The Philippines</t>
  </si>
  <si>
    <t>Tree transect survey - Singapore</t>
  </si>
  <si>
    <r>
      <t xml:space="preserve">Description of evolution of inner ear cochlea in late Jurassic mammal </t>
    </r>
    <r>
      <rPr>
        <i/>
        <sz val="10"/>
        <rFont val="Arial"/>
        <family val="2"/>
      </rPr>
      <t>Dryolestes</t>
    </r>
    <r>
      <rPr>
        <sz val="10"/>
        <rFont val="Arial"/>
      </rPr>
      <t>.</t>
    </r>
  </si>
  <si>
    <t>Lisboa, Portugal and Steinmann-Institut für Geologie, Mineralogie und Paläontologie, Universität Bonn, Germany</t>
  </si>
  <si>
    <t>Southern Tablelands of New South Wales, Australia</t>
  </si>
  <si>
    <t>How fragmentation affects remnant vegetation in southeast Australia</t>
  </si>
  <si>
    <t>Adaminaby cemetery</t>
  </si>
  <si>
    <t>Jerrabomberra</t>
  </si>
  <si>
    <t>Campbell park</t>
  </si>
  <si>
    <t>Native dog</t>
  </si>
  <si>
    <t>Braidwood</t>
  </si>
  <si>
    <t>Berrabangalo</t>
  </si>
  <si>
    <t>Adaminaby road</t>
  </si>
  <si>
    <t>Gydzderick</t>
  </si>
  <si>
    <t>Lade vale</t>
  </si>
  <si>
    <t>Black flat</t>
  </si>
  <si>
    <t>Scabbing flat</t>
  </si>
  <si>
    <t>Grabben Gullen</t>
  </si>
  <si>
    <t>Pudmans</t>
  </si>
  <si>
    <t>Queensgallery</t>
  </si>
  <si>
    <t>Excluded. Reason - theoretical paper</t>
  </si>
  <si>
    <t>Excluded. Reason - article about food waste problem in Germany</t>
  </si>
  <si>
    <t xml:space="preserve">10.1098/rspb.2009.2342 </t>
  </si>
  <si>
    <t>Wood River system, southwestern Alaska</t>
  </si>
  <si>
    <t>automated data collection</t>
  </si>
  <si>
    <t>Influence of spawning salmon on phenology of insects in southwestern Alaska</t>
  </si>
  <si>
    <t>plot_res; n_sites; sampled_area; samp_duration, t_btwn_samp</t>
  </si>
  <si>
    <t>Temperature data from July to August (2007)</t>
  </si>
  <si>
    <t>Temperature data from September, 2007 to September, 2008</t>
  </si>
  <si>
    <t>Benthic insect capturing</t>
  </si>
  <si>
    <t>plot_res; sampled_area; samp_duration</t>
  </si>
  <si>
    <t>n_sites; sampled_area</t>
  </si>
  <si>
    <t>Emergence traps for insects</t>
  </si>
  <si>
    <t xml:space="preserve"> air temp and min. moisture data - The Philippines</t>
  </si>
  <si>
    <t>Tree canopy data - the Philippines</t>
  </si>
  <si>
    <t>Tree canopy data - Singapore</t>
  </si>
  <si>
    <t xml:space="preserve">10.1098/rspb.2010.1579 </t>
  </si>
  <si>
    <t xml:space="preserve">10.1098/rspb.2012.0633 </t>
  </si>
  <si>
    <t>experimental</t>
  </si>
  <si>
    <t>Exclude. Reason - experimental manipulation</t>
  </si>
  <si>
    <t>Oikos</t>
  </si>
  <si>
    <t>10.1111/j.1600-0706.2009.17520.x</t>
  </si>
  <si>
    <t>10.1007/s00442-009-1318-9</t>
  </si>
  <si>
    <t>Oecologia</t>
  </si>
  <si>
    <t>theoretical</t>
  </si>
  <si>
    <t>Exclude. Reason - theoretical paper</t>
  </si>
  <si>
    <t>Exclude. Reason - modeling/simulations</t>
  </si>
  <si>
    <t>Exclude. Reason - policy/theoretical</t>
  </si>
  <si>
    <t>Global Ecology and Biogeography</t>
  </si>
  <si>
    <t>Agriculture Ecosystems &amp; Environment</t>
  </si>
  <si>
    <t>10.1111/j.1466-822X.2006.00193.x</t>
  </si>
  <si>
    <t>American Naturalist</t>
  </si>
  <si>
    <t>Diversity and Distributions</t>
  </si>
  <si>
    <t>Exclude. Reason - Article on communication with animals</t>
  </si>
  <si>
    <t>10.1016/j.biocon.2014.02.010</t>
  </si>
  <si>
    <t>Surveying seabirds at-sea to create distribution models</t>
  </si>
  <si>
    <t>Scotian Shelf, Nova Scotia, Canada</t>
  </si>
  <si>
    <t>plot_res; sampled_area; t_btwn_samp</t>
  </si>
  <si>
    <t>Includes flying and swimming birds</t>
  </si>
  <si>
    <t xml:space="preserve">10.1098/rspb.2007.1260 </t>
  </si>
  <si>
    <t>Northern Territory of Australia</t>
  </si>
  <si>
    <t>Testing horizontal transmission of HeV in flying foxes population</t>
  </si>
  <si>
    <t>plot_res; n_sites; samp_duration; study_duration</t>
  </si>
  <si>
    <t>Bat trappings using mist-nets and blood serology collections. Individual bats used instead of mist-net as plot resolution because no dimensions provided</t>
  </si>
  <si>
    <t>No DOI</t>
  </si>
  <si>
    <t xml:space="preserve">10.1098/rspb.2013.1520 </t>
  </si>
  <si>
    <t>10.1890/1540-9295(2007)5[375:ACALTL]2.0.CO;2</t>
  </si>
  <si>
    <t>article on food-sharing program</t>
  </si>
  <si>
    <t>10.1007/s00442-005-0070-z</t>
  </si>
  <si>
    <t>10.5194/bg-10-3869-2013</t>
  </si>
  <si>
    <t>10.1098/rspb.2011.1486</t>
  </si>
  <si>
    <t>10.1890/1540-9295(2005)003[0285:NCI]2.0.CO;2</t>
  </si>
  <si>
    <t>field/direct observation</t>
  </si>
  <si>
    <t>paleo-reconstruction</t>
  </si>
  <si>
    <t>Exclude. Reason: The inner ear is observed via high resolution scanning and 3-d visualization. The two resolutions are provided but concern is that they are observing smaller physiological characteristics. Also, no real size of the artifact provided. Experimental paleo-reconstruction.</t>
  </si>
  <si>
    <t>Lake Michigan and Lake Superior, USA</t>
  </si>
  <si>
    <t xml:space="preserve">Relative fitness of wild vs. captive piping plovers </t>
  </si>
  <si>
    <t>Piping plover - eggs hatched</t>
  </si>
  <si>
    <t>plot_res; n_sites; sampled_area; study_duration</t>
  </si>
  <si>
    <t>Exclude. Theoretical-modeling paper (?). Meta-analyses of rediscovery and detectability of extinction in mammals - extracted and derived data from various databases.</t>
  </si>
  <si>
    <t>theoretical/modeling</t>
  </si>
  <si>
    <t>Sesia valley, northern Italy</t>
  </si>
  <si>
    <t>samp_duration; t_btwn_samples; study_duration</t>
  </si>
  <si>
    <t>10.1002/iroh.200310639; http://www2.muse.it/pubblicazioni/5/actaB80/02_actaBIO_fontaneto.pdf; 0.1007/s10750-004-5495-6</t>
  </si>
  <si>
    <t>dry, lentic and lotic moss data. See DOI data source for extracted data from papers</t>
  </si>
  <si>
    <t>10.1016/j.agee.2013.07.007</t>
  </si>
  <si>
    <t>Ecological Applications</t>
  </si>
  <si>
    <t>Ecological Economics</t>
  </si>
  <si>
    <t>10.1890/09-2178.1</t>
  </si>
  <si>
    <t>Laurentian Shield, Quebec, Canada</t>
  </si>
  <si>
    <t>Lake Drouin - Fish community</t>
  </si>
  <si>
    <t>Lake Pare - Fish community</t>
  </si>
  <si>
    <t>Density of macrophytes</t>
  </si>
  <si>
    <t>plot_res; samp_duration; study_duration</t>
  </si>
  <si>
    <t>10.5194/bg-10-6879-2013</t>
  </si>
  <si>
    <t>Murray Ridge, northern Arabian Sea</t>
  </si>
  <si>
    <t>Oxygen concentration</t>
  </si>
  <si>
    <t>Soil core samples</t>
  </si>
  <si>
    <t>samp_duration; t_btwn_samp; study_duration</t>
  </si>
  <si>
    <t>10.1007/s00442-012-2371-3</t>
  </si>
  <si>
    <t>10.5194/bg-10-5627-2013</t>
  </si>
  <si>
    <t>Haean Basin, Gangwon, South Korea</t>
  </si>
  <si>
    <t>10.1016/j.agee.2011.06.018</t>
  </si>
  <si>
    <t>South of Mount Saint-Michel, Brittany, France</t>
  </si>
  <si>
    <t>10.1086/504603</t>
  </si>
  <si>
    <t>10.1007/s00442-013-2614-y</t>
  </si>
  <si>
    <t>experimental/manipulation</t>
  </si>
  <si>
    <t>10.1890/1540-9295-10.9.508</t>
  </si>
  <si>
    <t>other</t>
  </si>
  <si>
    <t>10.1086/651589</t>
  </si>
  <si>
    <t>10.1111/j.1472-4642.2012.00932.x</t>
  </si>
  <si>
    <t>theoretical/case studies</t>
  </si>
  <si>
    <t>Exclude. Reason - Theoretical - case studies of weed containment program - no observational data/sampling</t>
  </si>
  <si>
    <t>10.1890/12-1324.1</t>
  </si>
  <si>
    <t xml:space="preserve">Exclude. Reason - Experimental study on mosquitofish </t>
  </si>
  <si>
    <t>10.1016/j.ecolecon.2010.06.013</t>
  </si>
  <si>
    <t xml:space="preserve">Exclude. Reason - Theoretical/policy paper on </t>
  </si>
  <si>
    <t>10.5194/bg-11-425-2014</t>
  </si>
  <si>
    <t>10.1016/j.agee.2006.12.016</t>
  </si>
  <si>
    <t xml:space="preserve">10.1098/rspb.2007.1067 </t>
  </si>
  <si>
    <t>10.1111/j.1600-0706.2010.18766.x</t>
  </si>
  <si>
    <t>10.1016/j.biocon.2006.10.041</t>
  </si>
  <si>
    <t>10.1016/j.biocon.2006.08.004</t>
  </si>
  <si>
    <t>plot_res; n_sites; sampled_area; samp_duration; t_btwn_samp; study_duration</t>
  </si>
  <si>
    <t>Pterygoplichthys and native fish density</t>
  </si>
  <si>
    <t>plot_res; samp_duration</t>
  </si>
  <si>
    <t xml:space="preserve">Chacamax River, Chiapas, Mexico </t>
  </si>
  <si>
    <t>Invasive aquarium fish species that alter nutrient dynamics in rivers</t>
  </si>
  <si>
    <t>Exclude. Reason - Usage of experimental data from two sources to create simulation models</t>
  </si>
  <si>
    <t>theoretical/experimental manipulation</t>
  </si>
  <si>
    <t>Exclude. Reason - Simulating deposition of mineral dust in mesocosms</t>
  </si>
  <si>
    <t>Exclude. Reason - Using INTI (integrated total nitrogen input)  system to measure nitrogen inputs and outputs in pots or in experimental regions simulating field conditions.</t>
  </si>
  <si>
    <t>Basal area</t>
  </si>
  <si>
    <t>Soil Moisture</t>
  </si>
  <si>
    <t>Leaf Area Index (LAI)</t>
  </si>
  <si>
    <t>Leaf Area (LA)</t>
  </si>
  <si>
    <t>Canopy leaf litter fall</t>
  </si>
  <si>
    <t>Soil Cores</t>
  </si>
  <si>
    <t>Soil Respiration</t>
  </si>
  <si>
    <t>Manual - Soil Moisture (Chamber sites)</t>
  </si>
  <si>
    <t>Soil Physiochemical analysis</t>
  </si>
  <si>
    <t>Air and Soil Temperature</t>
  </si>
  <si>
    <t>n_sites; study_duration</t>
  </si>
  <si>
    <t>Percipitation</t>
  </si>
  <si>
    <t>t_btwn_samp; study_duration; study_span</t>
  </si>
  <si>
    <t>plot_res; samp_duration; study_duration; study_span</t>
  </si>
  <si>
    <t>study_duration; study_span</t>
  </si>
  <si>
    <t>plot_res; n_sites; t_btwn_samp; study_duration; study_span</t>
  </si>
  <si>
    <t>samp_duration; t_btwn_samp; study_duration; study_span</t>
  </si>
  <si>
    <t>samp_duration; t_btwn_samp; study_span</t>
  </si>
  <si>
    <t>samp_duration; t_btwn_sample; study_duration; study_span</t>
  </si>
  <si>
    <t>Soil Respiration @ Supplementary sites</t>
  </si>
  <si>
    <t>Manual - Soil Temperature (Chamber sites)</t>
  </si>
  <si>
    <t>n_sites; samp_duration; t_btwn_samp; study_duration; study_span</t>
  </si>
  <si>
    <t>n_sites; samp_duration; t_btwn_samp; study_duration</t>
  </si>
  <si>
    <t xml:space="preserve">Canton of Uri and Tincino, Switzerland </t>
  </si>
  <si>
    <t>soil respiration as proxy to understanding of NPP at high and low elevation in Alps</t>
  </si>
  <si>
    <t>Mid-Atlantic Ridge - Rainbow hydrothermal sediment</t>
  </si>
  <si>
    <t>Mid-Atlantic Ridge/Lucky Strike Site - Plastic mesh</t>
  </si>
  <si>
    <t>Gulf of California</t>
  </si>
  <si>
    <t>36°6′ N, 33°11′ W, Mid-Atlantic Ridge, Atlantic Ocean</t>
  </si>
  <si>
    <t>37°17′ N, 32°16′ W, Mid-Atlantic Ridge, Atlantic Ocean</t>
  </si>
  <si>
    <t>27°35′ N, 111°28 W, Gulf of California</t>
  </si>
  <si>
    <t>10.1073/pnas.0235779100</t>
  </si>
  <si>
    <t>10.1038/35054537</t>
  </si>
  <si>
    <t>10.1073/pnas.062186399</t>
  </si>
  <si>
    <t>Fungal diversity in deep oceans</t>
  </si>
  <si>
    <t>plot_res; samp_duration; t_btwn_samp; study_duration; study_span; function</t>
  </si>
  <si>
    <t>plot_res; samp_duration; t_btwn_samp; study_span; function</t>
  </si>
  <si>
    <t>plot_res; samp_duration; t_btwn_samp; study_duration</t>
  </si>
  <si>
    <t>Soil core samples - bulk densities and determine organic and inorganic % carbon concentration</t>
  </si>
  <si>
    <t>plot_res; t_btwn_samp; structure</t>
  </si>
  <si>
    <t>Use of cesium-137 and fall out radionuclides as qualitative indicators for soil erosion</t>
  </si>
  <si>
    <t>plot_res; samp_duration; t_twn_samp; study_duration</t>
  </si>
  <si>
    <t>Assessing if grassy field margins/corridors in agricultural landscapes facilitate butterfly movement</t>
  </si>
  <si>
    <t>Washington, Oregon &amp; California, USA</t>
  </si>
  <si>
    <r>
      <t xml:space="preserve">medow and GFM surveys for </t>
    </r>
    <r>
      <rPr>
        <i/>
        <sz val="10"/>
        <rFont val="Arial"/>
        <family val="2"/>
      </rPr>
      <t xml:space="preserve">M. jurtina </t>
    </r>
    <r>
      <rPr>
        <sz val="10"/>
        <rFont val="Arial"/>
      </rPr>
      <t>movement</t>
    </r>
  </si>
  <si>
    <t>relationship between regional and local species richness in marine intertidal ecosystems in western coast, USA</t>
  </si>
  <si>
    <t>designation of regional and local plots - sampling all species and assign trophic status - Note - should this have nested regional and local effects, or just single effect?</t>
  </si>
  <si>
    <t>Carmichael et al., 2007 (Alaska, Canada, Svalbard)</t>
  </si>
  <si>
    <t>Noren et al., 2009 (Iceland)</t>
  </si>
  <si>
    <t>Unpublished studies from Siberia and Greeland</t>
  </si>
  <si>
    <t>Alaska, USA; Canada; Svalbard, Norway</t>
  </si>
  <si>
    <t>Iceland</t>
  </si>
  <si>
    <t>Scandinavia; Kola, Nish Pesha &amp; Amderma, Russia</t>
  </si>
  <si>
    <t>Yamal, Taimyr and Wrangel Islands, Russia; Kangerlussuaq, Scoresbysund, Siorpaluk, Thule, Nanortalik and Quaqortoq, Greenland</t>
  </si>
  <si>
    <t>Wrecks of Bismarck and Titanic</t>
  </si>
  <si>
    <t>48°10′ N, 16°12′ W, Atlantic Ocean; 41°43′ N, 49°56′ W, Atlantic Ocean</t>
  </si>
  <si>
    <t>59°19′48″ S, 55°45′11″ W, Drake Passage, Atlantic Ocean; 59°19′48″ S, 55°45′11″ W, Drake Passage, Atlantic Ocean</t>
  </si>
  <si>
    <t>Drake Passage &amp; Drake Passage (Shallow marine site)</t>
  </si>
  <si>
    <t xml:space="preserve">Arctic fox - genetic diversity and connectivity in Circumpolar region </t>
  </si>
  <si>
    <t>Yellowstone National Park, Wyoming and Montana, USA</t>
  </si>
  <si>
    <t>Pronghorn goat telemetry data</t>
  </si>
  <si>
    <t>plot_res; samp_duration, study_duration; composition</t>
  </si>
  <si>
    <t>Piping plover - eggs salvaged - https://www.fws.gov/northeast/nyfo/es/GLplover03.pdf</t>
  </si>
  <si>
    <t>meta-analysis/lit. review</t>
  </si>
  <si>
    <t xml:space="preserve">Exclude. Reason - meta-analysis of four different datasets. </t>
  </si>
  <si>
    <t>Zone Atelier “Plaines et Val de Sèvres”, Poitou-Charentes region, France</t>
  </si>
  <si>
    <t>Use of agri-envrionmental schemes (AES) by  honey bees and wild bees foraging</t>
  </si>
  <si>
    <t>sampling of AES habitats (two sampling methods merged as single effect)</t>
  </si>
  <si>
    <t>bacterial role in carbon recycling in Arabian sea's oxygen minimum zone</t>
  </si>
  <si>
    <r>
      <rPr>
        <i/>
        <sz val="10"/>
        <rFont val="Arial"/>
        <family val="2"/>
      </rPr>
      <t xml:space="preserve">P. apollo </t>
    </r>
    <r>
      <rPr>
        <sz val="10"/>
        <rFont val="Arial"/>
      </rPr>
      <t>count</t>
    </r>
  </si>
  <si>
    <t>Sedum Speices - % cover, bare ground shrub &amp; vegetation height</t>
  </si>
  <si>
    <t>samp_duration; t_btwn_samp</t>
  </si>
  <si>
    <t>Analysis of P. apollo abundance by creating a GLM model derived from field data</t>
  </si>
  <si>
    <t>Landscape Ecology</t>
  </si>
  <si>
    <t>10.1007/s10980-013-9847-3</t>
  </si>
  <si>
    <t>Sierra de Guadarrama, Spain</t>
  </si>
  <si>
    <t>10.1111/j.1365-294X.2007.03381.x</t>
  </si>
  <si>
    <t>10.1111/j.1095-8312.2009.01172.x</t>
  </si>
  <si>
    <t>10.1111/j.1365-294X.2006.02983.x</t>
  </si>
  <si>
    <t>Dalen et al., 2006 (Scandinavia &amp; Kola)</t>
  </si>
  <si>
    <t>Dalen et al., 2005 (Nish Pesha &amp; Amderma)</t>
  </si>
  <si>
    <t>10.1111/j.1095-8312.2005.00415.x</t>
  </si>
  <si>
    <t>plot_res; sampled_area; samp_duration; t_btwn_samp; study_duration; study_span; function;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</si>
</sst>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sz val="12"/>
      <name val="Times New Roman"/>
      <family val="1"/>
    </font>
    <font>
      <i/>
      <sz val="9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535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5" fillId="3" borderId="1" xfId="0" applyFont="1" applyFill="1" applyBorder="1"/>
    <xf numFmtId="0" fontId="9" fillId="3" borderId="1" xfId="0" applyFont="1" applyFill="1" applyBorder="1"/>
    <xf numFmtId="164" fontId="6" fillId="3" borderId="1" xfId="0" applyNumberFormat="1" applyFont="1" applyFill="1" applyBorder="1"/>
    <xf numFmtId="0" fontId="8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4" fontId="8" fillId="3" borderId="1" xfId="0" applyNumberFormat="1" applyFont="1" applyFill="1" applyBorder="1" applyAlignment="1">
      <alignment wrapText="1"/>
    </xf>
    <xf numFmtId="0" fontId="1" fillId="3" borderId="1" xfId="0" applyFont="1" applyFill="1" applyBorder="1"/>
    <xf numFmtId="0" fontId="5" fillId="0" borderId="1" xfId="0" applyFont="1" applyFill="1" applyBorder="1"/>
    <xf numFmtId="0" fontId="1" fillId="0" borderId="1" xfId="0" applyFont="1" applyFill="1" applyBorder="1"/>
    <xf numFmtId="0" fontId="7" fillId="0" borderId="1" xfId="0" applyFont="1" applyFill="1" applyBorder="1"/>
    <xf numFmtId="0" fontId="1" fillId="0" borderId="1" xfId="0" applyNumberFormat="1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9" fillId="0" borderId="1" xfId="0" applyFont="1" applyFill="1" applyBorder="1"/>
    <xf numFmtId="0" fontId="0" fillId="3" borderId="1" xfId="0" applyFont="1" applyFill="1" applyBorder="1"/>
    <xf numFmtId="0" fontId="1" fillId="0" borderId="1" xfId="0" applyFont="1" applyBorder="1"/>
    <xf numFmtId="0" fontId="0" fillId="0" borderId="1" xfId="0" applyFont="1" applyFill="1" applyBorder="1"/>
    <xf numFmtId="1" fontId="0" fillId="0" borderId="1" xfId="0" applyNumberFormat="1" applyBorder="1"/>
    <xf numFmtId="0" fontId="13" fillId="0" borderId="1" xfId="0" applyFont="1" applyBorder="1" applyAlignment="1">
      <alignment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FF535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666750</xdr:colOff>
      <xdr:row>82</xdr:row>
      <xdr:rowOff>104775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82</xdr:row>
      <xdr:rowOff>104775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10515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89</xdr:row>
      <xdr:rowOff>104775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13220700" cy="9667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89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13220700" cy="9667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53</xdr:row>
      <xdr:rowOff>104775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13220700" cy="9048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53</xdr:row>
      <xdr:rowOff>104775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13220700" cy="9048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53</xdr:row>
      <xdr:rowOff>104775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13220700" cy="9048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54</xdr:row>
      <xdr:rowOff>104775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13068300" cy="9048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54</xdr:row>
      <xdr:rowOff>104775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13068300" cy="9048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84</xdr:row>
      <xdr:rowOff>104775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13735050" cy="9620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84</xdr:row>
      <xdr:rowOff>104775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14687550" cy="9620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84</xdr:row>
      <xdr:rowOff>104775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14687550" cy="9620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82</xdr:row>
      <xdr:rowOff>104775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146875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81</xdr:row>
      <xdr:rowOff>104775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146875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63</xdr:row>
      <xdr:rowOff>104775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146875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666750</xdr:colOff>
      <xdr:row>62</xdr:row>
      <xdr:rowOff>104775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16694150" cy="14671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69</xdr:row>
      <xdr:rowOff>104775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16694150" cy="16005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69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16694150" cy="16005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38</xdr:row>
      <xdr:rowOff>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16694150" cy="9147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38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16694150" cy="9147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38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16694150" cy="9147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38</xdr:row>
      <xdr:rowOff>104775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16694150" cy="9337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38</xdr:row>
      <xdr:rowOff>104775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16694150" cy="9337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64</xdr:row>
      <xdr:rowOff>104775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16694150" cy="1505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64</xdr:row>
      <xdr:rowOff>104775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16694150" cy="1505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64</xdr:row>
      <xdr:rowOff>104775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16694150" cy="1505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62</xdr:row>
      <xdr:rowOff>104775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16694150" cy="14671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61</xdr:row>
      <xdr:rowOff>104775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16694150" cy="14481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43</xdr:row>
      <xdr:rowOff>104775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16694150" cy="1105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5"/>
  <sheetViews>
    <sheetView workbookViewId="0">
      <pane ySplit="2" topLeftCell="A3" activePane="bottomLeft" state="frozen"/>
      <selection pane="bottomLeft" sqref="A1:XFD1048576"/>
    </sheetView>
  </sheetViews>
  <sheetFormatPr baseColWidth="10" defaultColWidth="17.33203125" defaultRowHeight="15.75" customHeight="1" x14ac:dyDescent="0"/>
  <cols>
    <col min="1" max="1" width="48.5" style="19" bestFit="1" customWidth="1"/>
    <col min="2" max="2" width="32.33203125" style="19" bestFit="1" customWidth="1"/>
    <col min="3" max="3" width="10.5" style="19" customWidth="1"/>
    <col min="4" max="4" width="29.1640625" style="19" bestFit="1" customWidth="1"/>
    <col min="5" max="5" width="14.5" style="19" customWidth="1"/>
    <col min="6" max="6" width="14.6640625" style="19" customWidth="1"/>
    <col min="7" max="7" width="9.83203125" style="19" customWidth="1"/>
    <col min="8" max="8" width="8" style="19" customWidth="1"/>
    <col min="9" max="9" width="13.5" style="19" customWidth="1"/>
    <col min="10" max="10" width="16.5" style="19" customWidth="1"/>
    <col min="11" max="11" width="12.83203125" style="19" bestFit="1" customWidth="1"/>
    <col min="12" max="12" width="14.5" style="19" customWidth="1"/>
    <col min="13" max="14" width="11.83203125" style="19" customWidth="1"/>
    <col min="15" max="15" width="8.6640625" style="19" customWidth="1"/>
    <col min="16" max="16" width="7.83203125" style="19" customWidth="1"/>
    <col min="17" max="19" width="10.6640625" style="19" customWidth="1"/>
    <col min="20" max="20" width="41.5" style="19" customWidth="1"/>
    <col min="21" max="28" width="14.5" style="19" customWidth="1"/>
    <col min="29" max="16384" width="17.33203125" style="19"/>
  </cols>
  <sheetData>
    <row r="1" spans="1:28" ht="15.7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2" t="s">
        <v>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5.5" customHeight="1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4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1"/>
      <c r="V2" s="1"/>
      <c r="W2" s="1"/>
      <c r="X2" s="1"/>
      <c r="Y2" s="1"/>
      <c r="Z2" s="1"/>
      <c r="AA2" s="1"/>
      <c r="AB2" s="1"/>
    </row>
    <row r="3" spans="1:28" ht="12" customHeight="1">
      <c r="A3" s="7" t="s">
        <v>27</v>
      </c>
      <c r="B3" s="6" t="s">
        <v>28</v>
      </c>
      <c r="C3" s="6">
        <v>2007</v>
      </c>
      <c r="D3" s="12" t="s">
        <v>94</v>
      </c>
      <c r="E3" s="7" t="s">
        <v>29</v>
      </c>
      <c r="F3" s="7" t="s">
        <v>30</v>
      </c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7" t="s">
        <v>31</v>
      </c>
      <c r="U3" s="5"/>
      <c r="V3" s="5"/>
      <c r="W3" s="5"/>
      <c r="X3" s="5"/>
      <c r="Y3" s="5"/>
      <c r="Z3" s="5"/>
      <c r="AA3" s="5"/>
      <c r="AB3" s="5"/>
    </row>
    <row r="4" spans="1:28" s="17" customFormat="1" ht="12" customHeight="1">
      <c r="A4" s="21" t="s">
        <v>32</v>
      </c>
      <c r="B4" s="17" t="s">
        <v>33</v>
      </c>
      <c r="C4" s="13">
        <v>2013</v>
      </c>
      <c r="D4" s="14" t="s">
        <v>80</v>
      </c>
      <c r="E4" s="14" t="s">
        <v>34</v>
      </c>
      <c r="F4" s="14" t="s">
        <v>35</v>
      </c>
      <c r="G4" s="13">
        <f>(3/4)*(PI())*((0.001)*(0.0014))</f>
        <v>3.2986722862692827E-6</v>
      </c>
      <c r="H4" s="13">
        <v>1</v>
      </c>
      <c r="I4" s="13">
        <f t="shared" ref="I4:I9" si="0">(G4*H4)/10000</f>
        <v>3.2986722862692825E-10</v>
      </c>
      <c r="J4" s="14">
        <f t="shared" ref="J4:J9" si="1">(0.01667)/(60*24)</f>
        <v>1.1576388888888889E-5</v>
      </c>
      <c r="K4" s="14">
        <f>15/(60*24)</f>
        <v>1.0416666666666666E-2</v>
      </c>
      <c r="L4" s="13">
        <f>39.5/24</f>
        <v>1.6458333333333333</v>
      </c>
      <c r="M4" s="13">
        <v>289</v>
      </c>
      <c r="N4" s="13">
        <v>0</v>
      </c>
      <c r="O4" s="13">
        <v>0</v>
      </c>
      <c r="P4" s="13">
        <v>1</v>
      </c>
      <c r="Q4" s="13">
        <v>0</v>
      </c>
      <c r="R4" s="13"/>
      <c r="S4" s="14" t="s">
        <v>36</v>
      </c>
      <c r="T4" s="14" t="s">
        <v>38</v>
      </c>
      <c r="U4" s="15"/>
      <c r="V4" s="15"/>
      <c r="W4" s="15"/>
      <c r="X4" s="15"/>
      <c r="Y4" s="15"/>
      <c r="Z4" s="15"/>
      <c r="AA4" s="15"/>
    </row>
    <row r="5" spans="1:28" s="17" customFormat="1" ht="12" customHeight="1">
      <c r="A5" s="21" t="s">
        <v>32</v>
      </c>
      <c r="B5" s="17" t="s">
        <v>33</v>
      </c>
      <c r="C5" s="13">
        <v>2013</v>
      </c>
      <c r="D5" s="14" t="s">
        <v>80</v>
      </c>
      <c r="E5" s="14" t="s">
        <v>34</v>
      </c>
      <c r="F5" s="14" t="s">
        <v>35</v>
      </c>
      <c r="G5" s="13">
        <f>(3/4)*(PI())*((0.001)*(0.0014))</f>
        <v>3.2986722862692827E-6</v>
      </c>
      <c r="H5" s="13">
        <v>1</v>
      </c>
      <c r="I5" s="13">
        <f t="shared" si="0"/>
        <v>3.2986722862692825E-10</v>
      </c>
      <c r="J5" s="14">
        <f t="shared" si="1"/>
        <v>1.1576388888888889E-5</v>
      </c>
      <c r="K5" s="14">
        <f>0.01667/(60*24)</f>
        <v>1.1576388888888889E-5</v>
      </c>
      <c r="L5" s="13">
        <f>29/24</f>
        <v>1.2083333333333333</v>
      </c>
      <c r="M5" s="13">
        <v>289</v>
      </c>
      <c r="N5" s="13">
        <v>0</v>
      </c>
      <c r="O5" s="13">
        <v>0</v>
      </c>
      <c r="P5" s="13">
        <v>1</v>
      </c>
      <c r="Q5" s="13">
        <v>0</v>
      </c>
      <c r="R5" s="13"/>
      <c r="S5" s="14" t="s">
        <v>36</v>
      </c>
      <c r="T5" s="14" t="s">
        <v>39</v>
      </c>
      <c r="U5" s="15"/>
      <c r="V5" s="15"/>
      <c r="W5" s="15"/>
      <c r="X5" s="15"/>
      <c r="Y5" s="15"/>
      <c r="Z5" s="15"/>
      <c r="AA5" s="15"/>
    </row>
    <row r="6" spans="1:28" s="17" customFormat="1" ht="12" customHeight="1">
      <c r="A6" s="21" t="s">
        <v>32</v>
      </c>
      <c r="B6" s="14" t="s">
        <v>33</v>
      </c>
      <c r="C6" s="13">
        <v>2013</v>
      </c>
      <c r="D6" s="14" t="s">
        <v>80</v>
      </c>
      <c r="E6" s="14" t="s">
        <v>34</v>
      </c>
      <c r="F6" s="14" t="s">
        <v>35</v>
      </c>
      <c r="G6" s="13">
        <f>PI()*(0.0076/2)^2</f>
        <v>4.5364597917836615E-5</v>
      </c>
      <c r="H6" s="13">
        <v>1</v>
      </c>
      <c r="I6" s="13">
        <f t="shared" si="0"/>
        <v>4.5364597917836615E-9</v>
      </c>
      <c r="J6" s="14">
        <f t="shared" si="1"/>
        <v>1.1576388888888889E-5</v>
      </c>
      <c r="K6" s="14">
        <f>15/(60*24)</f>
        <v>1.0416666666666666E-2</v>
      </c>
      <c r="L6" s="13">
        <f>39.5/24</f>
        <v>1.6458333333333333</v>
      </c>
      <c r="M6" s="13">
        <v>289</v>
      </c>
      <c r="N6" s="13">
        <v>0</v>
      </c>
      <c r="O6" s="13">
        <v>0</v>
      </c>
      <c r="P6" s="13">
        <v>0</v>
      </c>
      <c r="Q6" s="13">
        <v>0</v>
      </c>
      <c r="R6" s="13"/>
      <c r="S6" s="14" t="s">
        <v>36</v>
      </c>
      <c r="T6" s="14" t="s">
        <v>40</v>
      </c>
      <c r="U6" s="15"/>
      <c r="V6" s="15"/>
      <c r="W6" s="15"/>
      <c r="X6" s="15"/>
      <c r="Y6" s="15"/>
      <c r="Z6" s="15"/>
      <c r="AA6" s="15"/>
    </row>
    <row r="7" spans="1:28" s="17" customFormat="1" ht="12" customHeight="1">
      <c r="A7" s="21" t="s">
        <v>32</v>
      </c>
      <c r="B7" s="17" t="s">
        <v>33</v>
      </c>
      <c r="C7" s="13">
        <v>2013</v>
      </c>
      <c r="D7" s="14" t="s">
        <v>80</v>
      </c>
      <c r="E7" s="14" t="s">
        <v>34</v>
      </c>
      <c r="F7" s="14" t="s">
        <v>35</v>
      </c>
      <c r="G7" s="13">
        <f>PI()*(0.0076/2)^2</f>
        <v>4.5364597917836615E-5</v>
      </c>
      <c r="H7" s="13">
        <v>1</v>
      </c>
      <c r="I7" s="13">
        <f t="shared" si="0"/>
        <v>4.5364597917836615E-9</v>
      </c>
      <c r="J7" s="14">
        <f t="shared" si="1"/>
        <v>1.1576388888888889E-5</v>
      </c>
      <c r="K7" s="14">
        <f>0.01667/(60*24)</f>
        <v>1.1576388888888889E-5</v>
      </c>
      <c r="L7" s="13">
        <f>29/24</f>
        <v>1.2083333333333333</v>
      </c>
      <c r="M7" s="13">
        <v>289</v>
      </c>
      <c r="N7" s="13">
        <v>0</v>
      </c>
      <c r="O7" s="13">
        <v>0</v>
      </c>
      <c r="P7" s="13">
        <v>0</v>
      </c>
      <c r="Q7" s="13">
        <v>0</v>
      </c>
      <c r="R7" s="13"/>
      <c r="S7" s="14" t="s">
        <v>36</v>
      </c>
      <c r="T7" s="14" t="s">
        <v>37</v>
      </c>
      <c r="U7" s="15"/>
      <c r="V7" s="15"/>
      <c r="W7" s="15"/>
      <c r="X7" s="15"/>
      <c r="Y7" s="15"/>
      <c r="Z7" s="15"/>
      <c r="AA7" s="15"/>
    </row>
    <row r="8" spans="1:28" s="17" customFormat="1" ht="12" customHeight="1">
      <c r="A8" s="21" t="s">
        <v>32</v>
      </c>
      <c r="B8" s="17" t="s">
        <v>33</v>
      </c>
      <c r="C8" s="13">
        <v>2013</v>
      </c>
      <c r="D8" s="14" t="s">
        <v>80</v>
      </c>
      <c r="E8" s="14" t="s">
        <v>34</v>
      </c>
      <c r="F8" s="14" t="s">
        <v>35</v>
      </c>
      <c r="G8" s="13">
        <f>PI()*(0.0238/2)^2</f>
        <v>4.4488093567485068E-4</v>
      </c>
      <c r="H8" s="13">
        <v>1</v>
      </c>
      <c r="I8" s="13">
        <f t="shared" si="0"/>
        <v>4.448809356748507E-8</v>
      </c>
      <c r="J8" s="14">
        <f t="shared" si="1"/>
        <v>1.1576388888888889E-5</v>
      </c>
      <c r="K8" s="14">
        <f>15/(60*24)</f>
        <v>1.0416666666666666E-2</v>
      </c>
      <c r="L8" s="13">
        <f>39.5/24</f>
        <v>1.6458333333333333</v>
      </c>
      <c r="M8" s="13">
        <v>289</v>
      </c>
      <c r="N8" s="13">
        <v>0</v>
      </c>
      <c r="O8" s="13">
        <v>0</v>
      </c>
      <c r="P8" s="13">
        <v>1</v>
      </c>
      <c r="Q8" s="13">
        <v>0</v>
      </c>
      <c r="R8" s="13"/>
      <c r="S8" s="14" t="s">
        <v>36</v>
      </c>
      <c r="T8" s="14" t="s">
        <v>41</v>
      </c>
      <c r="U8" s="15"/>
      <c r="V8" s="15"/>
      <c r="W8" s="15"/>
      <c r="X8" s="15"/>
      <c r="Y8" s="15"/>
      <c r="Z8" s="15"/>
      <c r="AA8" s="15"/>
      <c r="AB8" s="15"/>
    </row>
    <row r="9" spans="1:28" s="17" customFormat="1" ht="12" customHeight="1">
      <c r="A9" s="21" t="s">
        <v>32</v>
      </c>
      <c r="B9" s="17" t="s">
        <v>33</v>
      </c>
      <c r="C9" s="13">
        <v>2013</v>
      </c>
      <c r="D9" s="14" t="s">
        <v>80</v>
      </c>
      <c r="E9" s="14" t="s">
        <v>34</v>
      </c>
      <c r="F9" s="14" t="s">
        <v>35</v>
      </c>
      <c r="G9" s="13">
        <f>PI()*(0.0238/2)^2</f>
        <v>4.4488093567485068E-4</v>
      </c>
      <c r="H9" s="13">
        <v>1</v>
      </c>
      <c r="I9" s="13">
        <f t="shared" si="0"/>
        <v>4.448809356748507E-8</v>
      </c>
      <c r="J9" s="14">
        <f t="shared" si="1"/>
        <v>1.1576388888888889E-5</v>
      </c>
      <c r="K9" s="14">
        <f>0.01667/(60*24)</f>
        <v>1.1576388888888889E-5</v>
      </c>
      <c r="L9" s="13">
        <f>29/24</f>
        <v>1.2083333333333333</v>
      </c>
      <c r="M9" s="13">
        <v>289</v>
      </c>
      <c r="N9" s="13">
        <v>0</v>
      </c>
      <c r="O9" s="13">
        <v>0</v>
      </c>
      <c r="P9" s="13">
        <v>1</v>
      </c>
      <c r="Q9" s="13">
        <v>0</v>
      </c>
      <c r="R9" s="13"/>
      <c r="S9" s="14" t="s">
        <v>36</v>
      </c>
      <c r="T9" s="14" t="s">
        <v>42</v>
      </c>
      <c r="U9" s="15"/>
      <c r="V9" s="15"/>
      <c r="W9" s="15"/>
      <c r="X9" s="15"/>
      <c r="Y9" s="15"/>
      <c r="Z9" s="15"/>
      <c r="AA9" s="15"/>
      <c r="AB9" s="15"/>
    </row>
    <row r="10" spans="1:28" ht="12" customHeight="1">
      <c r="A10" s="6" t="s">
        <v>43</v>
      </c>
      <c r="B10" s="12" t="s">
        <v>45</v>
      </c>
      <c r="C10" s="6">
        <v>2010</v>
      </c>
      <c r="D10" s="12" t="s">
        <v>129</v>
      </c>
      <c r="E10" s="12" t="s">
        <v>59</v>
      </c>
      <c r="F10" s="12" t="s">
        <v>58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2" t="s">
        <v>130</v>
      </c>
      <c r="U10" s="5"/>
      <c r="V10" s="5"/>
      <c r="W10" s="5"/>
      <c r="X10" s="5"/>
      <c r="Y10" s="5"/>
      <c r="Z10" s="5"/>
      <c r="AA10" s="5"/>
      <c r="AB10" s="5"/>
    </row>
    <row r="11" spans="1:28" s="17" customFormat="1" ht="12" customHeight="1">
      <c r="A11" s="13" t="s">
        <v>44</v>
      </c>
      <c r="B11" s="14" t="s">
        <v>46</v>
      </c>
      <c r="C11" s="17">
        <v>2008</v>
      </c>
      <c r="D11" s="14" t="s">
        <v>128</v>
      </c>
      <c r="E11" s="14" t="s">
        <v>131</v>
      </c>
      <c r="F11" s="14" t="s">
        <v>132</v>
      </c>
      <c r="G11" s="13">
        <f>0.0325*0.0248</f>
        <v>8.0599999999999997E-4</v>
      </c>
      <c r="H11" s="13">
        <v>192</v>
      </c>
      <c r="I11" s="13">
        <f>(G11*H11)/10000</f>
        <v>1.5475200000000001E-5</v>
      </c>
      <c r="J11" s="13">
        <v>1</v>
      </c>
      <c r="K11" s="13">
        <v>324.28571428571428</v>
      </c>
      <c r="L11" s="13">
        <f>J11*H11</f>
        <v>192</v>
      </c>
      <c r="M11" s="13">
        <v>5478</v>
      </c>
      <c r="N11" s="13">
        <v>0</v>
      </c>
      <c r="O11" s="13">
        <v>0</v>
      </c>
      <c r="P11" s="13">
        <v>1</v>
      </c>
      <c r="Q11" s="13">
        <v>0</v>
      </c>
      <c r="R11" s="13"/>
      <c r="S11" s="14" t="s">
        <v>134</v>
      </c>
      <c r="T11" s="14" t="s">
        <v>250</v>
      </c>
      <c r="U11" s="15"/>
      <c r="V11" s="15"/>
      <c r="W11" s="15"/>
      <c r="X11" s="15"/>
      <c r="Y11" s="15"/>
      <c r="Z11" s="15"/>
      <c r="AA11" s="15"/>
      <c r="AB11" s="15"/>
    </row>
    <row r="12" spans="1:28" s="17" customFormat="1" ht="12" customHeight="1">
      <c r="A12" s="13" t="s">
        <v>44</v>
      </c>
      <c r="B12" s="14" t="s">
        <v>46</v>
      </c>
      <c r="C12" s="17">
        <v>2008</v>
      </c>
      <c r="D12" s="14" t="s">
        <v>128</v>
      </c>
      <c r="E12" s="14" t="s">
        <v>131</v>
      </c>
      <c r="F12" s="14" t="s">
        <v>132</v>
      </c>
      <c r="G12" s="13">
        <f>0.0325*0.0248</f>
        <v>8.0599999999999997E-4</v>
      </c>
      <c r="H12" s="13">
        <v>164</v>
      </c>
      <c r="I12" s="13">
        <f>(G12*H12)/10000</f>
        <v>1.32184E-5</v>
      </c>
      <c r="J12" s="13">
        <f>AVERAGE(25,31)</f>
        <v>28</v>
      </c>
      <c r="K12" s="13">
        <v>324.28571428571428</v>
      </c>
      <c r="L12" s="13">
        <f>H12*J12</f>
        <v>4592</v>
      </c>
      <c r="M12" s="13">
        <v>5478</v>
      </c>
      <c r="N12" s="13">
        <v>0</v>
      </c>
      <c r="O12" s="13">
        <v>0</v>
      </c>
      <c r="P12" s="13">
        <v>1</v>
      </c>
      <c r="Q12" s="13">
        <v>0</v>
      </c>
      <c r="R12" s="13"/>
      <c r="S12" s="14" t="s">
        <v>113</v>
      </c>
      <c r="T12" s="14" t="s">
        <v>133</v>
      </c>
      <c r="U12" s="15"/>
      <c r="V12" s="15"/>
      <c r="W12" s="15"/>
      <c r="X12" s="15"/>
      <c r="Y12" s="15"/>
      <c r="Z12" s="15"/>
      <c r="AA12" s="15"/>
      <c r="AB12" s="15"/>
    </row>
    <row r="13" spans="1:28" s="17" customFormat="1" ht="12" customHeight="1">
      <c r="A13" s="13" t="s">
        <v>44</v>
      </c>
      <c r="B13" s="13" t="s">
        <v>47</v>
      </c>
      <c r="C13" s="13">
        <v>2008</v>
      </c>
      <c r="D13" s="17" t="s">
        <v>128</v>
      </c>
      <c r="E13" s="14" t="s">
        <v>60</v>
      </c>
      <c r="F13" s="14" t="s">
        <v>61</v>
      </c>
      <c r="G13" s="13">
        <f>(AVERAGE(1,1)/(1))*(10000)</f>
        <v>10000</v>
      </c>
      <c r="H13" s="13">
        <v>1</v>
      </c>
      <c r="I13" s="13">
        <f>(G13*H13)/10000</f>
        <v>1</v>
      </c>
      <c r="J13" s="13">
        <f>2/24</f>
        <v>8.3333333333333329E-2</v>
      </c>
      <c r="K13" s="13">
        <f>365</f>
        <v>365</v>
      </c>
      <c r="L13" s="13">
        <v>1</v>
      </c>
      <c r="M13" s="13">
        <f>365*2</f>
        <v>730</v>
      </c>
      <c r="N13" s="13">
        <v>2</v>
      </c>
      <c r="O13" s="13">
        <v>3</v>
      </c>
      <c r="P13" s="13">
        <v>1</v>
      </c>
      <c r="Q13" s="13">
        <v>1</v>
      </c>
      <c r="R13" s="17" t="s">
        <v>178</v>
      </c>
      <c r="S13" s="14" t="s">
        <v>179</v>
      </c>
      <c r="T13" s="17" t="s">
        <v>62</v>
      </c>
      <c r="U13" s="15"/>
      <c r="V13" s="15"/>
      <c r="W13" s="15"/>
      <c r="X13" s="15"/>
      <c r="Y13" s="15"/>
      <c r="Z13" s="15"/>
      <c r="AA13" s="15"/>
    </row>
    <row r="14" spans="1:28" s="17" customFormat="1" ht="12" customHeight="1">
      <c r="A14" s="13" t="s">
        <v>44</v>
      </c>
      <c r="B14" s="13" t="s">
        <v>47</v>
      </c>
      <c r="C14" s="13">
        <v>2008</v>
      </c>
      <c r="D14" s="17" t="s">
        <v>128</v>
      </c>
      <c r="E14" s="14" t="s">
        <v>60</v>
      </c>
      <c r="F14" s="14" t="s">
        <v>61</v>
      </c>
      <c r="G14" s="13">
        <f>(AVERAGE(1,2)/6)*(10000)</f>
        <v>2500</v>
      </c>
      <c r="H14" s="13">
        <v>1.5</v>
      </c>
      <c r="I14" s="13">
        <f t="shared" ref="I14:I26" si="2">(G14*H14)/10000</f>
        <v>0.375</v>
      </c>
      <c r="J14" s="13">
        <f t="shared" ref="J14:J26" si="3">2/24</f>
        <v>8.3333333333333329E-2</v>
      </c>
      <c r="K14" s="13">
        <f>365</f>
        <v>365</v>
      </c>
      <c r="L14" s="13">
        <v>1</v>
      </c>
      <c r="M14" s="13">
        <f t="shared" ref="M14:M26" si="4">365*2</f>
        <v>730</v>
      </c>
      <c r="N14" s="13">
        <v>2</v>
      </c>
      <c r="O14" s="13">
        <v>3</v>
      </c>
      <c r="P14" s="13">
        <v>1</v>
      </c>
      <c r="Q14" s="13">
        <v>1</v>
      </c>
      <c r="R14" s="17" t="s">
        <v>178</v>
      </c>
      <c r="S14" s="14" t="s">
        <v>179</v>
      </c>
      <c r="T14" s="17" t="s">
        <v>63</v>
      </c>
      <c r="U14" s="15"/>
      <c r="V14" s="15"/>
      <c r="W14" s="15"/>
      <c r="X14" s="15"/>
      <c r="Y14" s="15"/>
      <c r="Z14" s="15"/>
      <c r="AA14" s="15"/>
    </row>
    <row r="15" spans="1:28" s="17" customFormat="1" ht="12" customHeight="1">
      <c r="A15" s="13" t="s">
        <v>44</v>
      </c>
      <c r="B15" s="13" t="s">
        <v>47</v>
      </c>
      <c r="C15" s="13">
        <v>2008</v>
      </c>
      <c r="D15" s="17" t="s">
        <v>128</v>
      </c>
      <c r="E15" s="14" t="s">
        <v>60</v>
      </c>
      <c r="F15" s="14" t="s">
        <v>61</v>
      </c>
      <c r="G15" s="13">
        <f>(AVERAGE(2,3)/6)*(10000)</f>
        <v>4166.666666666667</v>
      </c>
      <c r="H15" s="13">
        <v>2.5</v>
      </c>
      <c r="I15" s="13">
        <f t="shared" si="2"/>
        <v>1.0416666666666667</v>
      </c>
      <c r="J15" s="13">
        <f t="shared" si="3"/>
        <v>8.3333333333333329E-2</v>
      </c>
      <c r="K15" s="13">
        <f>365</f>
        <v>365</v>
      </c>
      <c r="L15" s="13">
        <v>1</v>
      </c>
      <c r="M15" s="13">
        <f t="shared" si="4"/>
        <v>730</v>
      </c>
      <c r="N15" s="13">
        <v>2</v>
      </c>
      <c r="O15" s="13">
        <v>3</v>
      </c>
      <c r="P15" s="13">
        <v>1</v>
      </c>
      <c r="Q15" s="13">
        <v>1</v>
      </c>
      <c r="R15" s="17" t="s">
        <v>178</v>
      </c>
      <c r="S15" s="14" t="s">
        <v>179</v>
      </c>
      <c r="T15" s="17" t="s">
        <v>64</v>
      </c>
      <c r="U15" s="15"/>
      <c r="V15" s="15"/>
      <c r="W15" s="15"/>
      <c r="X15" s="15"/>
      <c r="Y15" s="15"/>
      <c r="Z15" s="15"/>
      <c r="AA15" s="15"/>
    </row>
    <row r="16" spans="1:28" s="17" customFormat="1" ht="12" customHeight="1">
      <c r="A16" s="13" t="s">
        <v>44</v>
      </c>
      <c r="B16" s="13" t="s">
        <v>47</v>
      </c>
      <c r="C16" s="13">
        <v>2008</v>
      </c>
      <c r="D16" s="17" t="s">
        <v>128</v>
      </c>
      <c r="E16" s="14" t="s">
        <v>60</v>
      </c>
      <c r="F16" s="14" t="s">
        <v>61</v>
      </c>
      <c r="G16" s="13">
        <f>(AVERAGE(2,4)/2)*(10000)</f>
        <v>15000</v>
      </c>
      <c r="H16" s="13">
        <v>3</v>
      </c>
      <c r="I16" s="13">
        <f t="shared" si="2"/>
        <v>4.5</v>
      </c>
      <c r="J16" s="13">
        <f t="shared" si="3"/>
        <v>8.3333333333333329E-2</v>
      </c>
      <c r="K16" s="13">
        <f>365</f>
        <v>365</v>
      </c>
      <c r="L16" s="13">
        <v>1</v>
      </c>
      <c r="M16" s="13">
        <f t="shared" si="4"/>
        <v>730</v>
      </c>
      <c r="N16" s="13">
        <v>2</v>
      </c>
      <c r="O16" s="13">
        <v>3</v>
      </c>
      <c r="P16" s="13">
        <v>1</v>
      </c>
      <c r="Q16" s="13">
        <v>1</v>
      </c>
      <c r="R16" s="17" t="s">
        <v>178</v>
      </c>
      <c r="S16" s="14" t="s">
        <v>179</v>
      </c>
      <c r="T16" s="17" t="s">
        <v>65</v>
      </c>
      <c r="U16" s="15"/>
      <c r="V16" s="15"/>
      <c r="W16" s="15"/>
      <c r="X16" s="15"/>
      <c r="Y16" s="15"/>
      <c r="Z16" s="15"/>
      <c r="AA16" s="15"/>
    </row>
    <row r="17" spans="1:28" s="17" customFormat="1" ht="12" customHeight="1">
      <c r="A17" s="13" t="s">
        <v>44</v>
      </c>
      <c r="B17" s="13" t="s">
        <v>47</v>
      </c>
      <c r="C17" s="13">
        <v>2008</v>
      </c>
      <c r="D17" s="17" t="s">
        <v>128</v>
      </c>
      <c r="E17" s="14" t="s">
        <v>60</v>
      </c>
      <c r="F17" s="14" t="s">
        <v>61</v>
      </c>
      <c r="G17" s="13">
        <f>(AVERAGE(1,1)/1)*(10000)</f>
        <v>10000</v>
      </c>
      <c r="H17" s="13">
        <v>1</v>
      </c>
      <c r="I17" s="13">
        <f t="shared" si="2"/>
        <v>1</v>
      </c>
      <c r="J17" s="13">
        <f t="shared" si="3"/>
        <v>8.3333333333333329E-2</v>
      </c>
      <c r="K17" s="13">
        <f>365</f>
        <v>365</v>
      </c>
      <c r="L17" s="13">
        <v>1</v>
      </c>
      <c r="M17" s="13">
        <f t="shared" si="4"/>
        <v>730</v>
      </c>
      <c r="N17" s="13">
        <v>2</v>
      </c>
      <c r="O17" s="13">
        <v>3</v>
      </c>
      <c r="P17" s="13">
        <v>1</v>
      </c>
      <c r="Q17" s="13">
        <v>1</v>
      </c>
      <c r="R17" s="17" t="s">
        <v>178</v>
      </c>
      <c r="S17" s="14" t="s">
        <v>179</v>
      </c>
      <c r="T17" s="17" t="s">
        <v>66</v>
      </c>
      <c r="U17" s="15"/>
      <c r="V17" s="15"/>
      <c r="W17" s="15"/>
      <c r="X17" s="15"/>
      <c r="Y17" s="15"/>
      <c r="Z17" s="15"/>
      <c r="AA17" s="15"/>
    </row>
    <row r="18" spans="1:28" s="17" customFormat="1" ht="12" customHeight="1">
      <c r="A18" s="13" t="s">
        <v>44</v>
      </c>
      <c r="B18" s="13" t="s">
        <v>47</v>
      </c>
      <c r="C18" s="13">
        <v>2008</v>
      </c>
      <c r="D18" s="17" t="s">
        <v>128</v>
      </c>
      <c r="E18" s="14" t="s">
        <v>60</v>
      </c>
      <c r="F18" s="14" t="s">
        <v>61</v>
      </c>
      <c r="G18" s="13">
        <f>(AVERAGE(7,7)/1)*(10000)</f>
        <v>70000</v>
      </c>
      <c r="H18" s="13">
        <v>7</v>
      </c>
      <c r="I18" s="13">
        <f t="shared" si="2"/>
        <v>49</v>
      </c>
      <c r="J18" s="13">
        <f t="shared" si="3"/>
        <v>8.3333333333333329E-2</v>
      </c>
      <c r="K18" s="13">
        <f>365</f>
        <v>365</v>
      </c>
      <c r="L18" s="13">
        <v>1</v>
      </c>
      <c r="M18" s="13">
        <f t="shared" si="4"/>
        <v>730</v>
      </c>
      <c r="N18" s="13">
        <v>2</v>
      </c>
      <c r="O18" s="13">
        <v>3</v>
      </c>
      <c r="P18" s="13">
        <v>1</v>
      </c>
      <c r="Q18" s="13">
        <v>1</v>
      </c>
      <c r="R18" s="17" t="s">
        <v>178</v>
      </c>
      <c r="S18" s="14" t="s">
        <v>179</v>
      </c>
      <c r="T18" s="17" t="s">
        <v>67</v>
      </c>
      <c r="U18" s="15"/>
      <c r="V18" s="15"/>
      <c r="W18" s="15"/>
      <c r="X18" s="15"/>
      <c r="Y18" s="15"/>
      <c r="Z18" s="15"/>
      <c r="AA18" s="15"/>
    </row>
    <row r="19" spans="1:28" s="17" customFormat="1" ht="12" customHeight="1">
      <c r="A19" s="13" t="s">
        <v>44</v>
      </c>
      <c r="B19" s="13" t="s">
        <v>47</v>
      </c>
      <c r="C19" s="13">
        <v>2008</v>
      </c>
      <c r="D19" s="17" t="s">
        <v>128</v>
      </c>
      <c r="E19" s="14" t="s">
        <v>60</v>
      </c>
      <c r="F19" s="14" t="s">
        <v>61</v>
      </c>
      <c r="G19" s="13">
        <f>(AVERAGE(1,1)/17)*(10000)</f>
        <v>588.23529411764707</v>
      </c>
      <c r="H19" s="13">
        <v>1</v>
      </c>
      <c r="I19" s="13">
        <f t="shared" si="2"/>
        <v>5.8823529411764705E-2</v>
      </c>
      <c r="J19" s="13">
        <f t="shared" si="3"/>
        <v>8.3333333333333329E-2</v>
      </c>
      <c r="K19" s="13">
        <f>365</f>
        <v>365</v>
      </c>
      <c r="L19" s="13">
        <v>1</v>
      </c>
      <c r="M19" s="13">
        <f t="shared" si="4"/>
        <v>730</v>
      </c>
      <c r="N19" s="13">
        <v>2</v>
      </c>
      <c r="O19" s="13">
        <v>3</v>
      </c>
      <c r="P19" s="13">
        <v>1</v>
      </c>
      <c r="Q19" s="13">
        <v>1</v>
      </c>
      <c r="R19" s="17" t="s">
        <v>178</v>
      </c>
      <c r="S19" s="14" t="s">
        <v>179</v>
      </c>
      <c r="T19" s="17" t="s">
        <v>68</v>
      </c>
      <c r="U19" s="15"/>
      <c r="V19" s="15"/>
      <c r="W19" s="15"/>
      <c r="X19" s="15"/>
      <c r="Y19" s="15"/>
      <c r="Z19" s="15"/>
      <c r="AA19" s="15"/>
    </row>
    <row r="20" spans="1:28" s="17" customFormat="1" ht="12" customHeight="1">
      <c r="A20" s="13" t="s">
        <v>44</v>
      </c>
      <c r="B20" s="13" t="s">
        <v>47</v>
      </c>
      <c r="C20" s="13">
        <v>2008</v>
      </c>
      <c r="D20" s="17" t="s">
        <v>128</v>
      </c>
      <c r="E20" s="14" t="s">
        <v>60</v>
      </c>
      <c r="F20" s="14" t="s">
        <v>61</v>
      </c>
      <c r="G20" s="13">
        <f>(AVERAGE(10,9)/9)*(10000)</f>
        <v>10555.555555555557</v>
      </c>
      <c r="H20" s="13">
        <v>9.5</v>
      </c>
      <c r="I20" s="13">
        <f t="shared" si="2"/>
        <v>10.027777777777779</v>
      </c>
      <c r="J20" s="13">
        <f t="shared" si="3"/>
        <v>8.3333333333333329E-2</v>
      </c>
      <c r="K20" s="13">
        <f>365</f>
        <v>365</v>
      </c>
      <c r="L20" s="13">
        <v>1</v>
      </c>
      <c r="M20" s="13">
        <f t="shared" si="4"/>
        <v>730</v>
      </c>
      <c r="N20" s="13">
        <v>2</v>
      </c>
      <c r="O20" s="13">
        <v>3</v>
      </c>
      <c r="P20" s="13">
        <v>1</v>
      </c>
      <c r="Q20" s="13">
        <v>1</v>
      </c>
      <c r="R20" s="17" t="s">
        <v>178</v>
      </c>
      <c r="S20" s="14" t="s">
        <v>179</v>
      </c>
      <c r="T20" s="17" t="s">
        <v>69</v>
      </c>
      <c r="U20" s="15"/>
      <c r="V20" s="15"/>
      <c r="W20" s="15"/>
      <c r="X20" s="15"/>
      <c r="Y20" s="15"/>
      <c r="Z20" s="15"/>
      <c r="AA20" s="15"/>
    </row>
    <row r="21" spans="1:28" s="17" customFormat="1" ht="12" customHeight="1">
      <c r="A21" s="13" t="s">
        <v>44</v>
      </c>
      <c r="B21" s="13" t="s">
        <v>47</v>
      </c>
      <c r="C21" s="13">
        <v>2008</v>
      </c>
      <c r="D21" s="17" t="s">
        <v>128</v>
      </c>
      <c r="E21" s="14" t="s">
        <v>60</v>
      </c>
      <c r="F21" s="14" t="s">
        <v>61</v>
      </c>
      <c r="G21" s="13">
        <f>(AVERAGE(10,10)/8)*(10000)</f>
        <v>12500</v>
      </c>
      <c r="H21" s="13">
        <v>10</v>
      </c>
      <c r="I21" s="13">
        <f t="shared" si="2"/>
        <v>12.5</v>
      </c>
      <c r="J21" s="13">
        <f t="shared" si="3"/>
        <v>8.3333333333333329E-2</v>
      </c>
      <c r="K21" s="13">
        <f>365</f>
        <v>365</v>
      </c>
      <c r="L21" s="13">
        <v>1</v>
      </c>
      <c r="M21" s="13">
        <f t="shared" si="4"/>
        <v>730</v>
      </c>
      <c r="N21" s="13">
        <v>2</v>
      </c>
      <c r="O21" s="13">
        <v>3</v>
      </c>
      <c r="P21" s="13">
        <v>1</v>
      </c>
      <c r="Q21" s="13">
        <v>1</v>
      </c>
      <c r="R21" s="17" t="s">
        <v>178</v>
      </c>
      <c r="S21" s="14" t="s">
        <v>179</v>
      </c>
      <c r="T21" s="17" t="s">
        <v>70</v>
      </c>
      <c r="U21" s="15"/>
      <c r="V21" s="15"/>
      <c r="W21" s="15"/>
      <c r="X21" s="15"/>
      <c r="Y21" s="15"/>
      <c r="Z21" s="15"/>
      <c r="AA21" s="15"/>
    </row>
    <row r="22" spans="1:28" s="17" customFormat="1" ht="12" customHeight="1">
      <c r="A22" s="13" t="s">
        <v>44</v>
      </c>
      <c r="B22" s="13" t="s">
        <v>47</v>
      </c>
      <c r="C22" s="13">
        <v>2008</v>
      </c>
      <c r="D22" s="17" t="s">
        <v>128</v>
      </c>
      <c r="E22" s="14" t="s">
        <v>60</v>
      </c>
      <c r="F22" s="14" t="s">
        <v>61</v>
      </c>
      <c r="G22" s="13">
        <f>(AVERAGE(10,11)/1)*(10000)</f>
        <v>105000</v>
      </c>
      <c r="H22" s="13">
        <v>10.5</v>
      </c>
      <c r="I22" s="13">
        <f t="shared" si="2"/>
        <v>110.25</v>
      </c>
      <c r="J22" s="13">
        <f t="shared" si="3"/>
        <v>8.3333333333333329E-2</v>
      </c>
      <c r="K22" s="13">
        <f>365</f>
        <v>365</v>
      </c>
      <c r="L22" s="13">
        <v>1</v>
      </c>
      <c r="M22" s="13">
        <f t="shared" si="4"/>
        <v>730</v>
      </c>
      <c r="N22" s="13">
        <v>2</v>
      </c>
      <c r="O22" s="13">
        <v>3</v>
      </c>
      <c r="P22" s="13">
        <v>1</v>
      </c>
      <c r="Q22" s="13">
        <v>1</v>
      </c>
      <c r="R22" s="17" t="s">
        <v>178</v>
      </c>
      <c r="S22" s="14" t="s">
        <v>179</v>
      </c>
      <c r="T22" s="17" t="s">
        <v>71</v>
      </c>
      <c r="U22" s="15"/>
      <c r="V22" s="15"/>
      <c r="W22" s="15"/>
      <c r="X22" s="15"/>
      <c r="Y22" s="15"/>
      <c r="Z22" s="15"/>
      <c r="AA22" s="15"/>
    </row>
    <row r="23" spans="1:28" s="17" customFormat="1" ht="12" customHeight="1">
      <c r="A23" s="13" t="s">
        <v>44</v>
      </c>
      <c r="B23" s="13" t="s">
        <v>47</v>
      </c>
      <c r="C23" s="13">
        <v>2008</v>
      </c>
      <c r="D23" s="17" t="s">
        <v>128</v>
      </c>
      <c r="E23" s="14" t="s">
        <v>60</v>
      </c>
      <c r="F23" s="14" t="s">
        <v>61</v>
      </c>
      <c r="G23" s="13">
        <f>(AVERAGE(1,1)/5)*(10000)</f>
        <v>2000</v>
      </c>
      <c r="H23" s="13">
        <v>1</v>
      </c>
      <c r="I23" s="13">
        <f t="shared" si="2"/>
        <v>0.2</v>
      </c>
      <c r="J23" s="13">
        <f t="shared" si="3"/>
        <v>8.3333333333333329E-2</v>
      </c>
      <c r="K23" s="13">
        <f>365</f>
        <v>365</v>
      </c>
      <c r="L23" s="13">
        <v>1</v>
      </c>
      <c r="M23" s="13">
        <f t="shared" si="4"/>
        <v>730</v>
      </c>
      <c r="N23" s="13">
        <v>2</v>
      </c>
      <c r="O23" s="13">
        <v>3</v>
      </c>
      <c r="P23" s="13">
        <v>1</v>
      </c>
      <c r="Q23" s="13">
        <v>1</v>
      </c>
      <c r="R23" s="17" t="s">
        <v>178</v>
      </c>
      <c r="S23" s="14" t="s">
        <v>179</v>
      </c>
      <c r="T23" s="17" t="s">
        <v>72</v>
      </c>
      <c r="U23" s="15"/>
      <c r="V23" s="15"/>
      <c r="W23" s="15"/>
      <c r="X23" s="15"/>
      <c r="Y23" s="15"/>
      <c r="Z23" s="15"/>
      <c r="AA23" s="15"/>
    </row>
    <row r="24" spans="1:28" s="17" customFormat="1" ht="12" customHeight="1">
      <c r="A24" s="13" t="s">
        <v>44</v>
      </c>
      <c r="B24" s="13" t="s">
        <v>47</v>
      </c>
      <c r="C24" s="13">
        <v>2008</v>
      </c>
      <c r="D24" s="17" t="s">
        <v>128</v>
      </c>
      <c r="E24" s="14" t="s">
        <v>60</v>
      </c>
      <c r="F24" s="14" t="s">
        <v>61</v>
      </c>
      <c r="G24" s="13">
        <f>(AVERAGE(12,14)/9)*(10000)</f>
        <v>14444.444444444443</v>
      </c>
      <c r="H24" s="13">
        <v>13</v>
      </c>
      <c r="I24" s="13">
        <f t="shared" si="2"/>
        <v>18.777777777777775</v>
      </c>
      <c r="J24" s="13">
        <f t="shared" si="3"/>
        <v>8.3333333333333329E-2</v>
      </c>
      <c r="K24" s="13">
        <f>365</f>
        <v>365</v>
      </c>
      <c r="L24" s="13">
        <v>1</v>
      </c>
      <c r="M24" s="13">
        <f t="shared" si="4"/>
        <v>730</v>
      </c>
      <c r="N24" s="13">
        <v>2</v>
      </c>
      <c r="O24" s="13">
        <v>3</v>
      </c>
      <c r="P24" s="13">
        <v>1</v>
      </c>
      <c r="Q24" s="13">
        <v>1</v>
      </c>
      <c r="R24" s="17" t="s">
        <v>178</v>
      </c>
      <c r="S24" s="14" t="s">
        <v>179</v>
      </c>
      <c r="T24" s="17" t="s">
        <v>73</v>
      </c>
      <c r="U24" s="15"/>
      <c r="V24" s="15"/>
      <c r="W24" s="15"/>
      <c r="X24" s="15"/>
      <c r="Y24" s="15"/>
      <c r="Z24" s="15"/>
      <c r="AA24" s="15"/>
    </row>
    <row r="25" spans="1:28" s="17" customFormat="1" ht="12" customHeight="1">
      <c r="A25" s="13" t="s">
        <v>44</v>
      </c>
      <c r="B25" s="13" t="s">
        <v>47</v>
      </c>
      <c r="C25" s="13">
        <v>2008</v>
      </c>
      <c r="D25" s="17" t="s">
        <v>128</v>
      </c>
      <c r="E25" s="14" t="s">
        <v>60</v>
      </c>
      <c r="F25" s="14" t="s">
        <v>61</v>
      </c>
      <c r="G25" s="13">
        <f>(AVERAGE(15,14)/9)*(10000)</f>
        <v>16111.111111111111</v>
      </c>
      <c r="H25" s="13">
        <v>14.5</v>
      </c>
      <c r="I25" s="13">
        <f t="shared" si="2"/>
        <v>23.361111111111111</v>
      </c>
      <c r="J25" s="13">
        <f t="shared" si="3"/>
        <v>8.3333333333333329E-2</v>
      </c>
      <c r="K25" s="13">
        <f>365</f>
        <v>365</v>
      </c>
      <c r="L25" s="13">
        <v>1</v>
      </c>
      <c r="M25" s="13">
        <f t="shared" si="4"/>
        <v>730</v>
      </c>
      <c r="N25" s="13">
        <v>2</v>
      </c>
      <c r="O25" s="13">
        <v>3</v>
      </c>
      <c r="P25" s="13">
        <v>1</v>
      </c>
      <c r="Q25" s="13">
        <v>1</v>
      </c>
      <c r="R25" s="17" t="s">
        <v>178</v>
      </c>
      <c r="S25" s="14" t="s">
        <v>179</v>
      </c>
      <c r="T25" s="17" t="s">
        <v>74</v>
      </c>
      <c r="U25" s="15"/>
      <c r="V25" s="15"/>
      <c r="W25" s="15"/>
      <c r="X25" s="15"/>
      <c r="Y25" s="15"/>
      <c r="Z25" s="15"/>
      <c r="AA25" s="15"/>
    </row>
    <row r="26" spans="1:28" s="17" customFormat="1" ht="12" customHeight="1">
      <c r="A26" s="13" t="s">
        <v>44</v>
      </c>
      <c r="B26" s="13" t="s">
        <v>47</v>
      </c>
      <c r="C26" s="13">
        <v>2008</v>
      </c>
      <c r="D26" s="17" t="s">
        <v>128</v>
      </c>
      <c r="E26" s="14" t="s">
        <v>60</v>
      </c>
      <c r="F26" s="14" t="s">
        <v>61</v>
      </c>
      <c r="G26" s="13">
        <f>(AVERAGE(19,19)/44)*(10000)</f>
        <v>4318.181818181818</v>
      </c>
      <c r="H26" s="13">
        <v>19</v>
      </c>
      <c r="I26" s="13">
        <f t="shared" si="2"/>
        <v>8.204545454545455</v>
      </c>
      <c r="J26" s="13">
        <f t="shared" si="3"/>
        <v>8.3333333333333329E-2</v>
      </c>
      <c r="K26" s="13">
        <f>365</f>
        <v>365</v>
      </c>
      <c r="L26" s="13">
        <v>1</v>
      </c>
      <c r="M26" s="13">
        <f t="shared" si="4"/>
        <v>730</v>
      </c>
      <c r="N26" s="13">
        <v>2</v>
      </c>
      <c r="O26" s="13">
        <v>3</v>
      </c>
      <c r="P26" s="13">
        <v>1</v>
      </c>
      <c r="Q26" s="13">
        <v>1</v>
      </c>
      <c r="R26" s="17" t="s">
        <v>178</v>
      </c>
      <c r="S26" s="14" t="s">
        <v>179</v>
      </c>
      <c r="T26" s="17" t="s">
        <v>75</v>
      </c>
      <c r="U26" s="15"/>
      <c r="V26" s="15"/>
      <c r="W26" s="15"/>
      <c r="X26" s="15"/>
      <c r="Y26" s="15"/>
      <c r="Z26" s="15"/>
      <c r="AA26" s="15"/>
    </row>
    <row r="27" spans="1:28" ht="12" customHeight="1">
      <c r="A27" s="14" t="s">
        <v>49</v>
      </c>
      <c r="B27" s="14" t="s">
        <v>120</v>
      </c>
      <c r="C27" s="13">
        <v>2013</v>
      </c>
      <c r="D27" s="13" t="s">
        <v>128</v>
      </c>
      <c r="E27" s="14" t="s">
        <v>50</v>
      </c>
      <c r="F27" s="14" t="s">
        <v>54</v>
      </c>
      <c r="G27" s="13">
        <f>4*4</f>
        <v>16</v>
      </c>
      <c r="H27" s="13">
        <v>59</v>
      </c>
      <c r="I27" s="13">
        <f t="shared" ref="I27:I32" si="5">(G27*H27)/10000</f>
        <v>9.4399999999999998E-2</v>
      </c>
      <c r="J27" s="13">
        <f>30/(60*24)</f>
        <v>2.0833333333333332E-2</v>
      </c>
      <c r="K27" s="13">
        <f>12/24</f>
        <v>0.5</v>
      </c>
      <c r="L27" s="13">
        <f>J27*2</f>
        <v>4.1666666666666664E-2</v>
      </c>
      <c r="M27" s="13">
        <v>272</v>
      </c>
      <c r="N27" s="13">
        <v>3</v>
      </c>
      <c r="O27" s="13">
        <v>2</v>
      </c>
      <c r="P27" s="13">
        <v>0</v>
      </c>
      <c r="Q27" s="13">
        <v>2</v>
      </c>
      <c r="R27" s="14" t="s">
        <v>48</v>
      </c>
      <c r="S27" s="14" t="s">
        <v>52</v>
      </c>
      <c r="T27" s="14" t="s">
        <v>90</v>
      </c>
      <c r="U27" s="5"/>
      <c r="V27" s="5"/>
      <c r="W27" s="5"/>
      <c r="X27" s="5"/>
      <c r="Y27" s="5"/>
      <c r="Z27" s="5"/>
      <c r="AA27" s="5"/>
      <c r="AB27" s="5"/>
    </row>
    <row r="28" spans="1:28" ht="12" customHeight="1">
      <c r="A28" s="14" t="s">
        <v>49</v>
      </c>
      <c r="B28" s="14" t="s">
        <v>120</v>
      </c>
      <c r="C28" s="13">
        <v>2013</v>
      </c>
      <c r="D28" s="14" t="s">
        <v>128</v>
      </c>
      <c r="E28" s="14" t="s">
        <v>51</v>
      </c>
      <c r="F28" s="14" t="s">
        <v>54</v>
      </c>
      <c r="G28" s="13">
        <f>4*4</f>
        <v>16</v>
      </c>
      <c r="H28" s="13">
        <v>8</v>
      </c>
      <c r="I28" s="13">
        <f t="shared" si="5"/>
        <v>1.2800000000000001E-2</v>
      </c>
      <c r="J28" s="13">
        <f>30/(60*24)</f>
        <v>2.0833333333333332E-2</v>
      </c>
      <c r="K28" s="13">
        <f>12/24</f>
        <v>0.5</v>
      </c>
      <c r="L28" s="13">
        <f>J28*2</f>
        <v>4.1666666666666664E-2</v>
      </c>
      <c r="M28" s="13">
        <v>272</v>
      </c>
      <c r="N28" s="13">
        <v>3</v>
      </c>
      <c r="O28" s="13">
        <v>2</v>
      </c>
      <c r="P28" s="13">
        <v>0</v>
      </c>
      <c r="Q28" s="13">
        <v>2</v>
      </c>
      <c r="R28" s="14" t="s">
        <v>48</v>
      </c>
      <c r="S28" s="14" t="s">
        <v>52</v>
      </c>
      <c r="T28" s="14" t="s">
        <v>91</v>
      </c>
      <c r="U28" s="5"/>
      <c r="V28" s="5"/>
      <c r="W28" s="5"/>
      <c r="X28" s="5"/>
      <c r="Y28" s="5"/>
      <c r="Z28" s="5"/>
      <c r="AA28" s="5"/>
      <c r="AB28" s="5"/>
    </row>
    <row r="29" spans="1:28" ht="12" customHeight="1">
      <c r="A29" s="14" t="s">
        <v>49</v>
      </c>
      <c r="B29" s="14" t="s">
        <v>120</v>
      </c>
      <c r="C29" s="13">
        <v>2013</v>
      </c>
      <c r="D29" s="14" t="s">
        <v>80</v>
      </c>
      <c r="E29" s="14" t="s">
        <v>50</v>
      </c>
      <c r="F29" s="14" t="s">
        <v>54</v>
      </c>
      <c r="G29" s="13">
        <f>PI()*(0.1735/2)^2</f>
        <v>2.3642251864130836E-2</v>
      </c>
      <c r="H29" s="13">
        <f>10*6</f>
        <v>60</v>
      </c>
      <c r="I29" s="13">
        <f t="shared" si="5"/>
        <v>1.4185351118478501E-4</v>
      </c>
      <c r="J29" s="13">
        <f>0.01667/(60*24)</f>
        <v>1.1576388888888889E-5</v>
      </c>
      <c r="K29" s="13">
        <f>15/(60*24)</f>
        <v>1.0416666666666666E-2</v>
      </c>
      <c r="L29" s="13">
        <f>J29*11808</f>
        <v>0.13669400000000001</v>
      </c>
      <c r="M29" s="13">
        <v>152</v>
      </c>
      <c r="N29" s="13">
        <v>0</v>
      </c>
      <c r="O29" s="13">
        <v>2</v>
      </c>
      <c r="P29" s="13">
        <v>0</v>
      </c>
      <c r="Q29" s="13">
        <v>0</v>
      </c>
      <c r="R29" s="14" t="s">
        <v>48</v>
      </c>
      <c r="S29" s="14" t="s">
        <v>53</v>
      </c>
      <c r="T29" s="14" t="s">
        <v>89</v>
      </c>
      <c r="U29" s="5"/>
      <c r="V29" s="5"/>
      <c r="W29" s="5"/>
      <c r="X29" s="5"/>
      <c r="Y29" s="5"/>
      <c r="Z29" s="5"/>
      <c r="AA29" s="5"/>
      <c r="AB29" s="5"/>
    </row>
    <row r="30" spans="1:28" ht="12" customHeight="1">
      <c r="A30" s="14" t="s">
        <v>49</v>
      </c>
      <c r="B30" s="14" t="s">
        <v>120</v>
      </c>
      <c r="C30" s="13">
        <v>2013</v>
      </c>
      <c r="D30" s="13" t="s">
        <v>128</v>
      </c>
      <c r="E30" s="14" t="s">
        <v>50</v>
      </c>
      <c r="F30" s="14" t="s">
        <v>54</v>
      </c>
      <c r="G30" s="13">
        <f>2*20</f>
        <v>40</v>
      </c>
      <c r="H30" s="13">
        <v>59</v>
      </c>
      <c r="I30" s="13">
        <f t="shared" si="5"/>
        <v>0.23599999999999999</v>
      </c>
      <c r="J30" s="13">
        <f>1/(60*24)</f>
        <v>6.9444444444444447E-4</v>
      </c>
      <c r="K30" s="13">
        <v>1</v>
      </c>
      <c r="L30" s="13">
        <f>J30*H30</f>
        <v>4.0972222222222222E-2</v>
      </c>
      <c r="M30" s="13">
        <v>272</v>
      </c>
      <c r="N30" s="13">
        <v>1</v>
      </c>
      <c r="O30" s="13">
        <v>2</v>
      </c>
      <c r="P30" s="13">
        <v>0</v>
      </c>
      <c r="Q30" s="13">
        <v>2</v>
      </c>
      <c r="R30" s="14" t="s">
        <v>48</v>
      </c>
      <c r="S30" s="14" t="s">
        <v>55</v>
      </c>
      <c r="T30" s="14" t="s">
        <v>56</v>
      </c>
      <c r="U30" s="5"/>
      <c r="V30" s="5"/>
      <c r="W30" s="5"/>
      <c r="X30" s="5"/>
      <c r="Y30" s="5"/>
      <c r="Z30" s="5"/>
      <c r="AA30" s="5"/>
      <c r="AB30" s="5"/>
    </row>
    <row r="31" spans="1:28" ht="12" customHeight="1">
      <c r="A31" s="14" t="s">
        <v>49</v>
      </c>
      <c r="B31" s="14" t="s">
        <v>120</v>
      </c>
      <c r="C31" s="13">
        <v>2013</v>
      </c>
      <c r="D31" s="13" t="s">
        <v>128</v>
      </c>
      <c r="E31" s="13" t="s">
        <v>51</v>
      </c>
      <c r="F31" s="14" t="s">
        <v>54</v>
      </c>
      <c r="G31" s="13">
        <f>2*20</f>
        <v>40</v>
      </c>
      <c r="H31" s="13">
        <v>8</v>
      </c>
      <c r="I31" s="13">
        <f t="shared" si="5"/>
        <v>3.2000000000000001E-2</v>
      </c>
      <c r="J31" s="13">
        <f>1/(60*24)</f>
        <v>6.9444444444444447E-4</v>
      </c>
      <c r="K31" s="13">
        <v>1</v>
      </c>
      <c r="L31" s="13">
        <f>J31*H31</f>
        <v>5.5555555555555558E-3</v>
      </c>
      <c r="M31" s="13">
        <v>272</v>
      </c>
      <c r="N31" s="13">
        <v>1</v>
      </c>
      <c r="O31" s="13">
        <v>2</v>
      </c>
      <c r="P31" s="13">
        <v>0</v>
      </c>
      <c r="Q31" s="13">
        <v>2</v>
      </c>
      <c r="R31" s="14" t="s">
        <v>48</v>
      </c>
      <c r="S31" s="14" t="s">
        <v>55</v>
      </c>
      <c r="T31" s="14" t="s">
        <v>57</v>
      </c>
      <c r="U31" s="5"/>
      <c r="V31" s="5"/>
      <c r="W31" s="5"/>
      <c r="X31" s="5"/>
      <c r="Y31" s="5"/>
      <c r="Z31" s="5"/>
      <c r="AA31" s="5"/>
      <c r="AB31" s="5"/>
    </row>
    <row r="32" spans="1:28" s="17" customFormat="1" ht="12" customHeight="1">
      <c r="A32" s="14" t="s">
        <v>43</v>
      </c>
      <c r="B32" s="14" t="s">
        <v>121</v>
      </c>
      <c r="C32" s="13">
        <v>2013</v>
      </c>
      <c r="D32" s="14" t="s">
        <v>128</v>
      </c>
      <c r="E32" s="14" t="s">
        <v>182</v>
      </c>
      <c r="F32" s="14" t="s">
        <v>183</v>
      </c>
      <c r="G32" s="13">
        <f>550*30</f>
        <v>16500</v>
      </c>
      <c r="H32" s="13">
        <v>1</v>
      </c>
      <c r="I32" s="13">
        <f t="shared" si="5"/>
        <v>1.65</v>
      </c>
      <c r="J32" s="13">
        <f>3/24</f>
        <v>0.125</v>
      </c>
      <c r="K32" s="13">
        <f>AVERAGE(2,325,31,343,17,45)</f>
        <v>127.16666666666667</v>
      </c>
      <c r="L32" s="13">
        <f>J32*10</f>
        <v>1.25</v>
      </c>
      <c r="M32" s="13">
        <f>821</f>
        <v>821</v>
      </c>
      <c r="N32" s="13">
        <v>2</v>
      </c>
      <c r="O32" s="13">
        <v>1</v>
      </c>
      <c r="P32" s="13">
        <v>0</v>
      </c>
      <c r="Q32" s="13">
        <v>1</v>
      </c>
      <c r="R32" s="14"/>
      <c r="S32" s="14" t="s">
        <v>181</v>
      </c>
      <c r="T32" s="14" t="s">
        <v>180</v>
      </c>
      <c r="U32" s="15"/>
      <c r="V32" s="15"/>
      <c r="W32" s="15"/>
      <c r="X32" s="15"/>
      <c r="Y32" s="15"/>
      <c r="Z32" s="15"/>
      <c r="AA32" s="15"/>
      <c r="AB32" s="15"/>
    </row>
    <row r="33" spans="1:28" ht="12" customHeight="1">
      <c r="A33" s="9" t="s">
        <v>49</v>
      </c>
      <c r="B33" s="10" t="s">
        <v>122</v>
      </c>
      <c r="C33" s="9">
        <v>2007</v>
      </c>
      <c r="D33" s="10" t="s">
        <v>100</v>
      </c>
      <c r="E33" s="9"/>
      <c r="F33" s="9"/>
      <c r="G33" s="9"/>
      <c r="H33" s="9"/>
      <c r="I33" s="9"/>
      <c r="J33" s="9"/>
      <c r="K33" s="9"/>
      <c r="L33" s="9"/>
      <c r="M33" s="11"/>
      <c r="N33" s="9"/>
      <c r="O33" s="9"/>
      <c r="P33" s="9"/>
      <c r="Q33" s="9"/>
      <c r="R33" s="9"/>
      <c r="S33" s="9"/>
      <c r="T33" s="10" t="s">
        <v>76</v>
      </c>
      <c r="U33" s="5"/>
      <c r="V33" s="5"/>
      <c r="W33" s="5"/>
      <c r="X33" s="5"/>
      <c r="Y33" s="5"/>
      <c r="Z33" s="5"/>
      <c r="AA33" s="5"/>
      <c r="AB33" s="5"/>
    </row>
    <row r="34" spans="1:28" ht="15.75" customHeight="1">
      <c r="A34" s="9" t="s">
        <v>49</v>
      </c>
      <c r="B34" s="12" t="s">
        <v>120</v>
      </c>
      <c r="C34" s="18">
        <v>2013</v>
      </c>
      <c r="D34" s="12" t="s">
        <v>123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 t="s">
        <v>77</v>
      </c>
    </row>
    <row r="35" spans="1:28" ht="15.75" customHeight="1">
      <c r="A35" s="14" t="s">
        <v>43</v>
      </c>
      <c r="B35" s="14" t="s">
        <v>78</v>
      </c>
      <c r="C35" s="14">
        <v>2010</v>
      </c>
      <c r="D35" s="14" t="s">
        <v>80</v>
      </c>
      <c r="E35" s="14" t="s">
        <v>79</v>
      </c>
      <c r="F35" s="14" t="s">
        <v>81</v>
      </c>
      <c r="G35" s="17">
        <v>8.9490417352885163E-4</v>
      </c>
      <c r="H35" s="17">
        <v>10</v>
      </c>
      <c r="I35" s="17">
        <f>(G35*H35)/10000</f>
        <v>8.9490417352885158E-7</v>
      </c>
      <c r="J35" s="14">
        <f>(0.01667)/(60*24)</f>
        <v>1.1576388888888889E-5</v>
      </c>
      <c r="K35" s="17">
        <f>15/(60*24)</f>
        <v>1.0416666666666666E-2</v>
      </c>
      <c r="L35" s="17">
        <f>J35*61</f>
        <v>7.0615972222222228E-4</v>
      </c>
      <c r="M35" s="16">
        <v>61</v>
      </c>
      <c r="N35" s="14">
        <v>0</v>
      </c>
      <c r="O35" s="14">
        <v>0</v>
      </c>
      <c r="P35" s="14">
        <v>0</v>
      </c>
      <c r="Q35" s="14">
        <v>0</v>
      </c>
      <c r="R35" s="17"/>
      <c r="S35" s="14" t="s">
        <v>82</v>
      </c>
      <c r="T35" s="14" t="s">
        <v>83</v>
      </c>
    </row>
    <row r="36" spans="1:28" ht="15.75" customHeight="1">
      <c r="A36" s="14" t="s">
        <v>43</v>
      </c>
      <c r="B36" s="14" t="s">
        <v>78</v>
      </c>
      <c r="C36" s="14">
        <v>2010</v>
      </c>
      <c r="D36" s="14" t="s">
        <v>80</v>
      </c>
      <c r="E36" s="14" t="s">
        <v>79</v>
      </c>
      <c r="F36" s="14" t="s">
        <v>81</v>
      </c>
      <c r="G36" s="17">
        <v>1.1092388980384689E-3</v>
      </c>
      <c r="H36" s="17">
        <v>5</v>
      </c>
      <c r="I36" s="17">
        <f>(G36*H36)/10000</f>
        <v>5.5461944901923441E-7</v>
      </c>
      <c r="J36" s="14">
        <f>(0.01667)/(60*24)</f>
        <v>1.1576388888888889E-5</v>
      </c>
      <c r="K36" s="17">
        <f>15/(60*24)</f>
        <v>1.0416666666666666E-2</v>
      </c>
      <c r="L36" s="17">
        <f>J36*366</f>
        <v>4.2369583333333339E-3</v>
      </c>
      <c r="M36" s="16">
        <v>366</v>
      </c>
      <c r="N36" s="14">
        <v>0</v>
      </c>
      <c r="O36" s="14">
        <v>0</v>
      </c>
      <c r="P36" s="14">
        <v>0</v>
      </c>
      <c r="Q36" s="14">
        <v>0</v>
      </c>
      <c r="R36" s="17"/>
      <c r="S36" s="14" t="s">
        <v>82</v>
      </c>
      <c r="T36" s="14" t="s">
        <v>84</v>
      </c>
    </row>
    <row r="37" spans="1:28" ht="15.75" customHeight="1">
      <c r="A37" s="14" t="s">
        <v>43</v>
      </c>
      <c r="B37" s="14" t="s">
        <v>78</v>
      </c>
      <c r="C37" s="14">
        <v>2010</v>
      </c>
      <c r="D37" s="17" t="s">
        <v>128</v>
      </c>
      <c r="E37" s="14" t="s">
        <v>79</v>
      </c>
      <c r="F37" s="14" t="s">
        <v>81</v>
      </c>
      <c r="G37" s="17">
        <f>0.3048*0.3048</f>
        <v>9.2903040000000006E-2</v>
      </c>
      <c r="H37" s="17">
        <v>1063</v>
      </c>
      <c r="I37" s="17">
        <f>(G37*H37)/10000</f>
        <v>9.8755931519999996E-3</v>
      </c>
      <c r="J37" s="17">
        <f>30/(60*24)</f>
        <v>2.0833333333333332E-2</v>
      </c>
      <c r="K37" s="17">
        <v>11.3</v>
      </c>
      <c r="L37" s="17">
        <f>J37*H37</f>
        <v>22.145833333333332</v>
      </c>
      <c r="M37" s="16">
        <v>1217</v>
      </c>
      <c r="N37" s="14">
        <v>1</v>
      </c>
      <c r="O37" s="14">
        <v>0</v>
      </c>
      <c r="P37" s="14">
        <v>0</v>
      </c>
      <c r="Q37" s="14">
        <v>2</v>
      </c>
      <c r="R37" s="17"/>
      <c r="S37" s="14" t="s">
        <v>86</v>
      </c>
      <c r="T37" s="14" t="s">
        <v>85</v>
      </c>
    </row>
    <row r="38" spans="1:28" ht="15.75" customHeight="1">
      <c r="A38" s="14" t="s">
        <v>43</v>
      </c>
      <c r="B38" s="14" t="s">
        <v>78</v>
      </c>
      <c r="C38" s="14">
        <v>2010</v>
      </c>
      <c r="D38" s="17" t="s">
        <v>128</v>
      </c>
      <c r="E38" s="14" t="s">
        <v>79</v>
      </c>
      <c r="F38" s="14" t="s">
        <v>81</v>
      </c>
      <c r="G38" s="17">
        <v>3.4500000000000003E-2</v>
      </c>
      <c r="H38" s="17">
        <v>2</v>
      </c>
      <c r="I38" s="17">
        <f>(G38*H38)/10000</f>
        <v>6.9000000000000009E-6</v>
      </c>
      <c r="J38" s="17">
        <f>1/24</f>
        <v>4.1666666666666664E-2</v>
      </c>
      <c r="K38" s="17">
        <v>2</v>
      </c>
      <c r="L38" s="17">
        <f>(J38*2)*(78/2)</f>
        <v>3.25</v>
      </c>
      <c r="M38" s="16">
        <v>78</v>
      </c>
      <c r="N38" s="14">
        <v>1</v>
      </c>
      <c r="O38" s="14">
        <v>0</v>
      </c>
      <c r="P38" s="14">
        <v>0</v>
      </c>
      <c r="Q38" s="14">
        <v>2</v>
      </c>
      <c r="R38" s="17"/>
      <c r="S38" s="14" t="s">
        <v>87</v>
      </c>
      <c r="T38" s="14" t="s">
        <v>88</v>
      </c>
    </row>
    <row r="39" spans="1:28" ht="15.75" customHeight="1">
      <c r="A39" s="12" t="s">
        <v>43</v>
      </c>
      <c r="B39" s="12" t="s">
        <v>92</v>
      </c>
      <c r="C39" s="12">
        <v>2011</v>
      </c>
      <c r="D39" s="18" t="s">
        <v>136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2" t="s">
        <v>135</v>
      </c>
    </row>
    <row r="40" spans="1:28" ht="15.75" customHeight="1">
      <c r="A40" s="12" t="s">
        <v>43</v>
      </c>
      <c r="B40" s="12" t="s">
        <v>93</v>
      </c>
      <c r="C40" s="12">
        <v>2012</v>
      </c>
      <c r="D40" s="22" t="s">
        <v>94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2" t="s">
        <v>95</v>
      </c>
    </row>
    <row r="41" spans="1:28" s="17" customFormat="1" ht="15.75" customHeight="1">
      <c r="A41" s="14" t="s">
        <v>44</v>
      </c>
      <c r="B41" s="14" t="s">
        <v>110</v>
      </c>
      <c r="C41" s="14">
        <v>2014</v>
      </c>
      <c r="D41" s="14" t="s">
        <v>128</v>
      </c>
      <c r="E41" s="14" t="s">
        <v>112</v>
      </c>
      <c r="F41" s="14" t="s">
        <v>111</v>
      </c>
      <c r="G41" s="17">
        <f>AVERAGE((1500*300),(PI()*(300^2)))</f>
        <v>366371.66941154073</v>
      </c>
      <c r="H41" s="17">
        <v>76</v>
      </c>
      <c r="I41" s="17">
        <f>(G41*H41)/10000</f>
        <v>2784.4246875277095</v>
      </c>
      <c r="J41" s="17">
        <f>5/(60*24)</f>
        <v>3.472222222222222E-3</v>
      </c>
      <c r="K41" s="17">
        <v>1</v>
      </c>
      <c r="L41" s="17">
        <f>J41*H41</f>
        <v>0.2638888888888889</v>
      </c>
      <c r="M41" s="17">
        <v>1340</v>
      </c>
      <c r="N41" s="17">
        <v>2</v>
      </c>
      <c r="O41" s="17">
        <v>0</v>
      </c>
      <c r="P41" s="17">
        <v>0</v>
      </c>
      <c r="Q41" s="17">
        <v>2</v>
      </c>
      <c r="S41" s="14" t="s">
        <v>113</v>
      </c>
      <c r="T41" s="14" t="s">
        <v>114</v>
      </c>
    </row>
    <row r="42" spans="1:28" ht="15.75" customHeight="1">
      <c r="A42" s="12" t="s">
        <v>96</v>
      </c>
      <c r="B42" s="12" t="s">
        <v>97</v>
      </c>
      <c r="C42" s="12">
        <v>2009</v>
      </c>
      <c r="D42" s="22" t="s">
        <v>94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2" t="s">
        <v>95</v>
      </c>
    </row>
    <row r="43" spans="1:28" ht="15.75" customHeight="1">
      <c r="A43" s="12" t="s">
        <v>99</v>
      </c>
      <c r="B43" s="12" t="s">
        <v>98</v>
      </c>
      <c r="C43" s="18">
        <v>2009</v>
      </c>
      <c r="D43" s="12" t="s">
        <v>100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2" t="s">
        <v>101</v>
      </c>
    </row>
    <row r="44" spans="1:28" s="17" customFormat="1" ht="15.75" customHeight="1">
      <c r="A44" s="17" t="s">
        <v>43</v>
      </c>
      <c r="B44" s="14" t="s">
        <v>115</v>
      </c>
      <c r="C44" s="17">
        <v>2008</v>
      </c>
      <c r="D44" s="14" t="s">
        <v>128</v>
      </c>
      <c r="E44" s="14" t="s">
        <v>116</v>
      </c>
      <c r="F44" s="14" t="s">
        <v>117</v>
      </c>
      <c r="G44" s="14">
        <f>(0.25*1.5)</f>
        <v>0.375</v>
      </c>
      <c r="H44" s="17">
        <v>664</v>
      </c>
      <c r="I44" s="17">
        <f>(G44*H44)/10000</f>
        <v>2.4899999999999999E-2</v>
      </c>
      <c r="J44" s="17">
        <f>15/(60*24)</f>
        <v>1.0416666666666666E-2</v>
      </c>
      <c r="K44" s="17">
        <f>AVERAGE(120,60,91,89)</f>
        <v>90</v>
      </c>
      <c r="L44" s="17">
        <f>J44*H44</f>
        <v>6.9166666666666661</v>
      </c>
      <c r="M44" s="17">
        <f>515</f>
        <v>515</v>
      </c>
      <c r="N44" s="17">
        <v>2</v>
      </c>
      <c r="O44" s="17">
        <v>1</v>
      </c>
      <c r="P44" s="17">
        <v>0</v>
      </c>
      <c r="Q44" s="17">
        <v>0</v>
      </c>
      <c r="S44" s="14" t="s">
        <v>118</v>
      </c>
      <c r="T44" s="14" t="s">
        <v>119</v>
      </c>
    </row>
    <row r="45" spans="1:28" s="17" customFormat="1" ht="15.75" customHeight="1">
      <c r="A45" s="18" t="s">
        <v>99</v>
      </c>
      <c r="B45" s="12" t="s">
        <v>124</v>
      </c>
      <c r="C45" s="18">
        <v>2005</v>
      </c>
      <c r="D45" s="12" t="s">
        <v>251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2" t="s">
        <v>252</v>
      </c>
    </row>
    <row r="46" spans="1:28" s="17" customFormat="1" ht="15.75" customHeight="1">
      <c r="A46" s="18" t="s">
        <v>32</v>
      </c>
      <c r="B46" s="12" t="s">
        <v>125</v>
      </c>
      <c r="C46" s="18">
        <v>2013</v>
      </c>
      <c r="D46" s="18" t="s">
        <v>185</v>
      </c>
      <c r="E46" s="12"/>
      <c r="F46" s="18"/>
      <c r="G46" s="18"/>
      <c r="H46" s="12"/>
      <c r="I46" s="18"/>
      <c r="J46" s="18"/>
      <c r="K46" s="18"/>
      <c r="L46" s="18"/>
      <c r="M46" s="18"/>
      <c r="N46" s="18"/>
      <c r="O46" s="18"/>
      <c r="P46" s="18"/>
      <c r="Q46" s="18"/>
      <c r="R46" s="12"/>
      <c r="S46" s="18"/>
      <c r="T46" s="12" t="s">
        <v>184</v>
      </c>
    </row>
    <row r="47" spans="1:28" s="17" customFormat="1" ht="15.75" customHeight="1">
      <c r="A47" s="18" t="s">
        <v>43</v>
      </c>
      <c r="B47" s="18" t="s">
        <v>126</v>
      </c>
      <c r="C47" s="18">
        <v>2012</v>
      </c>
      <c r="D47" s="12" t="s">
        <v>94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2" t="s">
        <v>95</v>
      </c>
    </row>
    <row r="48" spans="1:28" s="17" customFormat="1" ht="15.75" customHeight="1">
      <c r="A48" s="18" t="s">
        <v>49</v>
      </c>
      <c r="B48" s="18" t="s">
        <v>127</v>
      </c>
      <c r="C48" s="18">
        <v>2005</v>
      </c>
      <c r="D48" s="12" t="s">
        <v>100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2" t="s">
        <v>103</v>
      </c>
    </row>
    <row r="49" spans="1:20" ht="15.75" customHeight="1">
      <c r="A49" s="17" t="s">
        <v>104</v>
      </c>
      <c r="B49" s="17" t="s">
        <v>106</v>
      </c>
      <c r="C49" s="17">
        <v>2003</v>
      </c>
      <c r="D49" s="14" t="s">
        <v>128</v>
      </c>
      <c r="E49" s="17" t="s">
        <v>137</v>
      </c>
      <c r="F49" s="17"/>
      <c r="G49" s="17">
        <v>5.0000000000000001E-4</v>
      </c>
      <c r="H49" s="17">
        <f>24+(16*16)+40</f>
        <v>320</v>
      </c>
      <c r="I49" s="17">
        <f>(G49*H49)/10000</f>
        <v>1.5999999999999999E-5</v>
      </c>
      <c r="J49" s="17">
        <f>5/(60*24)</f>
        <v>3.472222222222222E-3</v>
      </c>
      <c r="K49" s="17">
        <f>AVERAGE(180,272)</f>
        <v>226</v>
      </c>
      <c r="L49" s="23">
        <f>(24+((16*15*2)+16)+40)*J49</f>
        <v>1.9444444444444444</v>
      </c>
      <c r="M49" s="17">
        <v>821</v>
      </c>
      <c r="N49" s="17">
        <v>3</v>
      </c>
      <c r="O49" s="17">
        <v>0</v>
      </c>
      <c r="P49" s="17">
        <v>0</v>
      </c>
      <c r="Q49" s="17">
        <v>3</v>
      </c>
      <c r="R49" s="19" t="s">
        <v>139</v>
      </c>
      <c r="S49" s="17" t="s">
        <v>138</v>
      </c>
      <c r="T49" s="14" t="s">
        <v>140</v>
      </c>
    </row>
    <row r="50" spans="1:20" ht="15.75" customHeight="1">
      <c r="A50" s="18" t="s">
        <v>99</v>
      </c>
      <c r="B50" s="18" t="s">
        <v>161</v>
      </c>
      <c r="C50" s="18">
        <v>2013</v>
      </c>
      <c r="D50" s="12" t="s">
        <v>162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2" t="s">
        <v>95</v>
      </c>
    </row>
    <row r="51" spans="1:20" s="17" customFormat="1" ht="15.75" customHeight="1">
      <c r="A51" s="19" t="s">
        <v>105</v>
      </c>
      <c r="B51" s="19" t="s">
        <v>141</v>
      </c>
      <c r="C51" s="19">
        <v>2013</v>
      </c>
      <c r="D51" s="19" t="s">
        <v>128</v>
      </c>
      <c r="E51" s="23" t="s">
        <v>253</v>
      </c>
      <c r="F51" s="23" t="s">
        <v>254</v>
      </c>
      <c r="G51" s="19">
        <f>50*2</f>
        <v>100</v>
      </c>
      <c r="H51" s="19">
        <v>812</v>
      </c>
      <c r="I51" s="17">
        <f>(G51*H51)/10000</f>
        <v>8.1199999999999992</v>
      </c>
      <c r="J51" s="17">
        <f>30/(60*24)</f>
        <v>2.0833333333333332E-2</v>
      </c>
      <c r="K51" s="19">
        <f>AVERAGE(74,250,74,267,71)</f>
        <v>147.19999999999999</v>
      </c>
      <c r="L51" s="19">
        <f>J51*H51</f>
        <v>16.916666666666664</v>
      </c>
      <c r="M51" s="19">
        <v>844</v>
      </c>
      <c r="N51" s="19">
        <v>2</v>
      </c>
      <c r="O51" s="19">
        <v>1</v>
      </c>
      <c r="P51" s="19">
        <v>1</v>
      </c>
      <c r="Q51" s="19">
        <v>1</v>
      </c>
      <c r="R51" s="19"/>
      <c r="S51" s="23" t="s">
        <v>86</v>
      </c>
      <c r="T51" s="19" t="s">
        <v>255</v>
      </c>
    </row>
    <row r="52" spans="1:20" s="17" customFormat="1" ht="15.75" customHeight="1">
      <c r="A52" s="18" t="s">
        <v>49</v>
      </c>
      <c r="B52" s="18" t="s">
        <v>163</v>
      </c>
      <c r="C52" s="18">
        <v>2012</v>
      </c>
      <c r="D52" s="12" t="s">
        <v>164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2" t="s">
        <v>109</v>
      </c>
    </row>
    <row r="53" spans="1:20" ht="15.75" customHeight="1">
      <c r="A53" s="18" t="s">
        <v>107</v>
      </c>
      <c r="B53" s="18" t="s">
        <v>165</v>
      </c>
      <c r="C53" s="18">
        <v>2010</v>
      </c>
      <c r="D53" s="12" t="s">
        <v>136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2" t="s">
        <v>102</v>
      </c>
    </row>
    <row r="54" spans="1:20" s="17" customFormat="1" ht="15.75" customHeight="1">
      <c r="A54" s="18" t="s">
        <v>108</v>
      </c>
      <c r="B54" s="18" t="s">
        <v>166</v>
      </c>
      <c r="C54" s="18">
        <v>2012</v>
      </c>
      <c r="D54" s="12" t="s">
        <v>167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2" t="s">
        <v>168</v>
      </c>
    </row>
    <row r="55" spans="1:20" ht="15.75" customHeight="1">
      <c r="A55" s="19" t="s">
        <v>142</v>
      </c>
      <c r="B55" s="19" t="s">
        <v>144</v>
      </c>
      <c r="C55" s="19">
        <v>2011</v>
      </c>
      <c r="D55" s="23" t="s">
        <v>128</v>
      </c>
      <c r="E55" s="23" t="s">
        <v>145</v>
      </c>
      <c r="G55" s="19">
        <v>215.6</v>
      </c>
      <c r="H55" s="19">
        <v>90</v>
      </c>
      <c r="I55" s="17">
        <f>(G55*H55)/10000</f>
        <v>1.9403999999999999</v>
      </c>
      <c r="J55" s="14">
        <f>15/(60*24)</f>
        <v>1.0416666666666666E-2</v>
      </c>
      <c r="K55" s="19">
        <f>18/(60*24)</f>
        <v>1.2500000000000001E-2</v>
      </c>
      <c r="L55" s="19">
        <f>J55*(H55*3)</f>
        <v>2.8125</v>
      </c>
      <c r="M55" s="19">
        <v>10</v>
      </c>
      <c r="N55" s="19">
        <v>3</v>
      </c>
      <c r="O55" s="19">
        <v>3</v>
      </c>
      <c r="P55" s="19">
        <v>0</v>
      </c>
      <c r="Q55" s="17">
        <v>2</v>
      </c>
      <c r="S55" s="19" t="s">
        <v>149</v>
      </c>
      <c r="T55" s="23" t="s">
        <v>146</v>
      </c>
    </row>
    <row r="56" spans="1:20" s="17" customFormat="1" ht="15.75" customHeight="1">
      <c r="A56" s="17" t="s">
        <v>142</v>
      </c>
      <c r="B56" s="17" t="s">
        <v>144</v>
      </c>
      <c r="C56" s="17">
        <v>2011</v>
      </c>
      <c r="D56" s="14" t="s">
        <v>128</v>
      </c>
      <c r="E56" s="14" t="s">
        <v>145</v>
      </c>
      <c r="G56" s="17">
        <v>207.6</v>
      </c>
      <c r="H56" s="17">
        <v>60</v>
      </c>
      <c r="I56" s="17">
        <f>(G56*H56)/10000</f>
        <v>1.2456</v>
      </c>
      <c r="J56" s="14">
        <f>15/(60*24)</f>
        <v>1.0416666666666666E-2</v>
      </c>
      <c r="K56" s="17">
        <f>18/(60*24)</f>
        <v>1.2500000000000001E-2</v>
      </c>
      <c r="L56" s="17">
        <f>J56*(H56*3)</f>
        <v>1.875</v>
      </c>
      <c r="M56" s="17">
        <v>10</v>
      </c>
      <c r="N56" s="17">
        <v>3</v>
      </c>
      <c r="O56" s="17">
        <v>2</v>
      </c>
      <c r="P56" s="17">
        <v>0</v>
      </c>
      <c r="Q56" s="17">
        <v>2</v>
      </c>
      <c r="S56" s="17" t="s">
        <v>149</v>
      </c>
      <c r="T56" s="24" t="s">
        <v>147</v>
      </c>
    </row>
    <row r="57" spans="1:20" ht="15.75" customHeight="1">
      <c r="A57" s="19" t="s">
        <v>142</v>
      </c>
      <c r="B57" s="19" t="s">
        <v>144</v>
      </c>
      <c r="C57" s="19">
        <v>2011</v>
      </c>
      <c r="D57" s="23" t="s">
        <v>128</v>
      </c>
      <c r="E57" s="23" t="s">
        <v>145</v>
      </c>
      <c r="G57" s="19">
        <v>1</v>
      </c>
      <c r="H57" s="19">
        <f>(90+60)*(4)</f>
        <v>600</v>
      </c>
      <c r="I57" s="17">
        <f>(G57*H57)/10000</f>
        <v>0.06</v>
      </c>
      <c r="J57" s="14">
        <f>15/(60*24)</f>
        <v>1.0416666666666666E-2</v>
      </c>
      <c r="K57" s="19">
        <f>18/(60*24)</f>
        <v>1.2500000000000001E-2</v>
      </c>
      <c r="L57" s="19">
        <f>J57*(90+60)</f>
        <v>1.5625</v>
      </c>
      <c r="M57" s="19">
        <v>10</v>
      </c>
      <c r="N57" s="19">
        <v>2</v>
      </c>
      <c r="O57" s="19">
        <v>1</v>
      </c>
      <c r="P57" s="19">
        <v>0</v>
      </c>
      <c r="Q57" s="17">
        <v>0</v>
      </c>
      <c r="S57" s="19" t="s">
        <v>149</v>
      </c>
      <c r="T57" s="19" t="s">
        <v>148</v>
      </c>
    </row>
    <row r="58" spans="1:20" ht="15.75" customHeight="1">
      <c r="A58" s="17" t="s">
        <v>32</v>
      </c>
      <c r="B58" s="17" t="s">
        <v>150</v>
      </c>
      <c r="C58" s="17">
        <v>2013</v>
      </c>
      <c r="D58" s="14" t="s">
        <v>80</v>
      </c>
      <c r="E58" s="14" t="s">
        <v>151</v>
      </c>
      <c r="F58" s="17" t="s">
        <v>256</v>
      </c>
      <c r="G58" s="17">
        <f>PI()*(0.039)^2</f>
        <v>4.7783624261100756E-3</v>
      </c>
      <c r="H58" s="17">
        <v>2</v>
      </c>
      <c r="I58" s="17">
        <f>(G58*H58)/10000</f>
        <v>9.5567248522201522E-7</v>
      </c>
      <c r="J58" s="14">
        <f>1/(60*24)</f>
        <v>6.9444444444444447E-4</v>
      </c>
      <c r="K58" s="14">
        <v>1</v>
      </c>
      <c r="L58" s="17">
        <v>1</v>
      </c>
      <c r="M58" s="17">
        <v>31</v>
      </c>
      <c r="N58" s="17">
        <v>0</v>
      </c>
      <c r="O58" s="17">
        <v>0</v>
      </c>
      <c r="P58" s="17">
        <v>1</v>
      </c>
      <c r="Q58" s="17">
        <v>0</v>
      </c>
      <c r="R58" s="17"/>
      <c r="S58" s="17" t="s">
        <v>154</v>
      </c>
      <c r="T58" s="17" t="s">
        <v>152</v>
      </c>
    </row>
    <row r="59" spans="1:20" ht="15.75" customHeight="1">
      <c r="A59" s="17" t="s">
        <v>32</v>
      </c>
      <c r="B59" s="17" t="s">
        <v>150</v>
      </c>
      <c r="C59" s="17">
        <v>2013</v>
      </c>
      <c r="D59" s="14" t="s">
        <v>80</v>
      </c>
      <c r="E59" s="14" t="s">
        <v>151</v>
      </c>
      <c r="F59" s="17" t="s">
        <v>256</v>
      </c>
      <c r="G59" s="17">
        <f>PI()*(0.1)^2</f>
        <v>3.1415926535897934E-2</v>
      </c>
      <c r="H59" s="17">
        <f>(2*10)</f>
        <v>20</v>
      </c>
      <c r="I59" s="17">
        <f>(G59*H59)/10000</f>
        <v>6.2831853071795856E-5</v>
      </c>
      <c r="J59" s="14">
        <f>5/(60*24)</f>
        <v>3.472222222222222E-3</v>
      </c>
      <c r="K59" s="17">
        <f>30/(60*24)</f>
        <v>2.0833333333333332E-2</v>
      </c>
      <c r="L59" s="17">
        <v>1</v>
      </c>
      <c r="M59" s="17">
        <v>31</v>
      </c>
      <c r="N59" s="17">
        <v>2</v>
      </c>
      <c r="O59" s="17">
        <v>1</v>
      </c>
      <c r="P59" s="17">
        <v>2</v>
      </c>
      <c r="Q59" s="17">
        <v>3</v>
      </c>
      <c r="R59" s="17"/>
      <c r="S59" s="17" t="s">
        <v>154</v>
      </c>
      <c r="T59" s="17" t="s">
        <v>153</v>
      </c>
    </row>
    <row r="60" spans="1:20" s="17" customFormat="1" ht="15.75" customHeight="1">
      <c r="A60" s="18" t="s">
        <v>142</v>
      </c>
      <c r="B60" s="18" t="s">
        <v>169</v>
      </c>
      <c r="C60" s="18">
        <v>2013</v>
      </c>
      <c r="D60" s="12" t="s">
        <v>162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2" t="s">
        <v>172</v>
      </c>
    </row>
    <row r="61" spans="1:20" s="17" customFormat="1" ht="15.75" customHeight="1">
      <c r="A61" s="18" t="s">
        <v>143</v>
      </c>
      <c r="B61" s="18" t="s">
        <v>171</v>
      </c>
      <c r="C61" s="18">
        <v>2010</v>
      </c>
      <c r="D61" s="12" t="s">
        <v>100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22" t="s">
        <v>170</v>
      </c>
    </row>
    <row r="62" spans="1:20" s="17" customFormat="1" ht="15.75" customHeight="1">
      <c r="A62" s="18" t="s">
        <v>32</v>
      </c>
      <c r="B62" s="12" t="s">
        <v>173</v>
      </c>
      <c r="C62" s="18">
        <v>2014</v>
      </c>
      <c r="D62" s="12" t="s">
        <v>162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2" t="s">
        <v>186</v>
      </c>
    </row>
    <row r="63" spans="1:20" s="17" customFormat="1" ht="15.75" customHeight="1">
      <c r="A63" s="18" t="s">
        <v>105</v>
      </c>
      <c r="B63" s="18" t="s">
        <v>174</v>
      </c>
      <c r="C63" s="18">
        <v>2006</v>
      </c>
      <c r="D63" s="12" t="s">
        <v>162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2" t="s">
        <v>187</v>
      </c>
    </row>
    <row r="64" spans="1:20" ht="15.75" customHeight="1">
      <c r="A64" s="17" t="s">
        <v>99</v>
      </c>
      <c r="B64" s="17" t="s">
        <v>155</v>
      </c>
      <c r="C64" s="17">
        <v>2012</v>
      </c>
      <c r="D64" s="14" t="s">
        <v>128</v>
      </c>
      <c r="E64" s="14" t="s">
        <v>211</v>
      </c>
      <c r="F64" s="14" t="s">
        <v>212</v>
      </c>
      <c r="G64" s="17">
        <f>10*10</f>
        <v>100</v>
      </c>
      <c r="H64" s="17">
        <f>4*3</f>
        <v>12</v>
      </c>
      <c r="I64" s="17">
        <f t="shared" ref="I64:I76" si="6">(G64*H64)/10000</f>
        <v>0.12</v>
      </c>
      <c r="J64" s="17">
        <f>1/24</f>
        <v>4.1666666666666664E-2</v>
      </c>
      <c r="K64" s="17">
        <f>30*11</f>
        <v>330</v>
      </c>
      <c r="L64" s="17">
        <f>J64*(12*3*3)</f>
        <v>4.5</v>
      </c>
      <c r="M64" s="17">
        <f>365*3</f>
        <v>1095</v>
      </c>
      <c r="N64" s="17">
        <v>2</v>
      </c>
      <c r="O64" s="17">
        <v>2</v>
      </c>
      <c r="P64" s="17">
        <v>1</v>
      </c>
      <c r="Q64" s="17">
        <v>1</v>
      </c>
      <c r="R64" s="17"/>
      <c r="S64" s="14" t="s">
        <v>200</v>
      </c>
      <c r="T64" s="14" t="s">
        <v>188</v>
      </c>
    </row>
    <row r="65" spans="1:20" ht="15.75" customHeight="1">
      <c r="A65" s="17" t="s">
        <v>99</v>
      </c>
      <c r="B65" s="17" t="s">
        <v>155</v>
      </c>
      <c r="C65" s="17">
        <v>2012</v>
      </c>
      <c r="D65" s="14" t="s">
        <v>80</v>
      </c>
      <c r="E65" s="14" t="s">
        <v>211</v>
      </c>
      <c r="F65" s="14" t="s">
        <v>212</v>
      </c>
      <c r="G65" s="17">
        <f>PI()*(0.03/2)^2</f>
        <v>7.0685834705770342E-4</v>
      </c>
      <c r="H65" s="17">
        <f>4*2</f>
        <v>8</v>
      </c>
      <c r="I65" s="17">
        <f t="shared" si="6"/>
        <v>5.6548667764616277E-7</v>
      </c>
      <c r="J65" s="17">
        <f>1/(60*24)</f>
        <v>6.9444444444444447E-4</v>
      </c>
      <c r="K65" s="17">
        <f>1/24</f>
        <v>4.1666666666666664E-2</v>
      </c>
      <c r="L65" s="17">
        <f>J65*1577000</f>
        <v>1095.1388888888889</v>
      </c>
      <c r="M65" s="17">
        <v>30</v>
      </c>
      <c r="N65" s="17">
        <v>0</v>
      </c>
      <c r="O65" s="17">
        <v>0</v>
      </c>
      <c r="P65" s="17">
        <v>0</v>
      </c>
      <c r="Q65" s="17">
        <v>0</v>
      </c>
      <c r="R65" s="17"/>
      <c r="S65" s="14" t="s">
        <v>198</v>
      </c>
      <c r="T65" s="14" t="s">
        <v>197</v>
      </c>
    </row>
    <row r="66" spans="1:20" ht="15.75" customHeight="1">
      <c r="A66" s="17" t="s">
        <v>99</v>
      </c>
      <c r="B66" s="17" t="s">
        <v>155</v>
      </c>
      <c r="C66" s="17">
        <v>2012</v>
      </c>
      <c r="D66" s="14" t="s">
        <v>80</v>
      </c>
      <c r="E66" s="14" t="s">
        <v>211</v>
      </c>
      <c r="F66" s="14" t="s">
        <v>212</v>
      </c>
      <c r="G66" s="17">
        <f>PI()*(0.142/2)^2</f>
        <v>1.5836768566746144E-2</v>
      </c>
      <c r="H66" s="17">
        <f>2*2</f>
        <v>4</v>
      </c>
      <c r="I66" s="17">
        <f t="shared" si="6"/>
        <v>6.3347074266984576E-6</v>
      </c>
      <c r="J66" s="17">
        <f>(1/60)/(60*24)</f>
        <v>1.1574074074074073E-5</v>
      </c>
      <c r="K66" s="17">
        <f>1/24</f>
        <v>4.1666666666666664E-2</v>
      </c>
      <c r="L66" s="17">
        <v>1</v>
      </c>
      <c r="M66" s="17">
        <f>365*3</f>
        <v>1095</v>
      </c>
      <c r="N66" s="17">
        <v>0</v>
      </c>
      <c r="O66" s="17">
        <v>0</v>
      </c>
      <c r="P66" s="17">
        <v>1</v>
      </c>
      <c r="Q66" s="17">
        <v>0</v>
      </c>
      <c r="R66" s="17"/>
      <c r="S66" s="14" t="s">
        <v>201</v>
      </c>
      <c r="T66" s="14" t="s">
        <v>199</v>
      </c>
    </row>
    <row r="67" spans="1:20" ht="15.75" customHeight="1">
      <c r="A67" s="17" t="s">
        <v>99</v>
      </c>
      <c r="B67" s="17" t="s">
        <v>155</v>
      </c>
      <c r="C67" s="17">
        <v>2012</v>
      </c>
      <c r="D67" s="14" t="s">
        <v>80</v>
      </c>
      <c r="E67" s="14" t="s">
        <v>211</v>
      </c>
      <c r="F67" s="14" t="s">
        <v>212</v>
      </c>
      <c r="G67" s="17">
        <f>2*(0.01206)</f>
        <v>2.4119999999999999E-2</v>
      </c>
      <c r="H67" s="17">
        <f>4*4</f>
        <v>16</v>
      </c>
      <c r="I67" s="17">
        <f t="shared" si="6"/>
        <v>3.8591999999999999E-5</v>
      </c>
      <c r="J67" s="17">
        <f>(0.01/60)/(60*24)</f>
        <v>1.1574074074074074E-7</v>
      </c>
      <c r="K67" s="17">
        <f>1/24</f>
        <v>4.1666666666666664E-2</v>
      </c>
      <c r="L67" s="17">
        <v>1</v>
      </c>
      <c r="M67" s="17">
        <f>365*3</f>
        <v>1095</v>
      </c>
      <c r="N67" s="17">
        <v>0</v>
      </c>
      <c r="O67" s="17">
        <v>0</v>
      </c>
      <c r="P67" s="17">
        <v>1</v>
      </c>
      <c r="Q67" s="17">
        <v>0</v>
      </c>
      <c r="R67" s="17"/>
      <c r="S67" s="14" t="s">
        <v>202</v>
      </c>
      <c r="T67" s="14" t="s">
        <v>189</v>
      </c>
    </row>
    <row r="68" spans="1:20" ht="15.75" customHeight="1">
      <c r="A68" s="17" t="s">
        <v>99</v>
      </c>
      <c r="B68" s="17" t="s">
        <v>155</v>
      </c>
      <c r="C68" s="17">
        <v>2012</v>
      </c>
      <c r="D68" s="14" t="s">
        <v>128</v>
      </c>
      <c r="E68" s="14" t="s">
        <v>211</v>
      </c>
      <c r="F68" s="14" t="s">
        <v>212</v>
      </c>
      <c r="G68" s="17">
        <v>0.5292</v>
      </c>
      <c r="H68" s="17">
        <f>2*2</f>
        <v>4</v>
      </c>
      <c r="I68" s="17">
        <f t="shared" si="6"/>
        <v>2.1168000000000001E-4</v>
      </c>
      <c r="J68" s="17">
        <f>(1/60)/(60*24)</f>
        <v>1.1574074074074073E-5</v>
      </c>
      <c r="K68" s="17">
        <v>0</v>
      </c>
      <c r="L68" s="17">
        <v>1</v>
      </c>
      <c r="M68" s="17">
        <v>30</v>
      </c>
      <c r="N68" s="17">
        <v>2</v>
      </c>
      <c r="O68" s="17">
        <v>1</v>
      </c>
      <c r="P68" s="17">
        <v>0</v>
      </c>
      <c r="Q68" s="17">
        <v>1</v>
      </c>
      <c r="R68" s="17"/>
      <c r="S68" s="14" t="s">
        <v>198</v>
      </c>
      <c r="T68" s="14" t="s">
        <v>190</v>
      </c>
    </row>
    <row r="69" spans="1:20" ht="15.75" customHeight="1">
      <c r="A69" s="17" t="s">
        <v>99</v>
      </c>
      <c r="B69" s="17" t="s">
        <v>155</v>
      </c>
      <c r="C69" s="17">
        <v>2012</v>
      </c>
      <c r="D69" s="14" t="s">
        <v>128</v>
      </c>
      <c r="E69" s="14" t="s">
        <v>211</v>
      </c>
      <c r="F69" s="14" t="s">
        <v>212</v>
      </c>
      <c r="G69" s="17">
        <v>1E-3</v>
      </c>
      <c r="H69" s="17">
        <v>4</v>
      </c>
      <c r="I69" s="17">
        <f t="shared" si="6"/>
        <v>3.9999999999999998E-7</v>
      </c>
      <c r="J69" s="17">
        <f>1/(60*24)</f>
        <v>6.9444444444444447E-4</v>
      </c>
      <c r="K69" s="17">
        <v>0</v>
      </c>
      <c r="L69" s="17">
        <v>1</v>
      </c>
      <c r="M69" s="17">
        <v>30</v>
      </c>
      <c r="N69" s="17">
        <v>2</v>
      </c>
      <c r="O69" s="17">
        <v>1</v>
      </c>
      <c r="P69" s="17">
        <v>0</v>
      </c>
      <c r="Q69" s="17">
        <v>1</v>
      </c>
      <c r="R69" s="17"/>
      <c r="S69" s="14" t="s">
        <v>203</v>
      </c>
      <c r="T69" s="14" t="s">
        <v>191</v>
      </c>
    </row>
    <row r="70" spans="1:20" ht="15.75" customHeight="1">
      <c r="A70" s="17" t="s">
        <v>99</v>
      </c>
      <c r="B70" s="17" t="s">
        <v>155</v>
      </c>
      <c r="C70" s="17">
        <v>2012</v>
      </c>
      <c r="D70" s="14" t="s">
        <v>128</v>
      </c>
      <c r="E70" s="14" t="s">
        <v>211</v>
      </c>
      <c r="F70" s="14" t="s">
        <v>212</v>
      </c>
      <c r="G70" s="17">
        <v>0.25</v>
      </c>
      <c r="H70" s="17">
        <f>4*6</f>
        <v>24</v>
      </c>
      <c r="I70" s="17">
        <f t="shared" si="6"/>
        <v>5.9999999999999995E-4</v>
      </c>
      <c r="J70" s="17">
        <v>1</v>
      </c>
      <c r="K70" s="17">
        <f>9*30</f>
        <v>270</v>
      </c>
      <c r="L70" s="17">
        <f>3*(30+(2*31))</f>
        <v>276</v>
      </c>
      <c r="M70" s="17">
        <f>365*3</f>
        <v>1095</v>
      </c>
      <c r="N70" s="17">
        <v>2</v>
      </c>
      <c r="O70" s="17">
        <v>1</v>
      </c>
      <c r="P70" s="17">
        <v>1</v>
      </c>
      <c r="Q70" s="17">
        <v>1</v>
      </c>
      <c r="R70" s="17"/>
      <c r="S70" s="14" t="s">
        <v>204</v>
      </c>
      <c r="T70" s="14" t="s">
        <v>192</v>
      </c>
    </row>
    <row r="71" spans="1:20" ht="15.75" customHeight="1">
      <c r="A71" s="17" t="s">
        <v>99</v>
      </c>
      <c r="B71" s="17" t="s">
        <v>155</v>
      </c>
      <c r="C71" s="17">
        <v>2012</v>
      </c>
      <c r="D71" s="14" t="s">
        <v>128</v>
      </c>
      <c r="E71" s="14" t="s">
        <v>211</v>
      </c>
      <c r="F71" s="14" t="s">
        <v>212</v>
      </c>
      <c r="G71" s="17">
        <f>PI()*(0.035/2)^2</f>
        <v>9.6211275016187424E-4</v>
      </c>
      <c r="H71" s="17">
        <f>4*40</f>
        <v>160</v>
      </c>
      <c r="I71" s="17">
        <f t="shared" si="6"/>
        <v>1.5393804002589989E-5</v>
      </c>
      <c r="J71" s="17">
        <f>5/(60*24)</f>
        <v>3.472222222222222E-3</v>
      </c>
      <c r="K71" s="14">
        <f>20/(60*24)</f>
        <v>1.3888888888888888E-2</v>
      </c>
      <c r="L71" s="17">
        <f>J71*H71</f>
        <v>0.55555555555555558</v>
      </c>
      <c r="M71" s="17">
        <v>30</v>
      </c>
      <c r="N71" s="17">
        <v>2</v>
      </c>
      <c r="O71" s="17">
        <v>1</v>
      </c>
      <c r="P71" s="17">
        <v>2</v>
      </c>
      <c r="Q71" s="17">
        <v>0</v>
      </c>
      <c r="R71" s="17"/>
      <c r="S71" s="14" t="s">
        <v>205</v>
      </c>
      <c r="T71" s="14" t="s">
        <v>193</v>
      </c>
    </row>
    <row r="72" spans="1:20" ht="15.75" customHeight="1">
      <c r="A72" s="17" t="s">
        <v>99</v>
      </c>
      <c r="B72" s="17" t="s">
        <v>155</v>
      </c>
      <c r="C72" s="17">
        <v>2012</v>
      </c>
      <c r="D72" s="14" t="s">
        <v>80</v>
      </c>
      <c r="E72" s="14" t="s">
        <v>211</v>
      </c>
      <c r="F72" s="14" t="s">
        <v>212</v>
      </c>
      <c r="G72" s="17">
        <f>PI()*(0.2/2)^2</f>
        <v>3.1415926535897934E-2</v>
      </c>
      <c r="H72" s="17">
        <f>12*4</f>
        <v>48</v>
      </c>
      <c r="I72" s="17">
        <f t="shared" si="6"/>
        <v>1.5079644737231009E-4</v>
      </c>
      <c r="J72" s="17">
        <f>1/(60*24)</f>
        <v>6.9444444444444447E-4</v>
      </c>
      <c r="K72" s="17">
        <f>21</f>
        <v>21</v>
      </c>
      <c r="L72" s="17">
        <f>J72*((51+1)*2)</f>
        <v>7.2222222222222229E-2</v>
      </c>
      <c r="M72" s="17">
        <f>334</f>
        <v>334</v>
      </c>
      <c r="N72" s="17">
        <v>2</v>
      </c>
      <c r="O72" s="17">
        <v>1</v>
      </c>
      <c r="P72" s="17">
        <v>2</v>
      </c>
      <c r="Q72" s="17">
        <v>0</v>
      </c>
      <c r="R72" s="17"/>
      <c r="S72" s="14" t="s">
        <v>206</v>
      </c>
      <c r="T72" s="14" t="s">
        <v>194</v>
      </c>
    </row>
    <row r="73" spans="1:20" ht="15.75" customHeight="1">
      <c r="A73" s="17" t="s">
        <v>99</v>
      </c>
      <c r="B73" s="17" t="s">
        <v>155</v>
      </c>
      <c r="C73" s="17">
        <v>2012</v>
      </c>
      <c r="D73" s="14" t="s">
        <v>128</v>
      </c>
      <c r="E73" s="14" t="s">
        <v>211</v>
      </c>
      <c r="F73" s="14" t="s">
        <v>212</v>
      </c>
      <c r="G73" s="17">
        <f>2*PI()*(0.003)*(0.003+0.1)</f>
        <v>1.9415042599184923E-3</v>
      </c>
      <c r="H73" s="17">
        <f>12*4</f>
        <v>48</v>
      </c>
      <c r="I73" s="17">
        <f t="shared" si="6"/>
        <v>9.3192204476087624E-6</v>
      </c>
      <c r="J73" s="17">
        <f>1/(60*24)</f>
        <v>6.9444444444444447E-4</v>
      </c>
      <c r="K73" s="17">
        <f>21</f>
        <v>21</v>
      </c>
      <c r="L73" s="17">
        <f>J73*(51)</f>
        <v>3.5416666666666666E-2</v>
      </c>
      <c r="M73" s="17">
        <f>334</f>
        <v>334</v>
      </c>
      <c r="N73" s="17">
        <v>0</v>
      </c>
      <c r="O73" s="17">
        <v>0</v>
      </c>
      <c r="P73" s="17">
        <v>0</v>
      </c>
      <c r="Q73" s="17">
        <v>0</v>
      </c>
      <c r="R73" s="17"/>
      <c r="S73" s="14" t="s">
        <v>209</v>
      </c>
      <c r="T73" s="14" t="s">
        <v>208</v>
      </c>
    </row>
    <row r="74" spans="1:20" ht="15.75" customHeight="1">
      <c r="A74" s="17" t="s">
        <v>99</v>
      </c>
      <c r="B74" s="17" t="s">
        <v>155</v>
      </c>
      <c r="C74" s="17">
        <v>2012</v>
      </c>
      <c r="D74" s="14" t="s">
        <v>128</v>
      </c>
      <c r="E74" s="14" t="s">
        <v>211</v>
      </c>
      <c r="F74" s="14" t="s">
        <v>212</v>
      </c>
      <c r="G74" s="17">
        <f>3*(2*PI()*(0.04)*(0.04+0.17))</f>
        <v>0.1583362697409256</v>
      </c>
      <c r="H74" s="17">
        <f>12*4</f>
        <v>48</v>
      </c>
      <c r="I74" s="17">
        <f t="shared" si="6"/>
        <v>7.6001409475644286E-4</v>
      </c>
      <c r="J74" s="17">
        <f>1/(60*24)</f>
        <v>6.9444444444444447E-4</v>
      </c>
      <c r="K74" s="17">
        <f>21</f>
        <v>21</v>
      </c>
      <c r="L74" s="17">
        <f>J74*(51)</f>
        <v>3.5416666666666666E-2</v>
      </c>
      <c r="M74" s="17">
        <f>334</f>
        <v>334</v>
      </c>
      <c r="N74" s="17">
        <v>0</v>
      </c>
      <c r="O74" s="17">
        <v>0</v>
      </c>
      <c r="P74" s="17">
        <v>1</v>
      </c>
      <c r="Q74" s="17">
        <v>0</v>
      </c>
      <c r="R74" s="17"/>
      <c r="S74" s="14" t="s">
        <v>209</v>
      </c>
      <c r="T74" s="14" t="s">
        <v>195</v>
      </c>
    </row>
    <row r="75" spans="1:20" ht="15.75" customHeight="1">
      <c r="A75" s="17" t="s">
        <v>99</v>
      </c>
      <c r="B75" s="17" t="s">
        <v>155</v>
      </c>
      <c r="C75" s="17">
        <v>2012</v>
      </c>
      <c r="D75" s="14" t="s">
        <v>80</v>
      </c>
      <c r="E75" s="14" t="s">
        <v>211</v>
      </c>
      <c r="F75" s="14" t="s">
        <v>212</v>
      </c>
      <c r="G75" s="17">
        <f>PI()*(0.2/2)^2</f>
        <v>3.1415926535897934E-2</v>
      </c>
      <c r="H75" s="17">
        <f>4+7</f>
        <v>11</v>
      </c>
      <c r="I75" s="17">
        <f t="shared" si="6"/>
        <v>3.4557519189487729E-5</v>
      </c>
      <c r="J75" s="17">
        <f>1/(60*24)</f>
        <v>6.9444444444444447E-4</v>
      </c>
      <c r="K75" s="17">
        <f>62/4</f>
        <v>15.5</v>
      </c>
      <c r="L75" s="17">
        <f>J75*H75*4</f>
        <v>3.0555555555555558E-2</v>
      </c>
      <c r="M75" s="17">
        <f>31*2</f>
        <v>62</v>
      </c>
      <c r="N75" s="17">
        <v>2</v>
      </c>
      <c r="O75" s="17">
        <v>1</v>
      </c>
      <c r="P75" s="17">
        <v>2</v>
      </c>
      <c r="Q75" s="17">
        <v>0</v>
      </c>
      <c r="R75" s="17"/>
      <c r="S75" s="14" t="s">
        <v>210</v>
      </c>
      <c r="T75" s="14" t="s">
        <v>207</v>
      </c>
    </row>
    <row r="76" spans="1:20" ht="15.75" customHeight="1">
      <c r="A76" s="17" t="s">
        <v>99</v>
      </c>
      <c r="B76" s="17" t="s">
        <v>155</v>
      </c>
      <c r="C76" s="17">
        <v>2012</v>
      </c>
      <c r="D76" s="14" t="s">
        <v>128</v>
      </c>
      <c r="E76" s="14" t="s">
        <v>211</v>
      </c>
      <c r="F76" s="14" t="s">
        <v>212</v>
      </c>
      <c r="G76" s="17">
        <f>PI()*(0.035/2)^2</f>
        <v>9.6211275016187424E-4</v>
      </c>
      <c r="H76" s="17">
        <f>4*2</f>
        <v>8</v>
      </c>
      <c r="I76" s="17">
        <f t="shared" si="6"/>
        <v>7.6969020012949942E-7</v>
      </c>
      <c r="J76" s="17">
        <f>5/(60*24)</f>
        <v>3.472222222222222E-3</v>
      </c>
      <c r="K76" s="17">
        <f>1/24</f>
        <v>4.1666666666666664E-2</v>
      </c>
      <c r="L76" s="17">
        <f>J76*(8*6)</f>
        <v>0.16666666666666666</v>
      </c>
      <c r="M76" s="17">
        <v>31</v>
      </c>
      <c r="N76" s="17">
        <v>1</v>
      </c>
      <c r="O76" s="17">
        <v>1</v>
      </c>
      <c r="P76" s="17">
        <v>2</v>
      </c>
      <c r="Q76" s="17">
        <v>0</v>
      </c>
      <c r="R76" s="17"/>
      <c r="S76" s="14" t="s">
        <v>205</v>
      </c>
      <c r="T76" s="14" t="s">
        <v>196</v>
      </c>
    </row>
    <row r="77" spans="1:20" s="17" customFormat="1" ht="15.75" customHeight="1">
      <c r="A77" s="17" t="s">
        <v>43</v>
      </c>
      <c r="B77" s="17" t="s">
        <v>175</v>
      </c>
      <c r="C77" s="17">
        <v>2007</v>
      </c>
      <c r="D77" s="14" t="s">
        <v>128</v>
      </c>
      <c r="E77" s="14" t="s">
        <v>243</v>
      </c>
      <c r="F77" s="14" t="s">
        <v>222</v>
      </c>
      <c r="G77" s="14">
        <f>PI()*(0.0508/2)^2</f>
        <v>2.0268299163899908E-3</v>
      </c>
      <c r="H77" s="17">
        <v>4</v>
      </c>
      <c r="I77" s="17">
        <f t="shared" ref="I77:I83" si="7">(G77*H77)/10000</f>
        <v>8.1073196655599628E-7</v>
      </c>
      <c r="J77" s="17">
        <f>2/(60*24)</f>
        <v>1.3888888888888889E-3</v>
      </c>
      <c r="K77" s="17">
        <f>1/24</f>
        <v>4.1666666666666664E-2</v>
      </c>
      <c r="L77" s="17">
        <f>J77*H77</f>
        <v>5.5555555555555558E-3</v>
      </c>
      <c r="M77" s="17">
        <v>30</v>
      </c>
      <c r="N77" s="17">
        <v>3</v>
      </c>
      <c r="O77" s="17">
        <v>1</v>
      </c>
      <c r="P77" s="17">
        <v>0</v>
      </c>
      <c r="Q77" s="17">
        <v>3</v>
      </c>
      <c r="S77" s="14" t="s">
        <v>223</v>
      </c>
      <c r="T77" s="14" t="s">
        <v>242</v>
      </c>
    </row>
    <row r="78" spans="1:20" s="17" customFormat="1" ht="15.75" customHeight="1">
      <c r="A78" s="17" t="s">
        <v>43</v>
      </c>
      <c r="B78" s="17" t="s">
        <v>175</v>
      </c>
      <c r="C78" s="17">
        <v>2007</v>
      </c>
      <c r="D78" s="14" t="s">
        <v>128</v>
      </c>
      <c r="E78" s="14" t="s">
        <v>216</v>
      </c>
      <c r="F78" s="14" t="s">
        <v>222</v>
      </c>
      <c r="G78" s="14">
        <f>PI()*(0.1/2)^2</f>
        <v>7.8539816339744835E-3</v>
      </c>
      <c r="H78" s="17">
        <v>1</v>
      </c>
      <c r="I78" s="17">
        <f t="shared" si="7"/>
        <v>7.8539816339744833E-7</v>
      </c>
      <c r="J78" s="17">
        <f>5/(60*24)</f>
        <v>3.472222222222222E-3</v>
      </c>
      <c r="K78" s="17">
        <f>1/24</f>
        <v>4.1666666666666664E-2</v>
      </c>
      <c r="L78" s="17">
        <f>15</f>
        <v>15</v>
      </c>
      <c r="M78" s="17">
        <v>30</v>
      </c>
      <c r="N78" s="17">
        <v>3</v>
      </c>
      <c r="O78" s="17">
        <v>0</v>
      </c>
      <c r="P78" s="17">
        <v>0</v>
      </c>
      <c r="Q78" s="17">
        <v>3</v>
      </c>
      <c r="R78" s="14" t="s">
        <v>219</v>
      </c>
      <c r="S78" s="14" t="s">
        <v>224</v>
      </c>
      <c r="T78" s="14" t="s">
        <v>213</v>
      </c>
    </row>
    <row r="79" spans="1:20" s="17" customFormat="1" ht="15.75" customHeight="1">
      <c r="A79" s="17" t="s">
        <v>43</v>
      </c>
      <c r="B79" s="17" t="s">
        <v>175</v>
      </c>
      <c r="C79" s="17">
        <v>2007</v>
      </c>
      <c r="D79" s="14" t="s">
        <v>128</v>
      </c>
      <c r="E79" s="14" t="s">
        <v>217</v>
      </c>
      <c r="F79" s="14" t="s">
        <v>222</v>
      </c>
      <c r="G79" s="14">
        <f>PI()*(0.0508/2)^2</f>
        <v>2.0268299163899908E-3</v>
      </c>
      <c r="H79" s="17">
        <v>1</v>
      </c>
      <c r="I79" s="17">
        <f t="shared" si="7"/>
        <v>2.0268299163899907E-7</v>
      </c>
      <c r="J79" s="17">
        <f>1/(60*24)</f>
        <v>6.9444444444444447E-4</v>
      </c>
      <c r="K79" s="17">
        <f>1/24</f>
        <v>4.1666666666666664E-2</v>
      </c>
      <c r="L79" s="17">
        <f>15</f>
        <v>15</v>
      </c>
      <c r="M79" s="17">
        <v>30</v>
      </c>
      <c r="N79" s="17">
        <v>3</v>
      </c>
      <c r="O79" s="17">
        <v>0</v>
      </c>
      <c r="P79" s="17">
        <v>0</v>
      </c>
      <c r="Q79" s="17">
        <v>3</v>
      </c>
      <c r="R79" s="14" t="s">
        <v>219</v>
      </c>
      <c r="S79" s="14" t="s">
        <v>224</v>
      </c>
      <c r="T79" s="14" t="s">
        <v>214</v>
      </c>
    </row>
    <row r="80" spans="1:20" s="17" customFormat="1" ht="15.75" customHeight="1">
      <c r="A80" s="17" t="s">
        <v>43</v>
      </c>
      <c r="B80" s="17" t="s">
        <v>175</v>
      </c>
      <c r="C80" s="17">
        <v>2007</v>
      </c>
      <c r="D80" s="14" t="s">
        <v>128</v>
      </c>
      <c r="E80" s="14" t="s">
        <v>244</v>
      </c>
      <c r="F80" s="14" t="s">
        <v>222</v>
      </c>
      <c r="G80" s="14">
        <f>PI()*(0.0508/2)^2</f>
        <v>2.0268299163899908E-3</v>
      </c>
      <c r="H80" s="17">
        <v>4</v>
      </c>
      <c r="I80" s="17">
        <f t="shared" si="7"/>
        <v>8.1073196655599628E-7</v>
      </c>
      <c r="J80" s="17">
        <f>1/(60*24)</f>
        <v>6.9444444444444447E-4</v>
      </c>
      <c r="K80" s="17">
        <f>1/24</f>
        <v>4.1666666666666664E-2</v>
      </c>
      <c r="L80" s="17">
        <f>J80*H80</f>
        <v>2.7777777777777779E-3</v>
      </c>
      <c r="M80" s="17">
        <f>31</f>
        <v>31</v>
      </c>
      <c r="N80" s="17">
        <v>3</v>
      </c>
      <c r="O80" s="17">
        <v>0</v>
      </c>
      <c r="P80" s="17">
        <v>0</v>
      </c>
      <c r="Q80" s="17">
        <v>3</v>
      </c>
      <c r="R80" s="14" t="s">
        <v>220</v>
      </c>
      <c r="S80" s="14" t="s">
        <v>225</v>
      </c>
      <c r="T80" s="14" t="s">
        <v>245</v>
      </c>
    </row>
    <row r="81" spans="1:20" s="17" customFormat="1" ht="15.75" customHeight="1">
      <c r="A81" s="17" t="s">
        <v>43</v>
      </c>
      <c r="B81" s="17" t="s">
        <v>175</v>
      </c>
      <c r="C81" s="17">
        <v>2007</v>
      </c>
      <c r="D81" s="14" t="s">
        <v>128</v>
      </c>
      <c r="E81" s="14" t="s">
        <v>218</v>
      </c>
      <c r="F81" s="14" t="s">
        <v>222</v>
      </c>
      <c r="G81" s="14">
        <f>PI()*(0.1/2)^2</f>
        <v>7.8539816339744835E-3</v>
      </c>
      <c r="H81" s="17">
        <v>1</v>
      </c>
      <c r="I81" s="17">
        <f t="shared" si="7"/>
        <v>7.8539816339744833E-7</v>
      </c>
      <c r="J81" s="17">
        <f>5/(60*24)</f>
        <v>3.472222222222222E-3</v>
      </c>
      <c r="K81" s="17">
        <v>0</v>
      </c>
      <c r="L81" s="17">
        <v>1</v>
      </c>
      <c r="M81" s="17">
        <v>30</v>
      </c>
      <c r="N81" s="17">
        <v>3</v>
      </c>
      <c r="O81" s="17">
        <v>0</v>
      </c>
      <c r="P81" s="17">
        <v>0</v>
      </c>
      <c r="Q81" s="17">
        <v>3</v>
      </c>
      <c r="R81" s="17" t="s">
        <v>221</v>
      </c>
      <c r="S81" s="14" t="s">
        <v>201</v>
      </c>
      <c r="T81" s="14" t="s">
        <v>215</v>
      </c>
    </row>
    <row r="82" spans="1:20" s="17" customFormat="1" ht="15.75" customHeight="1">
      <c r="A82" s="17" t="s">
        <v>32</v>
      </c>
      <c r="B82" s="17" t="s">
        <v>156</v>
      </c>
      <c r="C82" s="17">
        <v>2013</v>
      </c>
      <c r="D82" s="17" t="s">
        <v>128</v>
      </c>
      <c r="E82" s="17" t="s">
        <v>157</v>
      </c>
      <c r="F82" s="14" t="s">
        <v>228</v>
      </c>
      <c r="G82" s="17">
        <f>PI()*(0.0635/2)^2</f>
        <v>3.1669217443593611E-3</v>
      </c>
      <c r="H82" s="17">
        <v>12</v>
      </c>
      <c r="I82" s="17">
        <f t="shared" si="7"/>
        <v>3.800306093231233E-6</v>
      </c>
      <c r="J82" s="17">
        <f>10/(60*24)</f>
        <v>6.9444444444444441E-3</v>
      </c>
      <c r="K82" s="14">
        <f>5/(60*24)</f>
        <v>3.472222222222222E-3</v>
      </c>
      <c r="L82" s="17">
        <f>J82*H82</f>
        <v>8.3333333333333329E-2</v>
      </c>
      <c r="M82" s="17">
        <v>30</v>
      </c>
      <c r="N82" s="17">
        <v>2</v>
      </c>
      <c r="O82" s="17">
        <v>1</v>
      </c>
      <c r="P82" s="17">
        <v>1</v>
      </c>
      <c r="Q82" s="17">
        <v>0</v>
      </c>
      <c r="S82" s="14" t="s">
        <v>227</v>
      </c>
      <c r="T82" s="14" t="s">
        <v>226</v>
      </c>
    </row>
    <row r="83" spans="1:20" s="17" customFormat="1" ht="15.75" customHeight="1">
      <c r="A83" s="17" t="s">
        <v>105</v>
      </c>
      <c r="B83" s="17" t="s">
        <v>158</v>
      </c>
      <c r="C83" s="17">
        <v>2011</v>
      </c>
      <c r="D83" s="14" t="s">
        <v>128</v>
      </c>
      <c r="E83" s="14" t="s">
        <v>159</v>
      </c>
      <c r="F83" s="14" t="s">
        <v>230</v>
      </c>
      <c r="G83" s="17">
        <f>PI()*(70/2)^2</f>
        <v>3848.4510006474966</v>
      </c>
      <c r="H83" s="17">
        <v>3</v>
      </c>
      <c r="I83" s="17">
        <f t="shared" si="7"/>
        <v>1.1545353001942491</v>
      </c>
      <c r="J83" s="17">
        <f>9/24</f>
        <v>0.375</v>
      </c>
      <c r="K83" s="17">
        <v>1</v>
      </c>
      <c r="L83" s="17">
        <f>J83*3</f>
        <v>1.125</v>
      </c>
      <c r="M83" s="17">
        <f>30+(2*31)</f>
        <v>92</v>
      </c>
      <c r="N83" s="17">
        <v>2</v>
      </c>
      <c r="O83" s="17">
        <v>3</v>
      </c>
      <c r="P83" s="17">
        <v>1</v>
      </c>
      <c r="Q83" s="17">
        <v>0</v>
      </c>
      <c r="S83" s="14" t="s">
        <v>229</v>
      </c>
      <c r="T83" s="14" t="s">
        <v>232</v>
      </c>
    </row>
    <row r="84" spans="1:20" s="17" customFormat="1" ht="15.75" customHeight="1">
      <c r="A84" s="17" t="s">
        <v>107</v>
      </c>
      <c r="B84" s="14" t="s">
        <v>160</v>
      </c>
      <c r="C84" s="17">
        <v>2006</v>
      </c>
      <c r="D84" s="14" t="s">
        <v>128</v>
      </c>
      <c r="E84" s="14" t="s">
        <v>231</v>
      </c>
      <c r="F84" s="14" t="s">
        <v>233</v>
      </c>
      <c r="G84" s="17">
        <v>0.25</v>
      </c>
      <c r="H84" s="17">
        <f>(10*27*16)</f>
        <v>4320</v>
      </c>
      <c r="I84" s="17">
        <f>(G84*H84)/10000</f>
        <v>0.108</v>
      </c>
      <c r="J84" s="17">
        <f>10/(60*24)</f>
        <v>6.9444444444444441E-3</v>
      </c>
      <c r="K84" s="14">
        <v>365</v>
      </c>
      <c r="L84" s="17">
        <f>J84*(H84*5)</f>
        <v>150</v>
      </c>
      <c r="M84" s="17">
        <f>5*365</f>
        <v>1825</v>
      </c>
      <c r="N84" s="17">
        <v>3</v>
      </c>
      <c r="O84" s="17">
        <v>1</v>
      </c>
      <c r="P84" s="17">
        <v>2</v>
      </c>
      <c r="Q84" s="17">
        <v>3</v>
      </c>
      <c r="S84" s="14" t="s">
        <v>154</v>
      </c>
      <c r="T84" s="14" t="s">
        <v>234</v>
      </c>
    </row>
    <row r="85" spans="1:20" s="17" customFormat="1" ht="15.75" customHeight="1">
      <c r="A85" s="17" t="s">
        <v>96</v>
      </c>
      <c r="B85" s="17" t="s">
        <v>176</v>
      </c>
      <c r="C85" s="17">
        <v>2010</v>
      </c>
      <c r="D85" s="14" t="s">
        <v>128</v>
      </c>
      <c r="E85" s="14" t="s">
        <v>238</v>
      </c>
      <c r="F85" s="14" t="s">
        <v>246</v>
      </c>
      <c r="G85" s="17">
        <f>1.23*0.0254</f>
        <v>3.1241999999999999E-2</v>
      </c>
      <c r="H85" s="17">
        <f>80+791+636</f>
        <v>1507</v>
      </c>
      <c r="I85" s="17">
        <f>(G85*H85)/10000</f>
        <v>4.7081694E-3</v>
      </c>
      <c r="J85" s="17">
        <f>15/(60*24)</f>
        <v>1.0416666666666666E-2</v>
      </c>
      <c r="K85" s="17">
        <v>2</v>
      </c>
      <c r="L85" s="17">
        <f>J85*H85</f>
        <v>15.697916666666666</v>
      </c>
      <c r="M85" s="17">
        <v>365</v>
      </c>
      <c r="N85" s="17">
        <v>0</v>
      </c>
      <c r="O85" s="17">
        <v>0</v>
      </c>
      <c r="P85" s="17">
        <v>1</v>
      </c>
      <c r="Q85" s="17">
        <v>0</v>
      </c>
      <c r="R85" s="17" t="s">
        <v>264</v>
      </c>
      <c r="S85" s="17" t="s">
        <v>270</v>
      </c>
      <c r="T85" s="14" t="s">
        <v>235</v>
      </c>
    </row>
    <row r="86" spans="1:20" s="17" customFormat="1" ht="15.75" customHeight="1">
      <c r="A86" s="17" t="s">
        <v>96</v>
      </c>
      <c r="B86" s="17" t="s">
        <v>176</v>
      </c>
      <c r="C86" s="17">
        <v>2010</v>
      </c>
      <c r="D86" s="14" t="s">
        <v>128</v>
      </c>
      <c r="E86" s="14" t="s">
        <v>239</v>
      </c>
      <c r="F86" s="14" t="s">
        <v>246</v>
      </c>
      <c r="G86" s="17">
        <f>1.23*0.0254</f>
        <v>3.1241999999999999E-2</v>
      </c>
      <c r="H86" s="17">
        <v>108</v>
      </c>
      <c r="I86" s="17">
        <f>(G86*H86)/10000</f>
        <v>3.3741359999999999E-4</v>
      </c>
      <c r="J86" s="17">
        <f>20/(60*24)</f>
        <v>1.3888888888888888E-2</v>
      </c>
      <c r="K86" s="17">
        <f>5/24</f>
        <v>0.20833333333333334</v>
      </c>
      <c r="L86" s="17">
        <f>J86*H86</f>
        <v>1.5</v>
      </c>
      <c r="M86" s="17">
        <v>2922</v>
      </c>
      <c r="N86" s="17">
        <v>0</v>
      </c>
      <c r="O86" s="17">
        <v>0</v>
      </c>
      <c r="P86" s="17">
        <v>1</v>
      </c>
      <c r="Q86" s="17">
        <v>0</v>
      </c>
      <c r="R86" s="28" t="s">
        <v>265</v>
      </c>
      <c r="S86" s="17" t="s">
        <v>270</v>
      </c>
      <c r="T86" s="14" t="s">
        <v>236</v>
      </c>
    </row>
    <row r="87" spans="1:20" s="17" customFormat="1" ht="15.75" customHeight="1">
      <c r="A87" s="17" t="s">
        <v>96</v>
      </c>
      <c r="B87" s="17" t="s">
        <v>176</v>
      </c>
      <c r="C87" s="17">
        <v>2010</v>
      </c>
      <c r="D87" s="14" t="s">
        <v>128</v>
      </c>
      <c r="E87" s="14" t="s">
        <v>240</v>
      </c>
      <c r="F87" s="14" t="s">
        <v>246</v>
      </c>
      <c r="G87" s="17">
        <f>1.23*0.0254</f>
        <v>3.1241999999999999E-2</v>
      </c>
      <c r="H87" s="17">
        <f>116+12</f>
        <v>128</v>
      </c>
      <c r="I87" s="17">
        <f t="shared" ref="I87:I89" si="8">(G87*H87)/10000</f>
        <v>3.9989760000000001E-4</v>
      </c>
      <c r="J87" s="17">
        <f>15/(60*24)</f>
        <v>1.0416666666666666E-2</v>
      </c>
      <c r="K87" s="17">
        <f>5/24</f>
        <v>0.20833333333333334</v>
      </c>
      <c r="L87" s="17">
        <f>J87*H87</f>
        <v>1.3333333333333333</v>
      </c>
      <c r="M87" s="17">
        <v>5478</v>
      </c>
      <c r="N87" s="17">
        <v>0</v>
      </c>
      <c r="O87" s="17">
        <v>0</v>
      </c>
      <c r="P87" s="17">
        <v>1</v>
      </c>
      <c r="Q87" s="17">
        <v>0</v>
      </c>
      <c r="R87" s="17" t="s">
        <v>266</v>
      </c>
      <c r="S87" s="17" t="s">
        <v>270</v>
      </c>
      <c r="T87" s="14" t="s">
        <v>267</v>
      </c>
    </row>
    <row r="88" spans="1:20" s="17" customFormat="1" ht="15.75" customHeight="1">
      <c r="A88" s="17" t="s">
        <v>96</v>
      </c>
      <c r="B88" s="17" t="s">
        <v>176</v>
      </c>
      <c r="C88" s="17">
        <v>2010</v>
      </c>
      <c r="D88" s="14" t="s">
        <v>128</v>
      </c>
      <c r="E88" s="14" t="s">
        <v>240</v>
      </c>
      <c r="F88" s="14" t="s">
        <v>246</v>
      </c>
      <c r="G88" s="17">
        <f>1.23*0.0254</f>
        <v>3.1241999999999999E-2</v>
      </c>
      <c r="H88" s="17">
        <f>5+5</f>
        <v>10</v>
      </c>
      <c r="I88" s="17">
        <f t="shared" si="8"/>
        <v>3.1241999999999997E-5</v>
      </c>
      <c r="J88" s="17">
        <f>5/(60*24)</f>
        <v>3.472222222222222E-3</v>
      </c>
      <c r="K88" s="17">
        <f>AVERAGE(2,3)</f>
        <v>2.5</v>
      </c>
      <c r="L88" s="17">
        <f>J88*H88</f>
        <v>3.4722222222222224E-2</v>
      </c>
      <c r="M88" s="17">
        <v>365</v>
      </c>
      <c r="N88" s="17">
        <v>0</v>
      </c>
      <c r="O88" s="17">
        <v>0</v>
      </c>
      <c r="P88" s="17">
        <v>1</v>
      </c>
      <c r="Q88" s="17">
        <v>0</v>
      </c>
      <c r="R88" s="29" t="s">
        <v>269</v>
      </c>
      <c r="S88" s="29" t="s">
        <v>270</v>
      </c>
      <c r="T88" s="14" t="s">
        <v>268</v>
      </c>
    </row>
    <row r="89" spans="1:20" s="17" customFormat="1" ht="15.75" customHeight="1">
      <c r="A89" s="17" t="s">
        <v>96</v>
      </c>
      <c r="B89" s="17" t="s">
        <v>176</v>
      </c>
      <c r="C89" s="17">
        <v>2010</v>
      </c>
      <c r="D89" s="14" t="s">
        <v>128</v>
      </c>
      <c r="E89" s="14" t="s">
        <v>241</v>
      </c>
      <c r="F89" s="14" t="s">
        <v>246</v>
      </c>
      <c r="G89" s="17">
        <f>1.23*0.0254</f>
        <v>3.1241999999999999E-2</v>
      </c>
      <c r="H89" s="17">
        <f>40+41</f>
        <v>81</v>
      </c>
      <c r="I89" s="17">
        <f t="shared" si="8"/>
        <v>2.5306020000000001E-4</v>
      </c>
      <c r="J89" s="17">
        <f>5/(60*24)</f>
        <v>3.472222222222222E-3</v>
      </c>
      <c r="K89" s="17">
        <v>2</v>
      </c>
      <c r="L89" s="17">
        <f>J89*H89</f>
        <v>0.28125</v>
      </c>
      <c r="M89" s="17">
        <v>365</v>
      </c>
      <c r="N89" s="17">
        <v>0</v>
      </c>
      <c r="O89" s="17">
        <v>0</v>
      </c>
      <c r="P89" s="17">
        <v>1</v>
      </c>
      <c r="Q89" s="17">
        <v>0</v>
      </c>
      <c r="S89" s="29" t="s">
        <v>270</v>
      </c>
      <c r="T89" s="14" t="s">
        <v>237</v>
      </c>
    </row>
    <row r="90" spans="1:20" ht="15.75" customHeight="1">
      <c r="A90" s="19" t="s">
        <v>44</v>
      </c>
      <c r="B90" s="19" t="s">
        <v>177</v>
      </c>
      <c r="C90" s="19">
        <v>2006</v>
      </c>
      <c r="D90" s="20" t="s">
        <v>80</v>
      </c>
      <c r="E90" s="20" t="s">
        <v>247</v>
      </c>
      <c r="G90" s="19">
        <f>1.4*0.3683</f>
        <v>0.51561999999999997</v>
      </c>
      <c r="H90" s="19">
        <v>44</v>
      </c>
      <c r="I90" s="17">
        <f>(G90*H90)/10000</f>
        <v>2.2687279999999998E-3</v>
      </c>
      <c r="J90" s="19">
        <f>1/(60*24)</f>
        <v>6.9444444444444447E-4</v>
      </c>
      <c r="K90" s="19">
        <f>11.46</f>
        <v>11.46</v>
      </c>
      <c r="L90" s="19">
        <f>J90*5743</f>
        <v>3.9881944444444444</v>
      </c>
      <c r="M90" s="25">
        <v>2283</v>
      </c>
      <c r="N90" s="19">
        <v>1</v>
      </c>
      <c r="O90" s="19">
        <v>1</v>
      </c>
      <c r="P90" s="19">
        <v>0</v>
      </c>
      <c r="Q90" s="19">
        <v>0</v>
      </c>
      <c r="S90" s="19" t="s">
        <v>249</v>
      </c>
      <c r="T90" s="19" t="s">
        <v>248</v>
      </c>
    </row>
    <row r="91" spans="1:20" ht="15.75" customHeight="1">
      <c r="A91" s="27" t="s">
        <v>261</v>
      </c>
      <c r="B91" s="19" t="s">
        <v>262</v>
      </c>
      <c r="C91" s="19">
        <v>2013</v>
      </c>
      <c r="D91" s="19" t="s">
        <v>128</v>
      </c>
      <c r="E91" s="27" t="s">
        <v>263</v>
      </c>
      <c r="F91" s="23" t="s">
        <v>260</v>
      </c>
      <c r="G91" s="19">
        <f>500*5</f>
        <v>2500</v>
      </c>
      <c r="H91" s="19">
        <f>43+47</f>
        <v>90</v>
      </c>
      <c r="I91" s="17">
        <f>(G91*H91)/10000</f>
        <v>22.5</v>
      </c>
      <c r="J91" s="19">
        <f>30/(60*24)</f>
        <v>2.0833333333333332E-2</v>
      </c>
      <c r="K91" s="19">
        <f>2*7</f>
        <v>14</v>
      </c>
      <c r="L91" s="19">
        <f>(J91*90*4)+(J91*62*4)+(J91*59*4)</f>
        <v>17.583333333333332</v>
      </c>
      <c r="M91" s="19">
        <v>822</v>
      </c>
      <c r="N91" s="19">
        <v>0</v>
      </c>
      <c r="O91" s="19">
        <v>1</v>
      </c>
      <c r="P91" s="19">
        <v>0</v>
      </c>
      <c r="Q91" s="19">
        <v>0</v>
      </c>
      <c r="S91" s="19" t="s">
        <v>16</v>
      </c>
      <c r="T91" s="23" t="s">
        <v>257</v>
      </c>
    </row>
    <row r="92" spans="1:20" ht="15.75" customHeight="1">
      <c r="A92" s="27" t="s">
        <v>261</v>
      </c>
      <c r="B92" s="19" t="s">
        <v>262</v>
      </c>
      <c r="C92" s="19">
        <v>2013</v>
      </c>
      <c r="D92" s="19" t="s">
        <v>128</v>
      </c>
      <c r="E92" s="27" t="s">
        <v>263</v>
      </c>
      <c r="F92" s="23" t="s">
        <v>260</v>
      </c>
      <c r="G92" s="19">
        <v>0.25</v>
      </c>
      <c r="H92" s="19">
        <v>20</v>
      </c>
      <c r="I92" s="17">
        <f>(G92*H92)/10000</f>
        <v>5.0000000000000001E-4</v>
      </c>
      <c r="J92" s="19">
        <f>10/(60*24)</f>
        <v>6.9444444444444441E-3</v>
      </c>
      <c r="K92" s="19">
        <v>365</v>
      </c>
      <c r="L92" s="19">
        <f>(J92*20*2)</f>
        <v>0.27777777777777779</v>
      </c>
      <c r="M92" s="19">
        <v>822</v>
      </c>
      <c r="N92" s="19">
        <v>2</v>
      </c>
      <c r="O92" s="19">
        <v>2</v>
      </c>
      <c r="P92" s="19">
        <v>0</v>
      </c>
      <c r="Q92" s="19">
        <v>1</v>
      </c>
      <c r="S92" s="23" t="s">
        <v>259</v>
      </c>
      <c r="T92" s="23" t="s">
        <v>258</v>
      </c>
    </row>
    <row r="93" spans="1:20" ht="15.75" customHeight="1">
      <c r="I93" s="26"/>
    </row>
    <row r="94" spans="1:20" ht="15.75" customHeight="1">
      <c r="I94" s="26"/>
    </row>
    <row r="95" spans="1:20" ht="15.75" customHeight="1">
      <c r="I95"/>
    </row>
  </sheetData>
  <pageMargins left="0.7" right="0.7" top="0.75" bottom="0.75" header="0.3" footer="0.3"/>
  <pageSetup orientation="portrait"/>
  <ignoredErrors>
    <ignoredError sqref="H67" 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5"/>
  <sheetViews>
    <sheetView tabSelected="1" topLeftCell="A28" workbookViewId="0">
      <selection activeCell="B45" sqref="B45"/>
    </sheetView>
  </sheetViews>
  <sheetFormatPr baseColWidth="10" defaultColWidth="17.33203125" defaultRowHeight="15.75" customHeight="1" x14ac:dyDescent="0"/>
  <cols>
    <col min="1" max="1" width="48.5" style="19" bestFit="1" customWidth="1"/>
    <col min="2" max="2" width="32.33203125" style="19" bestFit="1" customWidth="1"/>
    <col min="3" max="3" width="10.5" style="19" customWidth="1"/>
    <col min="4" max="4" width="29.1640625" style="19" bestFit="1" customWidth="1"/>
    <col min="5" max="5" width="14.5" style="19" customWidth="1"/>
    <col min="6" max="6" width="14.6640625" style="19" customWidth="1"/>
    <col min="7" max="7" width="9.83203125" style="19" customWidth="1"/>
    <col min="8" max="8" width="8" style="19" customWidth="1"/>
    <col min="9" max="9" width="13.5" style="19" customWidth="1"/>
    <col min="10" max="10" width="16.5" style="19" customWidth="1"/>
    <col min="11" max="11" width="12.83203125" style="19" bestFit="1" customWidth="1"/>
    <col min="12" max="12" width="14.5" style="19" customWidth="1"/>
    <col min="13" max="14" width="11.83203125" style="19" customWidth="1"/>
    <col min="15" max="15" width="8.6640625" style="19" customWidth="1"/>
    <col min="16" max="16" width="7.83203125" style="19" customWidth="1"/>
    <col min="17" max="19" width="10.6640625" style="19" customWidth="1"/>
    <col min="20" max="20" width="41.5" style="19" customWidth="1"/>
    <col min="21" max="28" width="14.5" style="19" customWidth="1"/>
    <col min="29" max="16384" width="17.33203125" style="19"/>
  </cols>
  <sheetData>
    <row r="1" spans="1:28" ht="15.7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3</v>
      </c>
      <c r="L1" s="1" t="s">
        <v>3</v>
      </c>
      <c r="M1" s="2" t="s">
        <v>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5.5" customHeight="1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4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1"/>
      <c r="V2" s="1"/>
      <c r="W2" s="1"/>
      <c r="X2" s="1"/>
      <c r="Y2" s="1"/>
      <c r="Z2" s="1"/>
      <c r="AA2" s="1"/>
      <c r="AB2" s="1"/>
    </row>
    <row r="3" spans="1:28" s="17" customFormat="1" ht="12" customHeight="1">
      <c r="A3" s="21" t="s">
        <v>32</v>
      </c>
      <c r="B3" s="17" t="s">
        <v>33</v>
      </c>
      <c r="C3" s="13">
        <v>2013</v>
      </c>
      <c r="D3" s="14" t="s">
        <v>80</v>
      </c>
      <c r="E3" s="14" t="s">
        <v>34</v>
      </c>
      <c r="F3" s="14" t="s">
        <v>35</v>
      </c>
      <c r="G3" s="13">
        <f>(3/4)*(PI())*((0.001)*(0.0014))</f>
        <v>3.2986722862692827E-6</v>
      </c>
      <c r="H3" s="13">
        <v>1</v>
      </c>
      <c r="I3" s="13">
        <f t="shared" ref="I3:I8" si="0">(G3*H3)/10000</f>
        <v>3.2986722862692825E-10</v>
      </c>
      <c r="J3" s="14">
        <f t="shared" ref="J3:J8" si="1">(0.01667)/(60*24)</f>
        <v>1.1576388888888889E-5</v>
      </c>
      <c r="K3" s="14">
        <f>15/(60*24)</f>
        <v>1.0416666666666666E-2</v>
      </c>
      <c r="L3" s="13">
        <f>39.5/24</f>
        <v>1.6458333333333333</v>
      </c>
      <c r="M3" s="13">
        <v>289</v>
      </c>
      <c r="N3" s="13">
        <v>0</v>
      </c>
      <c r="O3" s="13">
        <v>0</v>
      </c>
      <c r="P3" s="13">
        <v>1</v>
      </c>
      <c r="Q3" s="13">
        <v>0</v>
      </c>
      <c r="R3" s="13"/>
      <c r="S3" s="14" t="s">
        <v>36</v>
      </c>
      <c r="T3" s="14" t="s">
        <v>38</v>
      </c>
      <c r="U3" s="15"/>
      <c r="V3" s="15"/>
      <c r="W3" s="15"/>
      <c r="X3" s="15"/>
      <c r="Y3" s="15"/>
      <c r="Z3" s="15"/>
      <c r="AA3" s="15"/>
    </row>
    <row r="4" spans="1:28" s="17" customFormat="1" ht="12" customHeight="1">
      <c r="A4" s="21" t="s">
        <v>32</v>
      </c>
      <c r="B4" s="17" t="s">
        <v>33</v>
      </c>
      <c r="C4" s="13">
        <v>2013</v>
      </c>
      <c r="D4" s="14" t="s">
        <v>80</v>
      </c>
      <c r="E4" s="14" t="s">
        <v>34</v>
      </c>
      <c r="F4" s="14" t="s">
        <v>35</v>
      </c>
      <c r="G4" s="13">
        <f>(3/4)*(PI())*((0.001)*(0.0014))</f>
        <v>3.2986722862692827E-6</v>
      </c>
      <c r="H4" s="13">
        <v>1</v>
      </c>
      <c r="I4" s="13">
        <f t="shared" si="0"/>
        <v>3.2986722862692825E-10</v>
      </c>
      <c r="J4" s="14">
        <f t="shared" si="1"/>
        <v>1.1576388888888889E-5</v>
      </c>
      <c r="K4" s="14">
        <f>0.01667/(60*24)</f>
        <v>1.1576388888888889E-5</v>
      </c>
      <c r="L4" s="13">
        <f>29/24</f>
        <v>1.2083333333333333</v>
      </c>
      <c r="M4" s="13">
        <v>289</v>
      </c>
      <c r="N4" s="13">
        <v>0</v>
      </c>
      <c r="O4" s="13">
        <v>0</v>
      </c>
      <c r="P4" s="13">
        <v>1</v>
      </c>
      <c r="Q4" s="13">
        <v>0</v>
      </c>
      <c r="R4" s="13"/>
      <c r="S4" s="14" t="s">
        <v>36</v>
      </c>
      <c r="T4" s="14" t="s">
        <v>39</v>
      </c>
      <c r="U4" s="15"/>
      <c r="V4" s="15"/>
      <c r="W4" s="15"/>
      <c r="X4" s="15"/>
      <c r="Y4" s="15"/>
      <c r="Z4" s="15"/>
      <c r="AA4" s="15"/>
    </row>
    <row r="5" spans="1:28" s="17" customFormat="1" ht="12" customHeight="1">
      <c r="A5" s="21" t="s">
        <v>32</v>
      </c>
      <c r="B5" s="14" t="s">
        <v>33</v>
      </c>
      <c r="C5" s="13">
        <v>2013</v>
      </c>
      <c r="D5" s="14" t="s">
        <v>80</v>
      </c>
      <c r="E5" s="14" t="s">
        <v>34</v>
      </c>
      <c r="F5" s="14" t="s">
        <v>35</v>
      </c>
      <c r="G5" s="13">
        <f>PI()*(0.0076/2)^2</f>
        <v>4.5364597917836615E-5</v>
      </c>
      <c r="H5" s="13">
        <v>1</v>
      </c>
      <c r="I5" s="13">
        <f t="shared" si="0"/>
        <v>4.5364597917836615E-9</v>
      </c>
      <c r="J5" s="14">
        <f t="shared" si="1"/>
        <v>1.1576388888888889E-5</v>
      </c>
      <c r="K5" s="14">
        <f>15/(60*24)</f>
        <v>1.0416666666666666E-2</v>
      </c>
      <c r="L5" s="13">
        <f>39.5/24</f>
        <v>1.6458333333333333</v>
      </c>
      <c r="M5" s="13">
        <v>289</v>
      </c>
      <c r="N5" s="13">
        <v>0</v>
      </c>
      <c r="O5" s="13">
        <v>0</v>
      </c>
      <c r="P5" s="13">
        <v>0</v>
      </c>
      <c r="Q5" s="13">
        <v>0</v>
      </c>
      <c r="R5" s="13"/>
      <c r="S5" s="14" t="s">
        <v>36</v>
      </c>
      <c r="T5" s="14" t="s">
        <v>40</v>
      </c>
      <c r="U5" s="15"/>
      <c r="V5" s="15"/>
      <c r="W5" s="15"/>
      <c r="X5" s="15"/>
      <c r="Y5" s="15"/>
      <c r="Z5" s="15"/>
      <c r="AA5" s="15"/>
    </row>
    <row r="6" spans="1:28" s="17" customFormat="1" ht="12" customHeight="1">
      <c r="A6" s="21" t="s">
        <v>32</v>
      </c>
      <c r="B6" s="17" t="s">
        <v>33</v>
      </c>
      <c r="C6" s="13">
        <v>2013</v>
      </c>
      <c r="D6" s="14" t="s">
        <v>80</v>
      </c>
      <c r="E6" s="14" t="s">
        <v>34</v>
      </c>
      <c r="F6" s="14" t="s">
        <v>35</v>
      </c>
      <c r="G6" s="13">
        <f>PI()*(0.0076/2)^2</f>
        <v>4.5364597917836615E-5</v>
      </c>
      <c r="H6" s="13">
        <v>1</v>
      </c>
      <c r="I6" s="13">
        <f t="shared" si="0"/>
        <v>4.5364597917836615E-9</v>
      </c>
      <c r="J6" s="14">
        <f t="shared" si="1"/>
        <v>1.1576388888888889E-5</v>
      </c>
      <c r="K6" s="14">
        <f>0.01667/(60*24)</f>
        <v>1.1576388888888889E-5</v>
      </c>
      <c r="L6" s="13">
        <f>29/24</f>
        <v>1.2083333333333333</v>
      </c>
      <c r="M6" s="13">
        <v>289</v>
      </c>
      <c r="N6" s="13">
        <v>0</v>
      </c>
      <c r="O6" s="13">
        <v>0</v>
      </c>
      <c r="P6" s="13">
        <v>0</v>
      </c>
      <c r="Q6" s="13">
        <v>0</v>
      </c>
      <c r="R6" s="13"/>
      <c r="S6" s="14" t="s">
        <v>36</v>
      </c>
      <c r="T6" s="14" t="s">
        <v>37</v>
      </c>
      <c r="U6" s="15"/>
      <c r="V6" s="15"/>
      <c r="W6" s="15"/>
      <c r="X6" s="15"/>
      <c r="Y6" s="15"/>
      <c r="Z6" s="15"/>
      <c r="AA6" s="15"/>
    </row>
    <row r="7" spans="1:28" s="17" customFormat="1" ht="12" customHeight="1">
      <c r="A7" s="21" t="s">
        <v>32</v>
      </c>
      <c r="B7" s="17" t="s">
        <v>33</v>
      </c>
      <c r="C7" s="13">
        <v>2013</v>
      </c>
      <c r="D7" s="14" t="s">
        <v>80</v>
      </c>
      <c r="E7" s="14" t="s">
        <v>34</v>
      </c>
      <c r="F7" s="14" t="s">
        <v>35</v>
      </c>
      <c r="G7" s="13">
        <f>PI()*(0.0238/2)^2</f>
        <v>4.4488093567485068E-4</v>
      </c>
      <c r="H7" s="13">
        <v>1</v>
      </c>
      <c r="I7" s="13">
        <f t="shared" si="0"/>
        <v>4.448809356748507E-8</v>
      </c>
      <c r="J7" s="14">
        <f t="shared" si="1"/>
        <v>1.1576388888888889E-5</v>
      </c>
      <c r="K7" s="14">
        <f>15/(60*24)</f>
        <v>1.0416666666666666E-2</v>
      </c>
      <c r="L7" s="13">
        <f>39.5/24</f>
        <v>1.6458333333333333</v>
      </c>
      <c r="M7" s="13">
        <v>289</v>
      </c>
      <c r="N7" s="13">
        <v>0</v>
      </c>
      <c r="O7" s="13">
        <v>0</v>
      </c>
      <c r="P7" s="13">
        <v>1</v>
      </c>
      <c r="Q7" s="13">
        <v>0</v>
      </c>
      <c r="R7" s="13"/>
      <c r="S7" s="14" t="s">
        <v>36</v>
      </c>
      <c r="T7" s="14" t="s">
        <v>41</v>
      </c>
      <c r="U7" s="15"/>
      <c r="V7" s="15"/>
      <c r="W7" s="15"/>
      <c r="X7" s="15"/>
      <c r="Y7" s="15"/>
      <c r="Z7" s="15"/>
      <c r="AA7" s="15"/>
      <c r="AB7" s="15"/>
    </row>
    <row r="8" spans="1:28" s="17" customFormat="1" ht="12" customHeight="1">
      <c r="A8" s="21" t="s">
        <v>32</v>
      </c>
      <c r="B8" s="17" t="s">
        <v>33</v>
      </c>
      <c r="C8" s="13">
        <v>2013</v>
      </c>
      <c r="D8" s="14" t="s">
        <v>80</v>
      </c>
      <c r="E8" s="14" t="s">
        <v>34</v>
      </c>
      <c r="F8" s="14" t="s">
        <v>35</v>
      </c>
      <c r="G8" s="13">
        <f>PI()*(0.0238/2)^2</f>
        <v>4.4488093567485068E-4</v>
      </c>
      <c r="H8" s="13">
        <v>1</v>
      </c>
      <c r="I8" s="13">
        <f t="shared" si="0"/>
        <v>4.448809356748507E-8</v>
      </c>
      <c r="J8" s="14">
        <f t="shared" si="1"/>
        <v>1.1576388888888889E-5</v>
      </c>
      <c r="K8" s="14">
        <f>0.01667/(60*24)</f>
        <v>1.1576388888888889E-5</v>
      </c>
      <c r="L8" s="13">
        <f>29/24</f>
        <v>1.2083333333333333</v>
      </c>
      <c r="M8" s="13">
        <v>289</v>
      </c>
      <c r="N8" s="13">
        <v>0</v>
      </c>
      <c r="O8" s="13">
        <v>0</v>
      </c>
      <c r="P8" s="13">
        <v>1</v>
      </c>
      <c r="Q8" s="13">
        <v>0</v>
      </c>
      <c r="R8" s="13"/>
      <c r="S8" s="14" t="s">
        <v>36</v>
      </c>
      <c r="T8" s="14" t="s">
        <v>42</v>
      </c>
      <c r="U8" s="15"/>
      <c r="V8" s="15"/>
      <c r="W8" s="15"/>
      <c r="X8" s="15"/>
      <c r="Y8" s="15"/>
      <c r="Z8" s="15"/>
      <c r="AA8" s="15"/>
      <c r="AB8" s="15"/>
    </row>
    <row r="9" spans="1:28" s="17" customFormat="1" ht="12" customHeight="1">
      <c r="A9" s="13" t="s">
        <v>44</v>
      </c>
      <c r="B9" s="14" t="s">
        <v>46</v>
      </c>
      <c r="C9" s="17">
        <v>2008</v>
      </c>
      <c r="D9" s="14" t="s">
        <v>128</v>
      </c>
      <c r="E9" s="14" t="s">
        <v>131</v>
      </c>
      <c r="F9" s="14" t="s">
        <v>132</v>
      </c>
      <c r="G9" s="13">
        <f>0.0325*0.0248</f>
        <v>8.0599999999999997E-4</v>
      </c>
      <c r="H9" s="13">
        <v>192</v>
      </c>
      <c r="I9" s="13">
        <f>(G9*H9)/10000</f>
        <v>1.5475200000000001E-5</v>
      </c>
      <c r="J9" s="13">
        <v>1</v>
      </c>
      <c r="K9" s="13">
        <v>324.28571428571428</v>
      </c>
      <c r="L9" s="13">
        <f>J9*H9</f>
        <v>192</v>
      </c>
      <c r="M9" s="13">
        <v>5478</v>
      </c>
      <c r="N9" s="13">
        <v>0</v>
      </c>
      <c r="O9" s="13">
        <v>0</v>
      </c>
      <c r="P9" s="13">
        <v>1</v>
      </c>
      <c r="Q9" s="13">
        <v>0</v>
      </c>
      <c r="R9" s="13"/>
      <c r="S9" s="14" t="s">
        <v>134</v>
      </c>
      <c r="T9" s="14" t="s">
        <v>250</v>
      </c>
      <c r="U9" s="15"/>
      <c r="V9" s="15"/>
      <c r="W9" s="15"/>
      <c r="X9" s="15"/>
      <c r="Y9" s="15"/>
      <c r="Z9" s="15"/>
      <c r="AA9" s="15"/>
      <c r="AB9" s="15"/>
    </row>
    <row r="10" spans="1:28" s="17" customFormat="1" ht="12" customHeight="1">
      <c r="A10" s="13" t="s">
        <v>44</v>
      </c>
      <c r="B10" s="14" t="s">
        <v>46</v>
      </c>
      <c r="C10" s="17">
        <v>2008</v>
      </c>
      <c r="D10" s="14" t="s">
        <v>128</v>
      </c>
      <c r="E10" s="14" t="s">
        <v>131</v>
      </c>
      <c r="F10" s="14" t="s">
        <v>132</v>
      </c>
      <c r="G10" s="13">
        <f>0.0325*0.0248</f>
        <v>8.0599999999999997E-4</v>
      </c>
      <c r="H10" s="13">
        <v>164</v>
      </c>
      <c r="I10" s="13">
        <f>(G10*H10)/10000</f>
        <v>1.32184E-5</v>
      </c>
      <c r="J10" s="13">
        <f>AVERAGE(25,31)</f>
        <v>28</v>
      </c>
      <c r="K10" s="13">
        <v>324.28571428571428</v>
      </c>
      <c r="L10" s="13">
        <f>H10*J10</f>
        <v>4592</v>
      </c>
      <c r="M10" s="13">
        <v>5478</v>
      </c>
      <c r="N10" s="13">
        <v>0</v>
      </c>
      <c r="O10" s="13">
        <v>0</v>
      </c>
      <c r="P10" s="13">
        <v>1</v>
      </c>
      <c r="Q10" s="13">
        <v>0</v>
      </c>
      <c r="R10" s="13"/>
      <c r="S10" s="14" t="s">
        <v>113</v>
      </c>
      <c r="T10" s="14" t="s">
        <v>133</v>
      </c>
      <c r="U10" s="15"/>
      <c r="V10" s="15"/>
      <c r="W10" s="15"/>
      <c r="X10" s="15"/>
      <c r="Y10" s="15"/>
      <c r="Z10" s="15"/>
      <c r="AA10" s="15"/>
      <c r="AB10" s="15"/>
    </row>
    <row r="11" spans="1:28" s="17" customFormat="1" ht="12" customHeight="1">
      <c r="A11" s="13" t="s">
        <v>44</v>
      </c>
      <c r="B11" s="13" t="s">
        <v>47</v>
      </c>
      <c r="C11" s="13">
        <v>2008</v>
      </c>
      <c r="D11" s="17" t="s">
        <v>128</v>
      </c>
      <c r="E11" s="14" t="s">
        <v>60</v>
      </c>
      <c r="F11" s="14" t="s">
        <v>61</v>
      </c>
      <c r="G11" s="13">
        <f>(AVERAGE(1,1)/(1))*(10000)</f>
        <v>10000</v>
      </c>
      <c r="H11" s="13">
        <v>1</v>
      </c>
      <c r="I11" s="13">
        <f>(G11*H11)/10000</f>
        <v>1</v>
      </c>
      <c r="J11" s="13">
        <f>2/24</f>
        <v>8.3333333333333329E-2</v>
      </c>
      <c r="K11" s="13">
        <f>365</f>
        <v>365</v>
      </c>
      <c r="L11" s="13">
        <v>1</v>
      </c>
      <c r="M11" s="13">
        <f>365*2</f>
        <v>730</v>
      </c>
      <c r="N11" s="13">
        <v>2</v>
      </c>
      <c r="O11" s="13">
        <v>3</v>
      </c>
      <c r="P11" s="13">
        <v>1</v>
      </c>
      <c r="Q11" s="13">
        <v>1</v>
      </c>
      <c r="R11" s="17" t="s">
        <v>178</v>
      </c>
      <c r="S11" s="14" t="s">
        <v>179</v>
      </c>
      <c r="T11" s="17" t="s">
        <v>62</v>
      </c>
      <c r="U11" s="15"/>
      <c r="V11" s="15"/>
      <c r="W11" s="15"/>
      <c r="X11" s="15"/>
      <c r="Y11" s="15"/>
      <c r="Z11" s="15"/>
      <c r="AA11" s="15"/>
    </row>
    <row r="12" spans="1:28" s="17" customFormat="1" ht="12" customHeight="1">
      <c r="A12" s="13" t="s">
        <v>44</v>
      </c>
      <c r="B12" s="13" t="s">
        <v>47</v>
      </c>
      <c r="C12" s="13">
        <v>2008</v>
      </c>
      <c r="D12" s="17" t="s">
        <v>128</v>
      </c>
      <c r="E12" s="14" t="s">
        <v>60</v>
      </c>
      <c r="F12" s="14" t="s">
        <v>61</v>
      </c>
      <c r="G12" s="13">
        <f>(AVERAGE(1,2)/6)*(10000)</f>
        <v>2500</v>
      </c>
      <c r="H12" s="13">
        <v>1.5</v>
      </c>
      <c r="I12" s="13">
        <f t="shared" ref="I12:I30" si="2">(G12*H12)/10000</f>
        <v>0.375</v>
      </c>
      <c r="J12" s="13">
        <f t="shared" ref="J12:J24" si="3">2/24</f>
        <v>8.3333333333333329E-2</v>
      </c>
      <c r="K12" s="13">
        <f>365</f>
        <v>365</v>
      </c>
      <c r="L12" s="13">
        <v>1</v>
      </c>
      <c r="M12" s="13">
        <f t="shared" ref="M12:M24" si="4">365*2</f>
        <v>730</v>
      </c>
      <c r="N12" s="13">
        <v>2</v>
      </c>
      <c r="O12" s="13">
        <v>3</v>
      </c>
      <c r="P12" s="13">
        <v>1</v>
      </c>
      <c r="Q12" s="13">
        <v>1</v>
      </c>
      <c r="R12" s="17" t="s">
        <v>178</v>
      </c>
      <c r="S12" s="14" t="s">
        <v>179</v>
      </c>
      <c r="T12" s="17" t="s">
        <v>63</v>
      </c>
      <c r="U12" s="15"/>
      <c r="V12" s="15"/>
      <c r="W12" s="15"/>
      <c r="X12" s="15"/>
      <c r="Y12" s="15"/>
      <c r="Z12" s="15"/>
      <c r="AA12" s="15"/>
    </row>
    <row r="13" spans="1:28" s="17" customFormat="1" ht="12" customHeight="1">
      <c r="A13" s="13" t="s">
        <v>44</v>
      </c>
      <c r="B13" s="13" t="s">
        <v>47</v>
      </c>
      <c r="C13" s="13">
        <v>2008</v>
      </c>
      <c r="D13" s="17" t="s">
        <v>128</v>
      </c>
      <c r="E13" s="14" t="s">
        <v>60</v>
      </c>
      <c r="F13" s="14" t="s">
        <v>61</v>
      </c>
      <c r="G13" s="13">
        <f>(AVERAGE(2,3)/6)*(10000)</f>
        <v>4166.666666666667</v>
      </c>
      <c r="H13" s="13">
        <v>2.5</v>
      </c>
      <c r="I13" s="13">
        <f t="shared" si="2"/>
        <v>1.0416666666666667</v>
      </c>
      <c r="J13" s="13">
        <f t="shared" si="3"/>
        <v>8.3333333333333329E-2</v>
      </c>
      <c r="K13" s="13">
        <f>365</f>
        <v>365</v>
      </c>
      <c r="L13" s="13">
        <v>1</v>
      </c>
      <c r="M13" s="13">
        <f t="shared" si="4"/>
        <v>730</v>
      </c>
      <c r="N13" s="13">
        <v>2</v>
      </c>
      <c r="O13" s="13">
        <v>3</v>
      </c>
      <c r="P13" s="13">
        <v>1</v>
      </c>
      <c r="Q13" s="13">
        <v>1</v>
      </c>
      <c r="R13" s="17" t="s">
        <v>178</v>
      </c>
      <c r="S13" s="14" t="s">
        <v>179</v>
      </c>
      <c r="T13" s="17" t="s">
        <v>64</v>
      </c>
      <c r="U13" s="15"/>
      <c r="V13" s="15"/>
      <c r="W13" s="15"/>
      <c r="X13" s="15"/>
      <c r="Y13" s="15"/>
      <c r="Z13" s="15"/>
      <c r="AA13" s="15"/>
    </row>
    <row r="14" spans="1:28" s="17" customFormat="1" ht="12" customHeight="1">
      <c r="A14" s="13" t="s">
        <v>44</v>
      </c>
      <c r="B14" s="13" t="s">
        <v>47</v>
      </c>
      <c r="C14" s="13">
        <v>2008</v>
      </c>
      <c r="D14" s="17" t="s">
        <v>128</v>
      </c>
      <c r="E14" s="14" t="s">
        <v>60</v>
      </c>
      <c r="F14" s="14" t="s">
        <v>61</v>
      </c>
      <c r="G14" s="13">
        <f>(AVERAGE(2,4)/2)*(10000)</f>
        <v>15000</v>
      </c>
      <c r="H14" s="13">
        <v>3</v>
      </c>
      <c r="I14" s="13">
        <f t="shared" si="2"/>
        <v>4.5</v>
      </c>
      <c r="J14" s="13">
        <f t="shared" si="3"/>
        <v>8.3333333333333329E-2</v>
      </c>
      <c r="K14" s="13">
        <f>365</f>
        <v>365</v>
      </c>
      <c r="L14" s="13">
        <v>1</v>
      </c>
      <c r="M14" s="13">
        <f t="shared" si="4"/>
        <v>730</v>
      </c>
      <c r="N14" s="13">
        <v>2</v>
      </c>
      <c r="O14" s="13">
        <v>3</v>
      </c>
      <c r="P14" s="13">
        <v>1</v>
      </c>
      <c r="Q14" s="13">
        <v>1</v>
      </c>
      <c r="R14" s="17" t="s">
        <v>178</v>
      </c>
      <c r="S14" s="14" t="s">
        <v>179</v>
      </c>
      <c r="T14" s="17" t="s">
        <v>65</v>
      </c>
      <c r="U14" s="15"/>
      <c r="V14" s="15"/>
      <c r="W14" s="15"/>
      <c r="X14" s="15"/>
      <c r="Y14" s="15"/>
      <c r="Z14" s="15"/>
      <c r="AA14" s="15"/>
    </row>
    <row r="15" spans="1:28" s="17" customFormat="1" ht="12" customHeight="1">
      <c r="A15" s="13" t="s">
        <v>44</v>
      </c>
      <c r="B15" s="13" t="s">
        <v>47</v>
      </c>
      <c r="C15" s="13">
        <v>2008</v>
      </c>
      <c r="D15" s="17" t="s">
        <v>128</v>
      </c>
      <c r="E15" s="14" t="s">
        <v>60</v>
      </c>
      <c r="F15" s="14" t="s">
        <v>61</v>
      </c>
      <c r="G15" s="13">
        <f>(AVERAGE(1,1)/1)*(10000)</f>
        <v>10000</v>
      </c>
      <c r="H15" s="13">
        <v>1</v>
      </c>
      <c r="I15" s="13">
        <f t="shared" si="2"/>
        <v>1</v>
      </c>
      <c r="J15" s="13">
        <f t="shared" si="3"/>
        <v>8.3333333333333329E-2</v>
      </c>
      <c r="K15" s="13">
        <f>365</f>
        <v>365</v>
      </c>
      <c r="L15" s="13">
        <v>1</v>
      </c>
      <c r="M15" s="13">
        <f t="shared" si="4"/>
        <v>730</v>
      </c>
      <c r="N15" s="13">
        <v>2</v>
      </c>
      <c r="O15" s="13">
        <v>3</v>
      </c>
      <c r="P15" s="13">
        <v>1</v>
      </c>
      <c r="Q15" s="13">
        <v>1</v>
      </c>
      <c r="R15" s="17" t="s">
        <v>178</v>
      </c>
      <c r="S15" s="14" t="s">
        <v>179</v>
      </c>
      <c r="T15" s="17" t="s">
        <v>66</v>
      </c>
      <c r="U15" s="15"/>
      <c r="V15" s="15"/>
      <c r="W15" s="15"/>
      <c r="X15" s="15"/>
      <c r="Y15" s="15"/>
      <c r="Z15" s="15"/>
      <c r="AA15" s="15"/>
    </row>
    <row r="16" spans="1:28" s="17" customFormat="1" ht="12" customHeight="1">
      <c r="A16" s="13" t="s">
        <v>44</v>
      </c>
      <c r="B16" s="13" t="s">
        <v>47</v>
      </c>
      <c r="C16" s="13">
        <v>2008</v>
      </c>
      <c r="D16" s="17" t="s">
        <v>128</v>
      </c>
      <c r="E16" s="14" t="s">
        <v>60</v>
      </c>
      <c r="F16" s="14" t="s">
        <v>61</v>
      </c>
      <c r="G16" s="13">
        <f>(AVERAGE(7,7)/1)*(10000)</f>
        <v>70000</v>
      </c>
      <c r="H16" s="13">
        <v>7</v>
      </c>
      <c r="I16" s="13">
        <f t="shared" si="2"/>
        <v>49</v>
      </c>
      <c r="J16" s="13">
        <f t="shared" si="3"/>
        <v>8.3333333333333329E-2</v>
      </c>
      <c r="K16" s="13">
        <f>365</f>
        <v>365</v>
      </c>
      <c r="L16" s="13">
        <v>1</v>
      </c>
      <c r="M16" s="13">
        <f t="shared" si="4"/>
        <v>730</v>
      </c>
      <c r="N16" s="13">
        <v>2</v>
      </c>
      <c r="O16" s="13">
        <v>3</v>
      </c>
      <c r="P16" s="13">
        <v>1</v>
      </c>
      <c r="Q16" s="13">
        <v>1</v>
      </c>
      <c r="R16" s="17" t="s">
        <v>178</v>
      </c>
      <c r="S16" s="14" t="s">
        <v>179</v>
      </c>
      <c r="T16" s="17" t="s">
        <v>67</v>
      </c>
      <c r="U16" s="15"/>
      <c r="V16" s="15"/>
      <c r="W16" s="15"/>
      <c r="X16" s="15"/>
      <c r="Y16" s="15"/>
      <c r="Z16" s="15"/>
      <c r="AA16" s="15"/>
    </row>
    <row r="17" spans="1:28" s="17" customFormat="1" ht="12" customHeight="1">
      <c r="A17" s="13" t="s">
        <v>44</v>
      </c>
      <c r="B17" s="13" t="s">
        <v>47</v>
      </c>
      <c r="C17" s="13">
        <v>2008</v>
      </c>
      <c r="D17" s="17" t="s">
        <v>128</v>
      </c>
      <c r="E17" s="14" t="s">
        <v>60</v>
      </c>
      <c r="F17" s="14" t="s">
        <v>61</v>
      </c>
      <c r="G17" s="13">
        <f>(AVERAGE(1,1)/17)*(10000)</f>
        <v>588.23529411764707</v>
      </c>
      <c r="H17" s="13">
        <v>1</v>
      </c>
      <c r="I17" s="13">
        <f t="shared" si="2"/>
        <v>5.8823529411764705E-2</v>
      </c>
      <c r="J17" s="13">
        <f t="shared" si="3"/>
        <v>8.3333333333333329E-2</v>
      </c>
      <c r="K17" s="13">
        <f>365</f>
        <v>365</v>
      </c>
      <c r="L17" s="13">
        <v>1</v>
      </c>
      <c r="M17" s="13">
        <f t="shared" si="4"/>
        <v>730</v>
      </c>
      <c r="N17" s="13">
        <v>2</v>
      </c>
      <c r="O17" s="13">
        <v>3</v>
      </c>
      <c r="P17" s="13">
        <v>1</v>
      </c>
      <c r="Q17" s="13">
        <v>1</v>
      </c>
      <c r="R17" s="17" t="s">
        <v>178</v>
      </c>
      <c r="S17" s="14" t="s">
        <v>179</v>
      </c>
      <c r="T17" s="17" t="s">
        <v>68</v>
      </c>
      <c r="U17" s="15"/>
      <c r="V17" s="15"/>
      <c r="W17" s="15"/>
      <c r="X17" s="15"/>
      <c r="Y17" s="15"/>
      <c r="Z17" s="15"/>
      <c r="AA17" s="15"/>
    </row>
    <row r="18" spans="1:28" s="17" customFormat="1" ht="12" customHeight="1">
      <c r="A18" s="13" t="s">
        <v>44</v>
      </c>
      <c r="B18" s="13" t="s">
        <v>47</v>
      </c>
      <c r="C18" s="13">
        <v>2008</v>
      </c>
      <c r="D18" s="17" t="s">
        <v>128</v>
      </c>
      <c r="E18" s="14" t="s">
        <v>60</v>
      </c>
      <c r="F18" s="14" t="s">
        <v>61</v>
      </c>
      <c r="G18" s="13">
        <f>(AVERAGE(10,9)/9)*(10000)</f>
        <v>10555.555555555557</v>
      </c>
      <c r="H18" s="13">
        <v>9.5</v>
      </c>
      <c r="I18" s="13">
        <f t="shared" si="2"/>
        <v>10.027777777777779</v>
      </c>
      <c r="J18" s="13">
        <f t="shared" si="3"/>
        <v>8.3333333333333329E-2</v>
      </c>
      <c r="K18" s="13">
        <f>365</f>
        <v>365</v>
      </c>
      <c r="L18" s="13">
        <v>1</v>
      </c>
      <c r="M18" s="13">
        <f t="shared" si="4"/>
        <v>730</v>
      </c>
      <c r="N18" s="13">
        <v>2</v>
      </c>
      <c r="O18" s="13">
        <v>3</v>
      </c>
      <c r="P18" s="13">
        <v>1</v>
      </c>
      <c r="Q18" s="13">
        <v>1</v>
      </c>
      <c r="R18" s="17" t="s">
        <v>178</v>
      </c>
      <c r="S18" s="14" t="s">
        <v>179</v>
      </c>
      <c r="T18" s="17" t="s">
        <v>69</v>
      </c>
      <c r="U18" s="15"/>
      <c r="V18" s="15"/>
      <c r="W18" s="15"/>
      <c r="X18" s="15"/>
      <c r="Y18" s="15"/>
      <c r="Z18" s="15"/>
      <c r="AA18" s="15"/>
    </row>
    <row r="19" spans="1:28" s="17" customFormat="1" ht="12" customHeight="1">
      <c r="A19" s="13" t="s">
        <v>44</v>
      </c>
      <c r="B19" s="13" t="s">
        <v>47</v>
      </c>
      <c r="C19" s="13">
        <v>2008</v>
      </c>
      <c r="D19" s="17" t="s">
        <v>128</v>
      </c>
      <c r="E19" s="14" t="s">
        <v>60</v>
      </c>
      <c r="F19" s="14" t="s">
        <v>61</v>
      </c>
      <c r="G19" s="13">
        <f>(AVERAGE(10,10)/8)*(10000)</f>
        <v>12500</v>
      </c>
      <c r="H19" s="13">
        <v>10</v>
      </c>
      <c r="I19" s="13">
        <f t="shared" si="2"/>
        <v>12.5</v>
      </c>
      <c r="J19" s="13">
        <f t="shared" si="3"/>
        <v>8.3333333333333329E-2</v>
      </c>
      <c r="K19" s="13">
        <f>365</f>
        <v>365</v>
      </c>
      <c r="L19" s="13">
        <v>1</v>
      </c>
      <c r="M19" s="13">
        <f t="shared" si="4"/>
        <v>730</v>
      </c>
      <c r="N19" s="13">
        <v>2</v>
      </c>
      <c r="O19" s="13">
        <v>3</v>
      </c>
      <c r="P19" s="13">
        <v>1</v>
      </c>
      <c r="Q19" s="13">
        <v>1</v>
      </c>
      <c r="R19" s="17" t="s">
        <v>178</v>
      </c>
      <c r="S19" s="14" t="s">
        <v>179</v>
      </c>
      <c r="T19" s="17" t="s">
        <v>70</v>
      </c>
      <c r="U19" s="15"/>
      <c r="V19" s="15"/>
      <c r="W19" s="15"/>
      <c r="X19" s="15"/>
      <c r="Y19" s="15"/>
      <c r="Z19" s="15"/>
      <c r="AA19" s="15"/>
    </row>
    <row r="20" spans="1:28" s="17" customFormat="1" ht="12" customHeight="1">
      <c r="A20" s="13" t="s">
        <v>44</v>
      </c>
      <c r="B20" s="13" t="s">
        <v>47</v>
      </c>
      <c r="C20" s="13">
        <v>2008</v>
      </c>
      <c r="D20" s="17" t="s">
        <v>128</v>
      </c>
      <c r="E20" s="14" t="s">
        <v>60</v>
      </c>
      <c r="F20" s="14" t="s">
        <v>61</v>
      </c>
      <c r="G20" s="13">
        <f>(AVERAGE(10,11)/1)*(10000)</f>
        <v>105000</v>
      </c>
      <c r="H20" s="13">
        <v>10.5</v>
      </c>
      <c r="I20" s="13">
        <f t="shared" si="2"/>
        <v>110.25</v>
      </c>
      <c r="J20" s="13">
        <f t="shared" si="3"/>
        <v>8.3333333333333329E-2</v>
      </c>
      <c r="K20" s="13">
        <f>365</f>
        <v>365</v>
      </c>
      <c r="L20" s="13">
        <v>1</v>
      </c>
      <c r="M20" s="13">
        <f t="shared" si="4"/>
        <v>730</v>
      </c>
      <c r="N20" s="13">
        <v>2</v>
      </c>
      <c r="O20" s="13">
        <v>3</v>
      </c>
      <c r="P20" s="13">
        <v>1</v>
      </c>
      <c r="Q20" s="13">
        <v>1</v>
      </c>
      <c r="R20" s="17" t="s">
        <v>178</v>
      </c>
      <c r="S20" s="14" t="s">
        <v>179</v>
      </c>
      <c r="T20" s="17" t="s">
        <v>71</v>
      </c>
      <c r="U20" s="15"/>
      <c r="V20" s="15"/>
      <c r="W20" s="15"/>
      <c r="X20" s="15"/>
      <c r="Y20" s="15"/>
      <c r="Z20" s="15"/>
      <c r="AA20" s="15"/>
    </row>
    <row r="21" spans="1:28" s="17" customFormat="1" ht="12" customHeight="1">
      <c r="A21" s="13" t="s">
        <v>44</v>
      </c>
      <c r="B21" s="13" t="s">
        <v>47</v>
      </c>
      <c r="C21" s="13">
        <v>2008</v>
      </c>
      <c r="D21" s="17" t="s">
        <v>128</v>
      </c>
      <c r="E21" s="14" t="s">
        <v>60</v>
      </c>
      <c r="F21" s="14" t="s">
        <v>61</v>
      </c>
      <c r="G21" s="13">
        <f>(AVERAGE(1,1)/5)*(10000)</f>
        <v>2000</v>
      </c>
      <c r="H21" s="13">
        <v>1</v>
      </c>
      <c r="I21" s="13">
        <f t="shared" si="2"/>
        <v>0.2</v>
      </c>
      <c r="J21" s="13">
        <f t="shared" si="3"/>
        <v>8.3333333333333329E-2</v>
      </c>
      <c r="K21" s="13">
        <f>365</f>
        <v>365</v>
      </c>
      <c r="L21" s="13">
        <v>1</v>
      </c>
      <c r="M21" s="13">
        <f t="shared" si="4"/>
        <v>730</v>
      </c>
      <c r="N21" s="13">
        <v>2</v>
      </c>
      <c r="O21" s="13">
        <v>3</v>
      </c>
      <c r="P21" s="13">
        <v>1</v>
      </c>
      <c r="Q21" s="13">
        <v>1</v>
      </c>
      <c r="R21" s="17" t="s">
        <v>178</v>
      </c>
      <c r="S21" s="14" t="s">
        <v>179</v>
      </c>
      <c r="T21" s="17" t="s">
        <v>72</v>
      </c>
      <c r="U21" s="15"/>
      <c r="V21" s="15"/>
      <c r="W21" s="15"/>
      <c r="X21" s="15"/>
      <c r="Y21" s="15"/>
      <c r="Z21" s="15"/>
      <c r="AA21" s="15"/>
    </row>
    <row r="22" spans="1:28" s="17" customFormat="1" ht="12" customHeight="1">
      <c r="A22" s="13" t="s">
        <v>44</v>
      </c>
      <c r="B22" s="13" t="s">
        <v>47</v>
      </c>
      <c r="C22" s="13">
        <v>2008</v>
      </c>
      <c r="D22" s="17" t="s">
        <v>128</v>
      </c>
      <c r="E22" s="14" t="s">
        <v>60</v>
      </c>
      <c r="F22" s="14" t="s">
        <v>61</v>
      </c>
      <c r="G22" s="13">
        <f>(AVERAGE(12,14)/9)*(10000)</f>
        <v>14444.444444444443</v>
      </c>
      <c r="H22" s="13">
        <v>13</v>
      </c>
      <c r="I22" s="13">
        <f t="shared" si="2"/>
        <v>18.777777777777775</v>
      </c>
      <c r="J22" s="13">
        <f t="shared" si="3"/>
        <v>8.3333333333333329E-2</v>
      </c>
      <c r="K22" s="13">
        <f>365</f>
        <v>365</v>
      </c>
      <c r="L22" s="13">
        <v>1</v>
      </c>
      <c r="M22" s="13">
        <f t="shared" si="4"/>
        <v>730</v>
      </c>
      <c r="N22" s="13">
        <v>2</v>
      </c>
      <c r="O22" s="13">
        <v>3</v>
      </c>
      <c r="P22" s="13">
        <v>1</v>
      </c>
      <c r="Q22" s="13">
        <v>1</v>
      </c>
      <c r="R22" s="17" t="s">
        <v>178</v>
      </c>
      <c r="S22" s="14" t="s">
        <v>179</v>
      </c>
      <c r="T22" s="17" t="s">
        <v>73</v>
      </c>
      <c r="U22" s="15"/>
      <c r="V22" s="15"/>
      <c r="W22" s="15"/>
      <c r="X22" s="15"/>
      <c r="Y22" s="15"/>
      <c r="Z22" s="15"/>
      <c r="AA22" s="15"/>
    </row>
    <row r="23" spans="1:28" s="17" customFormat="1" ht="12" customHeight="1">
      <c r="A23" s="13" t="s">
        <v>44</v>
      </c>
      <c r="B23" s="13" t="s">
        <v>47</v>
      </c>
      <c r="C23" s="13">
        <v>2008</v>
      </c>
      <c r="D23" s="17" t="s">
        <v>128</v>
      </c>
      <c r="E23" s="14" t="s">
        <v>60</v>
      </c>
      <c r="F23" s="14" t="s">
        <v>61</v>
      </c>
      <c r="G23" s="13">
        <f>(AVERAGE(15,14)/9)*(10000)</f>
        <v>16111.111111111111</v>
      </c>
      <c r="H23" s="13">
        <v>14.5</v>
      </c>
      <c r="I23" s="13">
        <f t="shared" si="2"/>
        <v>23.361111111111111</v>
      </c>
      <c r="J23" s="13">
        <f t="shared" si="3"/>
        <v>8.3333333333333329E-2</v>
      </c>
      <c r="K23" s="13">
        <f>365</f>
        <v>365</v>
      </c>
      <c r="L23" s="13">
        <v>1</v>
      </c>
      <c r="M23" s="13">
        <f t="shared" si="4"/>
        <v>730</v>
      </c>
      <c r="N23" s="13">
        <v>2</v>
      </c>
      <c r="O23" s="13">
        <v>3</v>
      </c>
      <c r="P23" s="13">
        <v>1</v>
      </c>
      <c r="Q23" s="13">
        <v>1</v>
      </c>
      <c r="R23" s="17" t="s">
        <v>178</v>
      </c>
      <c r="S23" s="14" t="s">
        <v>179</v>
      </c>
      <c r="T23" s="17" t="s">
        <v>74</v>
      </c>
      <c r="U23" s="15"/>
      <c r="V23" s="15"/>
      <c r="W23" s="15"/>
      <c r="X23" s="15"/>
      <c r="Y23" s="15"/>
      <c r="Z23" s="15"/>
      <c r="AA23" s="15"/>
    </row>
    <row r="24" spans="1:28" s="17" customFormat="1" ht="12" customHeight="1">
      <c r="A24" s="13" t="s">
        <v>44</v>
      </c>
      <c r="B24" s="13" t="s">
        <v>47</v>
      </c>
      <c r="C24" s="13">
        <v>2008</v>
      </c>
      <c r="D24" s="17" t="s">
        <v>128</v>
      </c>
      <c r="E24" s="14" t="s">
        <v>60</v>
      </c>
      <c r="F24" s="14" t="s">
        <v>61</v>
      </c>
      <c r="G24" s="13">
        <f>(AVERAGE(19,19)/44)*(10000)</f>
        <v>4318.181818181818</v>
      </c>
      <c r="H24" s="13">
        <v>19</v>
      </c>
      <c r="I24" s="13">
        <f t="shared" si="2"/>
        <v>8.204545454545455</v>
      </c>
      <c r="J24" s="13">
        <f t="shared" si="3"/>
        <v>8.3333333333333329E-2</v>
      </c>
      <c r="K24" s="13">
        <f>365</f>
        <v>365</v>
      </c>
      <c r="L24" s="13">
        <v>1</v>
      </c>
      <c r="M24" s="13">
        <f t="shared" si="4"/>
        <v>730</v>
      </c>
      <c r="N24" s="13">
        <v>2</v>
      </c>
      <c r="O24" s="13">
        <v>3</v>
      </c>
      <c r="P24" s="13">
        <v>1</v>
      </c>
      <c r="Q24" s="13">
        <v>1</v>
      </c>
      <c r="R24" s="17" t="s">
        <v>178</v>
      </c>
      <c r="S24" s="14" t="s">
        <v>179</v>
      </c>
      <c r="T24" s="17" t="s">
        <v>75</v>
      </c>
      <c r="U24" s="15"/>
      <c r="V24" s="15"/>
      <c r="W24" s="15"/>
      <c r="X24" s="15"/>
      <c r="Y24" s="15"/>
      <c r="Z24" s="15"/>
      <c r="AA24" s="15"/>
    </row>
    <row r="25" spans="1:28" ht="12" customHeight="1">
      <c r="A25" s="14" t="s">
        <v>49</v>
      </c>
      <c r="B25" s="14" t="s">
        <v>120</v>
      </c>
      <c r="C25" s="13">
        <v>2013</v>
      </c>
      <c r="D25" s="13" t="s">
        <v>128</v>
      </c>
      <c r="E25" s="14" t="s">
        <v>50</v>
      </c>
      <c r="F25" s="14" t="s">
        <v>54</v>
      </c>
      <c r="G25" s="13">
        <f>4*4</f>
        <v>16</v>
      </c>
      <c r="H25" s="13">
        <v>59</v>
      </c>
      <c r="I25" s="13">
        <f t="shared" si="2"/>
        <v>9.4399999999999998E-2</v>
      </c>
      <c r="J25" s="13">
        <f>30/(60*24)</f>
        <v>2.0833333333333332E-2</v>
      </c>
      <c r="K25" s="13">
        <f>12/24</f>
        <v>0.5</v>
      </c>
      <c r="L25" s="13">
        <f>J25*2</f>
        <v>4.1666666666666664E-2</v>
      </c>
      <c r="M25" s="13">
        <v>272</v>
      </c>
      <c r="N25" s="13">
        <v>3</v>
      </c>
      <c r="O25" s="13">
        <v>2</v>
      </c>
      <c r="P25" s="13">
        <v>0</v>
      </c>
      <c r="Q25" s="13">
        <v>2</v>
      </c>
      <c r="R25" s="14" t="s">
        <v>48</v>
      </c>
      <c r="S25" s="14" t="s">
        <v>52</v>
      </c>
      <c r="T25" s="14" t="s">
        <v>90</v>
      </c>
      <c r="U25" s="5"/>
      <c r="V25" s="5"/>
      <c r="W25" s="5"/>
      <c r="X25" s="5"/>
      <c r="Y25" s="5"/>
      <c r="Z25" s="5"/>
      <c r="AA25" s="5"/>
      <c r="AB25" s="5"/>
    </row>
    <row r="26" spans="1:28" ht="12" customHeight="1">
      <c r="A26" s="14" t="s">
        <v>49</v>
      </c>
      <c r="B26" s="14" t="s">
        <v>120</v>
      </c>
      <c r="C26" s="13">
        <v>2013</v>
      </c>
      <c r="D26" s="14" t="s">
        <v>128</v>
      </c>
      <c r="E26" s="14" t="s">
        <v>51</v>
      </c>
      <c r="F26" s="14" t="s">
        <v>54</v>
      </c>
      <c r="G26" s="13">
        <f>4*4</f>
        <v>16</v>
      </c>
      <c r="H26" s="13">
        <v>8</v>
      </c>
      <c r="I26" s="13">
        <f t="shared" si="2"/>
        <v>1.2800000000000001E-2</v>
      </c>
      <c r="J26" s="13">
        <f>30/(60*24)</f>
        <v>2.0833333333333332E-2</v>
      </c>
      <c r="K26" s="13">
        <f>12/24</f>
        <v>0.5</v>
      </c>
      <c r="L26" s="13">
        <f>J26*2</f>
        <v>4.1666666666666664E-2</v>
      </c>
      <c r="M26" s="13">
        <v>272</v>
      </c>
      <c r="N26" s="13">
        <v>3</v>
      </c>
      <c r="O26" s="13">
        <v>2</v>
      </c>
      <c r="P26" s="13">
        <v>0</v>
      </c>
      <c r="Q26" s="13">
        <v>2</v>
      </c>
      <c r="R26" s="14" t="s">
        <v>48</v>
      </c>
      <c r="S26" s="14" t="s">
        <v>52</v>
      </c>
      <c r="T26" s="14" t="s">
        <v>91</v>
      </c>
      <c r="U26" s="5"/>
      <c r="V26" s="5"/>
      <c r="W26" s="5"/>
      <c r="X26" s="5"/>
      <c r="Y26" s="5"/>
      <c r="Z26" s="5"/>
      <c r="AA26" s="5"/>
      <c r="AB26" s="5"/>
    </row>
    <row r="27" spans="1:28" ht="12" customHeight="1">
      <c r="A27" s="14" t="s">
        <v>49</v>
      </c>
      <c r="B27" s="14" t="s">
        <v>120</v>
      </c>
      <c r="C27" s="13">
        <v>2013</v>
      </c>
      <c r="D27" s="14" t="s">
        <v>80</v>
      </c>
      <c r="E27" s="14" t="s">
        <v>50</v>
      </c>
      <c r="F27" s="14" t="s">
        <v>54</v>
      </c>
      <c r="G27" s="13">
        <f>PI()*(0.1735/2)^2</f>
        <v>2.3642251864130836E-2</v>
      </c>
      <c r="H27" s="13">
        <f>10*6</f>
        <v>60</v>
      </c>
      <c r="I27" s="13">
        <f t="shared" si="2"/>
        <v>1.4185351118478501E-4</v>
      </c>
      <c r="J27" s="13">
        <f>0.01667/(60*24)</f>
        <v>1.1576388888888889E-5</v>
      </c>
      <c r="K27" s="13">
        <f>15/(60*24)</f>
        <v>1.0416666666666666E-2</v>
      </c>
      <c r="L27" s="13">
        <f>J27*11808</f>
        <v>0.13669400000000001</v>
      </c>
      <c r="M27" s="13">
        <v>152</v>
      </c>
      <c r="N27" s="13">
        <v>0</v>
      </c>
      <c r="O27" s="13">
        <v>2</v>
      </c>
      <c r="P27" s="13">
        <v>0</v>
      </c>
      <c r="Q27" s="13">
        <v>0</v>
      </c>
      <c r="R27" s="14" t="s">
        <v>48</v>
      </c>
      <c r="S27" s="14" t="s">
        <v>53</v>
      </c>
      <c r="T27" s="14" t="s">
        <v>89</v>
      </c>
      <c r="U27" s="5"/>
      <c r="V27" s="5"/>
      <c r="W27" s="5"/>
      <c r="X27" s="5"/>
      <c r="Y27" s="5"/>
      <c r="Z27" s="5"/>
      <c r="AA27" s="5"/>
      <c r="AB27" s="5"/>
    </row>
    <row r="28" spans="1:28" ht="12" customHeight="1">
      <c r="A28" s="14" t="s">
        <v>49</v>
      </c>
      <c r="B28" s="14" t="s">
        <v>120</v>
      </c>
      <c r="C28" s="13">
        <v>2013</v>
      </c>
      <c r="D28" s="13" t="s">
        <v>128</v>
      </c>
      <c r="E28" s="14" t="s">
        <v>50</v>
      </c>
      <c r="F28" s="14" t="s">
        <v>54</v>
      </c>
      <c r="G28" s="13">
        <f>2*20</f>
        <v>40</v>
      </c>
      <c r="H28" s="13">
        <v>59</v>
      </c>
      <c r="I28" s="13">
        <f t="shared" si="2"/>
        <v>0.23599999999999999</v>
      </c>
      <c r="J28" s="13">
        <f>1/(60*24)</f>
        <v>6.9444444444444447E-4</v>
      </c>
      <c r="K28" s="13">
        <v>1</v>
      </c>
      <c r="L28" s="13">
        <f>J28*H28</f>
        <v>4.0972222222222222E-2</v>
      </c>
      <c r="M28" s="13">
        <v>272</v>
      </c>
      <c r="N28" s="13">
        <v>1</v>
      </c>
      <c r="O28" s="13">
        <v>2</v>
      </c>
      <c r="P28" s="13">
        <v>0</v>
      </c>
      <c r="Q28" s="13">
        <v>2</v>
      </c>
      <c r="R28" s="14" t="s">
        <v>48</v>
      </c>
      <c r="S28" s="14" t="s">
        <v>55</v>
      </c>
      <c r="T28" s="14" t="s">
        <v>56</v>
      </c>
      <c r="U28" s="5"/>
      <c r="V28" s="5"/>
      <c r="W28" s="5"/>
      <c r="X28" s="5"/>
      <c r="Y28" s="5"/>
      <c r="Z28" s="5"/>
      <c r="AA28" s="5"/>
      <c r="AB28" s="5"/>
    </row>
    <row r="29" spans="1:28" ht="12" customHeight="1">
      <c r="A29" s="14" t="s">
        <v>49</v>
      </c>
      <c r="B29" s="14" t="s">
        <v>120</v>
      </c>
      <c r="C29" s="13">
        <v>2013</v>
      </c>
      <c r="D29" s="13" t="s">
        <v>128</v>
      </c>
      <c r="E29" s="13" t="s">
        <v>51</v>
      </c>
      <c r="F29" s="14" t="s">
        <v>54</v>
      </c>
      <c r="G29" s="13">
        <f>2*20</f>
        <v>40</v>
      </c>
      <c r="H29" s="13">
        <v>8</v>
      </c>
      <c r="I29" s="13">
        <f t="shared" si="2"/>
        <v>3.2000000000000001E-2</v>
      </c>
      <c r="J29" s="13">
        <f>1/(60*24)</f>
        <v>6.9444444444444447E-4</v>
      </c>
      <c r="K29" s="13">
        <v>1</v>
      </c>
      <c r="L29" s="13">
        <f>J29*H29</f>
        <v>5.5555555555555558E-3</v>
      </c>
      <c r="M29" s="13">
        <v>272</v>
      </c>
      <c r="N29" s="13">
        <v>1</v>
      </c>
      <c r="O29" s="13">
        <v>2</v>
      </c>
      <c r="P29" s="13">
        <v>0</v>
      </c>
      <c r="Q29" s="13">
        <v>2</v>
      </c>
      <c r="R29" s="14" t="s">
        <v>48</v>
      </c>
      <c r="S29" s="14" t="s">
        <v>55</v>
      </c>
      <c r="T29" s="14" t="s">
        <v>57</v>
      </c>
      <c r="U29" s="5"/>
      <c r="V29" s="5"/>
      <c r="W29" s="5"/>
      <c r="X29" s="5"/>
      <c r="Y29" s="5"/>
      <c r="Z29" s="5"/>
      <c r="AA29" s="5"/>
      <c r="AB29" s="5"/>
    </row>
    <row r="30" spans="1:28" s="17" customFormat="1" ht="12" customHeight="1">
      <c r="A30" s="14" t="s">
        <v>43</v>
      </c>
      <c r="B30" s="14" t="s">
        <v>121</v>
      </c>
      <c r="C30" s="13">
        <v>2013</v>
      </c>
      <c r="D30" s="14" t="s">
        <v>128</v>
      </c>
      <c r="E30" s="14" t="s">
        <v>182</v>
      </c>
      <c r="F30" s="14" t="s">
        <v>183</v>
      </c>
      <c r="G30" s="13">
        <f>550*30</f>
        <v>16500</v>
      </c>
      <c r="H30" s="13">
        <v>1</v>
      </c>
      <c r="I30" s="13">
        <f t="shared" si="2"/>
        <v>1.65</v>
      </c>
      <c r="J30" s="13">
        <f>3/24</f>
        <v>0.125</v>
      </c>
      <c r="K30" s="13">
        <f>AVERAGE(2,325,31,343,17,45)</f>
        <v>127.16666666666667</v>
      </c>
      <c r="L30" s="13">
        <f>J30*10</f>
        <v>1.25</v>
      </c>
      <c r="M30" s="13">
        <f>821</f>
        <v>821</v>
      </c>
      <c r="N30" s="13">
        <v>2</v>
      </c>
      <c r="O30" s="13">
        <v>1</v>
      </c>
      <c r="P30" s="13">
        <v>0</v>
      </c>
      <c r="Q30" s="13">
        <v>1</v>
      </c>
      <c r="R30" s="14"/>
      <c r="S30" s="14" t="s">
        <v>181</v>
      </c>
      <c r="T30" s="14" t="s">
        <v>180</v>
      </c>
      <c r="U30" s="15"/>
      <c r="V30" s="15"/>
      <c r="W30" s="15"/>
      <c r="X30" s="15"/>
      <c r="Y30" s="15"/>
      <c r="Z30" s="15"/>
      <c r="AA30" s="15"/>
      <c r="AB30" s="15"/>
    </row>
    <row r="31" spans="1:28" ht="15.75" customHeight="1">
      <c r="A31" s="14" t="s">
        <v>43</v>
      </c>
      <c r="B31" s="14" t="s">
        <v>78</v>
      </c>
      <c r="C31" s="14">
        <v>2010</v>
      </c>
      <c r="D31" s="14" t="s">
        <v>80</v>
      </c>
      <c r="E31" s="14" t="s">
        <v>79</v>
      </c>
      <c r="F31" s="14" t="s">
        <v>81</v>
      </c>
      <c r="G31" s="17">
        <v>8.9490417352885163E-4</v>
      </c>
      <c r="H31" s="17">
        <v>10</v>
      </c>
      <c r="I31" s="17">
        <f>(G31*H31)/10000</f>
        <v>8.9490417352885158E-7</v>
      </c>
      <c r="J31" s="14">
        <f>(0.01667)/(60*24)</f>
        <v>1.1576388888888889E-5</v>
      </c>
      <c r="K31" s="17">
        <f>15/(60*24)</f>
        <v>1.0416666666666666E-2</v>
      </c>
      <c r="L31" s="17">
        <f>J31*61</f>
        <v>7.0615972222222228E-4</v>
      </c>
      <c r="M31" s="16">
        <v>61</v>
      </c>
      <c r="N31" s="14">
        <v>0</v>
      </c>
      <c r="O31" s="14">
        <v>0</v>
      </c>
      <c r="P31" s="14">
        <v>0</v>
      </c>
      <c r="Q31" s="14">
        <v>0</v>
      </c>
      <c r="R31" s="17"/>
      <c r="S31" s="14" t="s">
        <v>82</v>
      </c>
      <c r="T31" s="14" t="s">
        <v>83</v>
      </c>
    </row>
    <row r="32" spans="1:28" ht="15.75" customHeight="1">
      <c r="A32" s="14" t="s">
        <v>43</v>
      </c>
      <c r="B32" s="14" t="s">
        <v>78</v>
      </c>
      <c r="C32" s="14">
        <v>2010</v>
      </c>
      <c r="D32" s="14" t="s">
        <v>80</v>
      </c>
      <c r="E32" s="14" t="s">
        <v>79</v>
      </c>
      <c r="F32" s="14" t="s">
        <v>81</v>
      </c>
      <c r="G32" s="17">
        <v>1.1092388980384689E-3</v>
      </c>
      <c r="H32" s="17">
        <v>5</v>
      </c>
      <c r="I32" s="17">
        <f>(G32*H32)/10000</f>
        <v>5.5461944901923441E-7</v>
      </c>
      <c r="J32" s="14">
        <f>(0.01667)/(60*24)</f>
        <v>1.1576388888888889E-5</v>
      </c>
      <c r="K32" s="17">
        <f>15/(60*24)</f>
        <v>1.0416666666666666E-2</v>
      </c>
      <c r="L32" s="17">
        <f>J32*366</f>
        <v>4.2369583333333339E-3</v>
      </c>
      <c r="M32" s="16">
        <v>366</v>
      </c>
      <c r="N32" s="14">
        <v>0</v>
      </c>
      <c r="O32" s="14">
        <v>0</v>
      </c>
      <c r="P32" s="14">
        <v>0</v>
      </c>
      <c r="Q32" s="14">
        <v>0</v>
      </c>
      <c r="R32" s="17"/>
      <c r="S32" s="14" t="s">
        <v>82</v>
      </c>
      <c r="T32" s="14" t="s">
        <v>84</v>
      </c>
    </row>
    <row r="33" spans="1:20" ht="15.75" customHeight="1">
      <c r="A33" s="14" t="s">
        <v>43</v>
      </c>
      <c r="B33" s="14" t="s">
        <v>78</v>
      </c>
      <c r="C33" s="14">
        <v>2010</v>
      </c>
      <c r="D33" s="17" t="s">
        <v>128</v>
      </c>
      <c r="E33" s="14" t="s">
        <v>79</v>
      </c>
      <c r="F33" s="14" t="s">
        <v>81</v>
      </c>
      <c r="G33" s="17">
        <f>0.3048*0.3048</f>
        <v>9.2903040000000006E-2</v>
      </c>
      <c r="H33" s="17">
        <v>1063</v>
      </c>
      <c r="I33" s="17">
        <f>(G33*H33)/10000</f>
        <v>9.8755931519999996E-3</v>
      </c>
      <c r="J33" s="17">
        <f>30/(60*24)</f>
        <v>2.0833333333333332E-2</v>
      </c>
      <c r="K33" s="17">
        <v>11.3</v>
      </c>
      <c r="L33" s="17">
        <f>J33*H33</f>
        <v>22.145833333333332</v>
      </c>
      <c r="M33" s="16">
        <v>1217</v>
      </c>
      <c r="N33" s="14">
        <v>1</v>
      </c>
      <c r="O33" s="14">
        <v>0</v>
      </c>
      <c r="P33" s="14">
        <v>0</v>
      </c>
      <c r="Q33" s="14">
        <v>2</v>
      </c>
      <c r="R33" s="17"/>
      <c r="S33" s="14" t="s">
        <v>86</v>
      </c>
      <c r="T33" s="14" t="s">
        <v>85</v>
      </c>
    </row>
    <row r="34" spans="1:20" ht="15.75" customHeight="1">
      <c r="A34" s="14" t="s">
        <v>43</v>
      </c>
      <c r="B34" s="14" t="s">
        <v>78</v>
      </c>
      <c r="C34" s="14">
        <v>2010</v>
      </c>
      <c r="D34" s="17" t="s">
        <v>128</v>
      </c>
      <c r="E34" s="14" t="s">
        <v>79</v>
      </c>
      <c r="F34" s="14" t="s">
        <v>81</v>
      </c>
      <c r="G34" s="17">
        <v>3.4500000000000003E-2</v>
      </c>
      <c r="H34" s="17">
        <v>2</v>
      </c>
      <c r="I34" s="17">
        <f>(G34*H34)/10000</f>
        <v>6.9000000000000009E-6</v>
      </c>
      <c r="J34" s="17">
        <f>1/24</f>
        <v>4.1666666666666664E-2</v>
      </c>
      <c r="K34" s="17">
        <v>2</v>
      </c>
      <c r="L34" s="17">
        <f>(J34*2)*(78/2)</f>
        <v>3.25</v>
      </c>
      <c r="M34" s="16">
        <v>78</v>
      </c>
      <c r="N34" s="14">
        <v>1</v>
      </c>
      <c r="O34" s="14">
        <v>0</v>
      </c>
      <c r="P34" s="14">
        <v>0</v>
      </c>
      <c r="Q34" s="14">
        <v>2</v>
      </c>
      <c r="R34" s="17"/>
      <c r="S34" s="14" t="s">
        <v>87</v>
      </c>
      <c r="T34" s="14" t="s">
        <v>88</v>
      </c>
    </row>
    <row r="35" spans="1:20" s="17" customFormat="1" ht="15.75" customHeight="1">
      <c r="A35" s="14" t="s">
        <v>44</v>
      </c>
      <c r="B35" s="14" t="s">
        <v>110</v>
      </c>
      <c r="C35" s="14">
        <v>2014</v>
      </c>
      <c r="D35" s="14" t="s">
        <v>128</v>
      </c>
      <c r="E35" s="14" t="s">
        <v>112</v>
      </c>
      <c r="F35" s="14" t="s">
        <v>111</v>
      </c>
      <c r="G35" s="17">
        <f>AVERAGE((1500*300),(PI()*(300^2)))</f>
        <v>366371.66941154073</v>
      </c>
      <c r="H35" s="17">
        <v>76</v>
      </c>
      <c r="I35" s="17">
        <f>(G35*H35)/10000</f>
        <v>2784.4246875277095</v>
      </c>
      <c r="J35" s="17">
        <f>5/(60*24)</f>
        <v>3.472222222222222E-3</v>
      </c>
      <c r="K35" s="17">
        <v>1</v>
      </c>
      <c r="L35" s="17">
        <f>J35*H35</f>
        <v>0.2638888888888889</v>
      </c>
      <c r="M35" s="17">
        <v>1340</v>
      </c>
      <c r="N35" s="17">
        <v>2</v>
      </c>
      <c r="O35" s="17">
        <v>0</v>
      </c>
      <c r="P35" s="17">
        <v>0</v>
      </c>
      <c r="Q35" s="17">
        <v>2</v>
      </c>
      <c r="S35" s="14" t="s">
        <v>113</v>
      </c>
      <c r="T35" s="14" t="s">
        <v>114</v>
      </c>
    </row>
    <row r="36" spans="1:20" s="17" customFormat="1" ht="15.75" customHeight="1">
      <c r="A36" s="17" t="s">
        <v>43</v>
      </c>
      <c r="B36" s="14" t="s">
        <v>115</v>
      </c>
      <c r="C36" s="17">
        <v>2008</v>
      </c>
      <c r="D36" s="14" t="s">
        <v>128</v>
      </c>
      <c r="E36" s="14" t="s">
        <v>116</v>
      </c>
      <c r="F36" s="14" t="s">
        <v>117</v>
      </c>
      <c r="G36" s="14">
        <f>(0.25*1.5)</f>
        <v>0.375</v>
      </c>
      <c r="H36" s="17">
        <v>664</v>
      </c>
      <c r="I36" s="17">
        <f>(G36*H36)/10000</f>
        <v>2.4899999999999999E-2</v>
      </c>
      <c r="J36" s="17">
        <f>15/(60*24)</f>
        <v>1.0416666666666666E-2</v>
      </c>
      <c r="K36" s="17">
        <f>AVERAGE(120,60,91,89)</f>
        <v>90</v>
      </c>
      <c r="L36" s="17">
        <f>J36*H36</f>
        <v>6.9166666666666661</v>
      </c>
      <c r="M36" s="17">
        <f>515</f>
        <v>515</v>
      </c>
      <c r="N36" s="17">
        <v>2</v>
      </c>
      <c r="O36" s="17">
        <v>1</v>
      </c>
      <c r="P36" s="17">
        <v>0</v>
      </c>
      <c r="Q36" s="17">
        <v>0</v>
      </c>
      <c r="S36" s="14" t="s">
        <v>118</v>
      </c>
      <c r="T36" s="14" t="s">
        <v>119</v>
      </c>
    </row>
    <row r="37" spans="1:20" ht="12">
      <c r="A37" s="17" t="s">
        <v>104</v>
      </c>
      <c r="B37" s="17" t="s">
        <v>106</v>
      </c>
      <c r="C37" s="17">
        <v>2003</v>
      </c>
      <c r="D37" s="14" t="s">
        <v>128</v>
      </c>
      <c r="E37" s="17" t="s">
        <v>137</v>
      </c>
      <c r="F37" s="17"/>
      <c r="G37" s="17">
        <v>5.0000000000000001E-4</v>
      </c>
      <c r="H37" s="17">
        <f>24+(16*16)+40</f>
        <v>320</v>
      </c>
      <c r="I37" s="17">
        <f>(G37*H37)/10000</f>
        <v>1.5999999999999999E-5</v>
      </c>
      <c r="J37" s="17">
        <f>5/(60*24)</f>
        <v>3.472222222222222E-3</v>
      </c>
      <c r="K37" s="17">
        <f>AVERAGE(180,272)</f>
        <v>226</v>
      </c>
      <c r="L37" s="23">
        <f>(24+((16*15*2)+16)+40)*J37</f>
        <v>1.9444444444444444</v>
      </c>
      <c r="M37" s="17">
        <v>821</v>
      </c>
      <c r="N37" s="17">
        <v>3</v>
      </c>
      <c r="O37" s="17">
        <v>0</v>
      </c>
      <c r="P37" s="17">
        <v>0</v>
      </c>
      <c r="Q37" s="17">
        <v>3</v>
      </c>
      <c r="R37" s="19" t="s">
        <v>139</v>
      </c>
      <c r="S37" s="17" t="s">
        <v>138</v>
      </c>
      <c r="T37" s="14" t="s">
        <v>140</v>
      </c>
    </row>
    <row r="38" spans="1:20" s="17" customFormat="1" ht="12">
      <c r="A38" s="19" t="s">
        <v>105</v>
      </c>
      <c r="B38" s="19" t="s">
        <v>141</v>
      </c>
      <c r="C38" s="19">
        <v>2013</v>
      </c>
      <c r="D38" s="19" t="s">
        <v>128</v>
      </c>
      <c r="E38" s="23" t="s">
        <v>253</v>
      </c>
      <c r="F38" s="23" t="s">
        <v>254</v>
      </c>
      <c r="G38" s="19">
        <f>50*2</f>
        <v>100</v>
      </c>
      <c r="H38" s="19">
        <v>812</v>
      </c>
      <c r="I38" s="17">
        <f>(G38*H38)/10000</f>
        <v>8.1199999999999992</v>
      </c>
      <c r="J38" s="17">
        <f>30/(60*24)</f>
        <v>2.0833333333333332E-2</v>
      </c>
      <c r="K38" s="19">
        <f>AVERAGE(74,250,74,267,71)</f>
        <v>147.19999999999999</v>
      </c>
      <c r="L38" s="19">
        <f>J38*H38</f>
        <v>16.916666666666664</v>
      </c>
      <c r="M38" s="19">
        <v>844</v>
      </c>
      <c r="N38" s="19">
        <v>2</v>
      </c>
      <c r="O38" s="19">
        <v>1</v>
      </c>
      <c r="P38" s="19">
        <v>1</v>
      </c>
      <c r="Q38" s="19">
        <v>1</v>
      </c>
      <c r="R38" s="19"/>
      <c r="S38" s="23" t="s">
        <v>86</v>
      </c>
      <c r="T38" s="19" t="s">
        <v>255</v>
      </c>
    </row>
    <row r="39" spans="1:20" ht="12">
      <c r="A39" s="19" t="s">
        <v>142</v>
      </c>
      <c r="B39" s="19" t="s">
        <v>144</v>
      </c>
      <c r="C39" s="19">
        <v>2011</v>
      </c>
      <c r="D39" s="23" t="s">
        <v>128</v>
      </c>
      <c r="E39" s="23" t="s">
        <v>145</v>
      </c>
      <c r="G39" s="19">
        <v>215.6</v>
      </c>
      <c r="H39" s="19">
        <v>90</v>
      </c>
      <c r="I39" s="17">
        <f>(G39*H39)/10000</f>
        <v>1.9403999999999999</v>
      </c>
      <c r="J39" s="14">
        <f>15/(60*24)</f>
        <v>1.0416666666666666E-2</v>
      </c>
      <c r="K39" s="19">
        <f>18/(60*24)</f>
        <v>1.2500000000000001E-2</v>
      </c>
      <c r="L39" s="19">
        <f>J39*(H39*3)</f>
        <v>2.8125</v>
      </c>
      <c r="M39" s="19">
        <v>10</v>
      </c>
      <c r="N39" s="19">
        <v>3</v>
      </c>
      <c r="O39" s="19">
        <v>3</v>
      </c>
      <c r="P39" s="19">
        <v>0</v>
      </c>
      <c r="Q39" s="17">
        <v>2</v>
      </c>
      <c r="S39" s="19" t="s">
        <v>149</v>
      </c>
      <c r="T39" s="23" t="s">
        <v>146</v>
      </c>
    </row>
    <row r="40" spans="1:20" s="17" customFormat="1" ht="12">
      <c r="A40" s="17" t="s">
        <v>142</v>
      </c>
      <c r="B40" s="17" t="s">
        <v>144</v>
      </c>
      <c r="C40" s="17">
        <v>2011</v>
      </c>
      <c r="D40" s="14" t="s">
        <v>128</v>
      </c>
      <c r="E40" s="14" t="s">
        <v>145</v>
      </c>
      <c r="G40" s="17">
        <v>207.6</v>
      </c>
      <c r="H40" s="17">
        <v>60</v>
      </c>
      <c r="I40" s="17">
        <f>(G40*H40)/10000</f>
        <v>1.2456</v>
      </c>
      <c r="J40" s="14">
        <f>15/(60*24)</f>
        <v>1.0416666666666666E-2</v>
      </c>
      <c r="K40" s="17">
        <f>18/(60*24)</f>
        <v>1.2500000000000001E-2</v>
      </c>
      <c r="L40" s="17">
        <f>J40*(H40*3)</f>
        <v>1.875</v>
      </c>
      <c r="M40" s="17">
        <v>10</v>
      </c>
      <c r="N40" s="17">
        <v>3</v>
      </c>
      <c r="O40" s="17">
        <v>2</v>
      </c>
      <c r="P40" s="17">
        <v>0</v>
      </c>
      <c r="Q40" s="17">
        <v>2</v>
      </c>
      <c r="S40" s="17" t="s">
        <v>149</v>
      </c>
      <c r="T40" s="24" t="s">
        <v>147</v>
      </c>
    </row>
    <row r="41" spans="1:20" ht="12">
      <c r="A41" s="19" t="s">
        <v>142</v>
      </c>
      <c r="B41" s="19" t="s">
        <v>144</v>
      </c>
      <c r="C41" s="19">
        <v>2011</v>
      </c>
      <c r="D41" s="23" t="s">
        <v>128</v>
      </c>
      <c r="E41" s="23" t="s">
        <v>145</v>
      </c>
      <c r="G41" s="19">
        <v>1</v>
      </c>
      <c r="H41" s="19">
        <f>(90+60)*(4)</f>
        <v>600</v>
      </c>
      <c r="I41" s="17">
        <f>(G41*H41)/10000</f>
        <v>0.06</v>
      </c>
      <c r="J41" s="14">
        <f>15/(60*24)</f>
        <v>1.0416666666666666E-2</v>
      </c>
      <c r="K41" s="19">
        <f>18/(60*24)</f>
        <v>1.2500000000000001E-2</v>
      </c>
      <c r="L41" s="19">
        <f>J41*(90+60)</f>
        <v>1.5625</v>
      </c>
      <c r="M41" s="19">
        <v>10</v>
      </c>
      <c r="N41" s="19">
        <v>2</v>
      </c>
      <c r="O41" s="19">
        <v>1</v>
      </c>
      <c r="P41" s="19">
        <v>0</v>
      </c>
      <c r="Q41" s="17">
        <v>0</v>
      </c>
      <c r="S41" s="19" t="s">
        <v>149</v>
      </c>
      <c r="T41" s="19" t="s">
        <v>148</v>
      </c>
    </row>
    <row r="42" spans="1:20" ht="12">
      <c r="A42" s="17" t="s">
        <v>32</v>
      </c>
      <c r="B42" s="17" t="s">
        <v>150</v>
      </c>
      <c r="C42" s="17">
        <v>2013</v>
      </c>
      <c r="D42" s="14" t="s">
        <v>80</v>
      </c>
      <c r="E42" s="14" t="s">
        <v>151</v>
      </c>
      <c r="F42" s="17" t="s">
        <v>256</v>
      </c>
      <c r="G42" s="17">
        <f>PI()*(0.039)^2</f>
        <v>4.7783624261100756E-3</v>
      </c>
      <c r="H42" s="17">
        <v>2</v>
      </c>
      <c r="I42" s="17">
        <f>(G42*H42)/10000</f>
        <v>9.5567248522201522E-7</v>
      </c>
      <c r="J42" s="14">
        <f>1/(60*24)</f>
        <v>6.9444444444444447E-4</v>
      </c>
      <c r="K42" s="14">
        <v>1</v>
      </c>
      <c r="L42" s="17">
        <v>1</v>
      </c>
      <c r="M42" s="17">
        <v>31</v>
      </c>
      <c r="N42" s="17">
        <v>0</v>
      </c>
      <c r="O42" s="17">
        <v>0</v>
      </c>
      <c r="P42" s="17">
        <v>1</v>
      </c>
      <c r="Q42" s="17">
        <v>0</v>
      </c>
      <c r="R42" s="17"/>
      <c r="S42" s="17" t="s">
        <v>154</v>
      </c>
      <c r="T42" s="17" t="s">
        <v>152</v>
      </c>
    </row>
    <row r="43" spans="1:20" ht="12">
      <c r="A43" s="17" t="s">
        <v>32</v>
      </c>
      <c r="B43" s="17" t="s">
        <v>150</v>
      </c>
      <c r="C43" s="17">
        <v>2013</v>
      </c>
      <c r="D43" s="14" t="s">
        <v>80</v>
      </c>
      <c r="E43" s="14" t="s">
        <v>151</v>
      </c>
      <c r="F43" s="17" t="s">
        <v>256</v>
      </c>
      <c r="G43" s="17">
        <f>PI()*(0.1)^2</f>
        <v>3.1415926535897934E-2</v>
      </c>
      <c r="H43" s="17">
        <f>(2*10)</f>
        <v>20</v>
      </c>
      <c r="I43" s="17">
        <f>(G43*H43)/10000</f>
        <v>6.2831853071795856E-5</v>
      </c>
      <c r="J43" s="14">
        <f>5/(60*24)</f>
        <v>3.472222222222222E-3</v>
      </c>
      <c r="K43" s="17">
        <f>30/(60*24)</f>
        <v>2.0833333333333332E-2</v>
      </c>
      <c r="L43" s="17">
        <v>1</v>
      </c>
      <c r="M43" s="17">
        <v>31</v>
      </c>
      <c r="N43" s="17">
        <v>2</v>
      </c>
      <c r="O43" s="17">
        <v>1</v>
      </c>
      <c r="P43" s="17">
        <v>2</v>
      </c>
      <c r="Q43" s="17">
        <v>3</v>
      </c>
      <c r="R43" s="17"/>
      <c r="S43" s="17" t="s">
        <v>154</v>
      </c>
      <c r="T43" s="17" t="s">
        <v>153</v>
      </c>
    </row>
    <row r="44" spans="1:20" ht="12">
      <c r="A44" s="17" t="s">
        <v>99</v>
      </c>
      <c r="B44" s="17" t="s">
        <v>155</v>
      </c>
      <c r="C44" s="17">
        <v>2012</v>
      </c>
      <c r="D44" s="14" t="s">
        <v>128</v>
      </c>
      <c r="E44" s="14" t="s">
        <v>211</v>
      </c>
      <c r="F44" s="14" t="s">
        <v>212</v>
      </c>
      <c r="G44" s="17">
        <f>10*10</f>
        <v>100</v>
      </c>
      <c r="H44" s="17">
        <f>4*3</f>
        <v>12</v>
      </c>
      <c r="I44" s="17">
        <f t="shared" ref="I44:I63" si="5">(G44*H44)/10000</f>
        <v>0.12</v>
      </c>
      <c r="J44" s="17">
        <f>1/24</f>
        <v>4.1666666666666664E-2</v>
      </c>
      <c r="K44" s="17">
        <f>30*11</f>
        <v>330</v>
      </c>
      <c r="L44" s="17">
        <f>J44*(12*3*3)</f>
        <v>4.5</v>
      </c>
      <c r="M44" s="17">
        <f>365*3</f>
        <v>1095</v>
      </c>
      <c r="N44" s="17">
        <v>2</v>
      </c>
      <c r="O44" s="17">
        <v>2</v>
      </c>
      <c r="P44" s="17">
        <v>1</v>
      </c>
      <c r="Q44" s="17">
        <v>1</v>
      </c>
      <c r="R44" s="17"/>
      <c r="S44" s="14" t="s">
        <v>200</v>
      </c>
      <c r="T44" s="14" t="s">
        <v>188</v>
      </c>
    </row>
    <row r="45" spans="1:20" ht="12">
      <c r="A45" s="17" t="s">
        <v>99</v>
      </c>
      <c r="B45" s="17" t="s">
        <v>155</v>
      </c>
      <c r="C45" s="17">
        <v>2012</v>
      </c>
      <c r="D45" s="14" t="s">
        <v>80</v>
      </c>
      <c r="E45" s="14" t="s">
        <v>211</v>
      </c>
      <c r="F45" s="14" t="s">
        <v>212</v>
      </c>
      <c r="G45" s="17">
        <f>PI()*(0.03/2)^2</f>
        <v>7.0685834705770342E-4</v>
      </c>
      <c r="H45" s="17">
        <f>4*2</f>
        <v>8</v>
      </c>
      <c r="I45" s="17">
        <f t="shared" si="5"/>
        <v>5.6548667764616277E-7</v>
      </c>
      <c r="J45" s="17">
        <f>1/(60*24)</f>
        <v>6.9444444444444447E-4</v>
      </c>
      <c r="K45" s="17">
        <f>1/24</f>
        <v>4.1666666666666664E-2</v>
      </c>
      <c r="L45" s="17">
        <f>J45*1577000</f>
        <v>1095.1388888888889</v>
      </c>
      <c r="M45" s="17">
        <v>30</v>
      </c>
      <c r="N45" s="17">
        <v>0</v>
      </c>
      <c r="O45" s="17">
        <v>0</v>
      </c>
      <c r="P45" s="17">
        <v>0</v>
      </c>
      <c r="Q45" s="17">
        <v>0</v>
      </c>
      <c r="R45" s="17"/>
      <c r="S45" s="14" t="s">
        <v>198</v>
      </c>
      <c r="T45" s="14" t="s">
        <v>197</v>
      </c>
    </row>
    <row r="46" spans="1:20" ht="12">
      <c r="A46" s="17" t="s">
        <v>99</v>
      </c>
      <c r="B46" s="17" t="s">
        <v>155</v>
      </c>
      <c r="C46" s="17">
        <v>2012</v>
      </c>
      <c r="D46" s="14" t="s">
        <v>80</v>
      </c>
      <c r="E46" s="14" t="s">
        <v>211</v>
      </c>
      <c r="F46" s="14" t="s">
        <v>212</v>
      </c>
      <c r="G46" s="17">
        <f>PI()*(0.142/2)^2</f>
        <v>1.5836768566746144E-2</v>
      </c>
      <c r="H46" s="17">
        <f>2*2</f>
        <v>4</v>
      </c>
      <c r="I46" s="17">
        <f t="shared" si="5"/>
        <v>6.3347074266984576E-6</v>
      </c>
      <c r="J46" s="17">
        <f>(1/60)/(60*24)</f>
        <v>1.1574074074074073E-5</v>
      </c>
      <c r="K46" s="17">
        <f>1/24</f>
        <v>4.1666666666666664E-2</v>
      </c>
      <c r="L46" s="17">
        <v>1</v>
      </c>
      <c r="M46" s="17">
        <f>365*3</f>
        <v>1095</v>
      </c>
      <c r="N46" s="17">
        <v>0</v>
      </c>
      <c r="O46" s="17">
        <v>0</v>
      </c>
      <c r="P46" s="17">
        <v>1</v>
      </c>
      <c r="Q46" s="17">
        <v>0</v>
      </c>
      <c r="R46" s="17"/>
      <c r="S46" s="14" t="s">
        <v>201</v>
      </c>
      <c r="T46" s="14" t="s">
        <v>199</v>
      </c>
    </row>
    <row r="47" spans="1:20" ht="12">
      <c r="A47" s="17" t="s">
        <v>99</v>
      </c>
      <c r="B47" s="17" t="s">
        <v>155</v>
      </c>
      <c r="C47" s="17">
        <v>2012</v>
      </c>
      <c r="D47" s="14" t="s">
        <v>80</v>
      </c>
      <c r="E47" s="14" t="s">
        <v>211</v>
      </c>
      <c r="F47" s="14" t="s">
        <v>212</v>
      </c>
      <c r="G47" s="17">
        <f>2*(0.01206)</f>
        <v>2.4119999999999999E-2</v>
      </c>
      <c r="H47" s="17">
        <f>4*4</f>
        <v>16</v>
      </c>
      <c r="I47" s="17">
        <f t="shared" si="5"/>
        <v>3.8591999999999999E-5</v>
      </c>
      <c r="J47" s="17">
        <f>(0.01/60)/(60*24)</f>
        <v>1.1574074074074074E-7</v>
      </c>
      <c r="K47" s="17">
        <f>1/24</f>
        <v>4.1666666666666664E-2</v>
      </c>
      <c r="L47" s="17">
        <v>1</v>
      </c>
      <c r="M47" s="17">
        <f>365*3</f>
        <v>1095</v>
      </c>
      <c r="N47" s="17">
        <v>0</v>
      </c>
      <c r="O47" s="17">
        <v>0</v>
      </c>
      <c r="P47" s="17">
        <v>1</v>
      </c>
      <c r="Q47" s="17">
        <v>0</v>
      </c>
      <c r="R47" s="17"/>
      <c r="S47" s="14" t="s">
        <v>202</v>
      </c>
      <c r="T47" s="14" t="s">
        <v>189</v>
      </c>
    </row>
    <row r="48" spans="1:20" ht="12">
      <c r="A48" s="17" t="s">
        <v>99</v>
      </c>
      <c r="B48" s="17" t="s">
        <v>155</v>
      </c>
      <c r="C48" s="17">
        <v>2012</v>
      </c>
      <c r="D48" s="14" t="s">
        <v>128</v>
      </c>
      <c r="E48" s="14" t="s">
        <v>211</v>
      </c>
      <c r="F48" s="14" t="s">
        <v>212</v>
      </c>
      <c r="G48" s="17">
        <v>0.5292</v>
      </c>
      <c r="H48" s="17">
        <f>2*2</f>
        <v>4</v>
      </c>
      <c r="I48" s="17">
        <f t="shared" si="5"/>
        <v>2.1168000000000001E-4</v>
      </c>
      <c r="J48" s="17">
        <f>(1/60)/(60*24)</f>
        <v>1.1574074074074073E-5</v>
      </c>
      <c r="K48" s="17">
        <v>0</v>
      </c>
      <c r="L48" s="17">
        <v>1</v>
      </c>
      <c r="M48" s="17">
        <v>30</v>
      </c>
      <c r="N48" s="17">
        <v>2</v>
      </c>
      <c r="O48" s="17">
        <v>1</v>
      </c>
      <c r="P48" s="17">
        <v>0</v>
      </c>
      <c r="Q48" s="17">
        <v>1</v>
      </c>
      <c r="R48" s="17"/>
      <c r="S48" s="14" t="s">
        <v>198</v>
      </c>
      <c r="T48" s="14" t="s">
        <v>190</v>
      </c>
    </row>
    <row r="49" spans="1:20" ht="12">
      <c r="A49" s="17" t="s">
        <v>99</v>
      </c>
      <c r="B49" s="17" t="s">
        <v>155</v>
      </c>
      <c r="C49" s="17">
        <v>2012</v>
      </c>
      <c r="D49" s="14" t="s">
        <v>128</v>
      </c>
      <c r="E49" s="14" t="s">
        <v>211</v>
      </c>
      <c r="F49" s="14" t="s">
        <v>212</v>
      </c>
      <c r="G49" s="17">
        <v>1E-3</v>
      </c>
      <c r="H49" s="17">
        <v>4</v>
      </c>
      <c r="I49" s="17">
        <f t="shared" si="5"/>
        <v>3.9999999999999998E-7</v>
      </c>
      <c r="J49" s="17">
        <f>1/(60*24)</f>
        <v>6.9444444444444447E-4</v>
      </c>
      <c r="K49" s="17">
        <v>0</v>
      </c>
      <c r="L49" s="17">
        <v>1</v>
      </c>
      <c r="M49" s="17">
        <v>30</v>
      </c>
      <c r="N49" s="17">
        <v>2</v>
      </c>
      <c r="O49" s="17">
        <v>1</v>
      </c>
      <c r="P49" s="17">
        <v>0</v>
      </c>
      <c r="Q49" s="17">
        <v>1</v>
      </c>
      <c r="R49" s="17"/>
      <c r="S49" s="14" t="s">
        <v>203</v>
      </c>
      <c r="T49" s="14" t="s">
        <v>191</v>
      </c>
    </row>
    <row r="50" spans="1:20" ht="12">
      <c r="A50" s="17" t="s">
        <v>99</v>
      </c>
      <c r="B50" s="17" t="s">
        <v>155</v>
      </c>
      <c r="C50" s="17">
        <v>2012</v>
      </c>
      <c r="D50" s="14" t="s">
        <v>128</v>
      </c>
      <c r="E50" s="14" t="s">
        <v>211</v>
      </c>
      <c r="F50" s="14" t="s">
        <v>212</v>
      </c>
      <c r="G50" s="17">
        <v>0.25</v>
      </c>
      <c r="H50" s="17">
        <f>4*6</f>
        <v>24</v>
      </c>
      <c r="I50" s="17">
        <f t="shared" si="5"/>
        <v>5.9999999999999995E-4</v>
      </c>
      <c r="J50" s="17">
        <v>1</v>
      </c>
      <c r="K50" s="17">
        <f>9*30</f>
        <v>270</v>
      </c>
      <c r="L50" s="17">
        <f>3*(30+(2*31))</f>
        <v>276</v>
      </c>
      <c r="M50" s="17">
        <f>365*3</f>
        <v>1095</v>
      </c>
      <c r="N50" s="17">
        <v>2</v>
      </c>
      <c r="O50" s="17">
        <v>1</v>
      </c>
      <c r="P50" s="17">
        <v>1</v>
      </c>
      <c r="Q50" s="17">
        <v>1</v>
      </c>
      <c r="R50" s="17"/>
      <c r="S50" s="14" t="s">
        <v>204</v>
      </c>
      <c r="T50" s="14" t="s">
        <v>192</v>
      </c>
    </row>
    <row r="51" spans="1:20" ht="12">
      <c r="A51" s="17" t="s">
        <v>99</v>
      </c>
      <c r="B51" s="17" t="s">
        <v>155</v>
      </c>
      <c r="C51" s="17">
        <v>2012</v>
      </c>
      <c r="D51" s="14" t="s">
        <v>128</v>
      </c>
      <c r="E51" s="14" t="s">
        <v>211</v>
      </c>
      <c r="F51" s="14" t="s">
        <v>212</v>
      </c>
      <c r="G51" s="17">
        <f>PI()*(0.035/2)^2</f>
        <v>9.6211275016187424E-4</v>
      </c>
      <c r="H51" s="17">
        <f>4*40</f>
        <v>160</v>
      </c>
      <c r="I51" s="17">
        <f t="shared" si="5"/>
        <v>1.5393804002589989E-5</v>
      </c>
      <c r="J51" s="17">
        <f>5/(60*24)</f>
        <v>3.472222222222222E-3</v>
      </c>
      <c r="K51" s="14">
        <f>20/(60*24)</f>
        <v>1.3888888888888888E-2</v>
      </c>
      <c r="L51" s="17">
        <f>J51*H51</f>
        <v>0.55555555555555558</v>
      </c>
      <c r="M51" s="17">
        <v>30</v>
      </c>
      <c r="N51" s="17">
        <v>2</v>
      </c>
      <c r="O51" s="17">
        <v>1</v>
      </c>
      <c r="P51" s="17">
        <v>2</v>
      </c>
      <c r="Q51" s="17">
        <v>0</v>
      </c>
      <c r="R51" s="17"/>
      <c r="S51" s="14" t="s">
        <v>205</v>
      </c>
      <c r="T51" s="14" t="s">
        <v>193</v>
      </c>
    </row>
    <row r="52" spans="1:20" ht="12">
      <c r="A52" s="17" t="s">
        <v>99</v>
      </c>
      <c r="B52" s="17" t="s">
        <v>155</v>
      </c>
      <c r="C52" s="17">
        <v>2012</v>
      </c>
      <c r="D52" s="14" t="s">
        <v>80</v>
      </c>
      <c r="E52" s="14" t="s">
        <v>211</v>
      </c>
      <c r="F52" s="14" t="s">
        <v>212</v>
      </c>
      <c r="G52" s="17">
        <f>PI()*(0.2/2)^2</f>
        <v>3.1415926535897934E-2</v>
      </c>
      <c r="H52" s="17">
        <f>12*4</f>
        <v>48</v>
      </c>
      <c r="I52" s="17">
        <f t="shared" si="5"/>
        <v>1.5079644737231009E-4</v>
      </c>
      <c r="J52" s="17">
        <f>1/(60*24)</f>
        <v>6.9444444444444447E-4</v>
      </c>
      <c r="K52" s="17">
        <f>21</f>
        <v>21</v>
      </c>
      <c r="L52" s="17">
        <f>J52*((51+1)*2)</f>
        <v>7.2222222222222229E-2</v>
      </c>
      <c r="M52" s="17">
        <f>334</f>
        <v>334</v>
      </c>
      <c r="N52" s="17">
        <v>2</v>
      </c>
      <c r="O52" s="17">
        <v>1</v>
      </c>
      <c r="P52" s="17">
        <v>2</v>
      </c>
      <c r="Q52" s="17">
        <v>0</v>
      </c>
      <c r="R52" s="17"/>
      <c r="S52" s="14" t="s">
        <v>206</v>
      </c>
      <c r="T52" s="14" t="s">
        <v>194</v>
      </c>
    </row>
    <row r="53" spans="1:20" ht="12">
      <c r="A53" s="17" t="s">
        <v>99</v>
      </c>
      <c r="B53" s="17" t="s">
        <v>155</v>
      </c>
      <c r="C53" s="17">
        <v>2012</v>
      </c>
      <c r="D53" s="14" t="s">
        <v>128</v>
      </c>
      <c r="E53" s="14" t="s">
        <v>211</v>
      </c>
      <c r="F53" s="14" t="s">
        <v>212</v>
      </c>
      <c r="G53" s="17">
        <f>2*PI()*(0.003)*(0.003+0.1)</f>
        <v>1.9415042599184923E-3</v>
      </c>
      <c r="H53" s="17">
        <f>12*4</f>
        <v>48</v>
      </c>
      <c r="I53" s="17">
        <f t="shared" si="5"/>
        <v>9.3192204476087624E-6</v>
      </c>
      <c r="J53" s="17">
        <f>1/(60*24)</f>
        <v>6.9444444444444447E-4</v>
      </c>
      <c r="K53" s="17">
        <f>21</f>
        <v>21</v>
      </c>
      <c r="L53" s="17">
        <f>J53*(51)</f>
        <v>3.5416666666666666E-2</v>
      </c>
      <c r="M53" s="17">
        <f>334</f>
        <v>334</v>
      </c>
      <c r="N53" s="17">
        <v>0</v>
      </c>
      <c r="O53" s="17">
        <v>0</v>
      </c>
      <c r="P53" s="17">
        <v>0</v>
      </c>
      <c r="Q53" s="17">
        <v>0</v>
      </c>
      <c r="R53" s="17"/>
      <c r="S53" s="14" t="s">
        <v>209</v>
      </c>
      <c r="T53" s="14" t="s">
        <v>208</v>
      </c>
    </row>
    <row r="54" spans="1:20" ht="12">
      <c r="A54" s="17" t="s">
        <v>99</v>
      </c>
      <c r="B54" s="17" t="s">
        <v>155</v>
      </c>
      <c r="C54" s="17">
        <v>2012</v>
      </c>
      <c r="D54" s="14" t="s">
        <v>128</v>
      </c>
      <c r="E54" s="14" t="s">
        <v>211</v>
      </c>
      <c r="F54" s="14" t="s">
        <v>212</v>
      </c>
      <c r="G54" s="17">
        <f>3*(2*PI()*(0.04)*(0.04+0.17))</f>
        <v>0.1583362697409256</v>
      </c>
      <c r="H54" s="17">
        <f>12*4</f>
        <v>48</v>
      </c>
      <c r="I54" s="17">
        <f t="shared" si="5"/>
        <v>7.6001409475644286E-4</v>
      </c>
      <c r="J54" s="17">
        <f>1/(60*24)</f>
        <v>6.9444444444444447E-4</v>
      </c>
      <c r="K54" s="17">
        <f>21</f>
        <v>21</v>
      </c>
      <c r="L54" s="17">
        <f>J54*(51)</f>
        <v>3.5416666666666666E-2</v>
      </c>
      <c r="M54" s="17">
        <f>334</f>
        <v>334</v>
      </c>
      <c r="N54" s="17">
        <v>0</v>
      </c>
      <c r="O54" s="17">
        <v>0</v>
      </c>
      <c r="P54" s="17">
        <v>1</v>
      </c>
      <c r="Q54" s="17">
        <v>0</v>
      </c>
      <c r="R54" s="17"/>
      <c r="S54" s="14" t="s">
        <v>209</v>
      </c>
      <c r="T54" s="14" t="s">
        <v>195</v>
      </c>
    </row>
    <row r="55" spans="1:20" ht="12">
      <c r="A55" s="17" t="s">
        <v>99</v>
      </c>
      <c r="B55" s="17" t="s">
        <v>155</v>
      </c>
      <c r="C55" s="17">
        <v>2012</v>
      </c>
      <c r="D55" s="14" t="s">
        <v>80</v>
      </c>
      <c r="E55" s="14" t="s">
        <v>211</v>
      </c>
      <c r="F55" s="14" t="s">
        <v>212</v>
      </c>
      <c r="G55" s="17">
        <f>PI()*(0.2/2)^2</f>
        <v>3.1415926535897934E-2</v>
      </c>
      <c r="H55" s="17">
        <f>4+7</f>
        <v>11</v>
      </c>
      <c r="I55" s="17">
        <f t="shared" si="5"/>
        <v>3.4557519189487729E-5</v>
      </c>
      <c r="J55" s="17">
        <f>1/(60*24)</f>
        <v>6.9444444444444447E-4</v>
      </c>
      <c r="K55" s="17">
        <f>62/4</f>
        <v>15.5</v>
      </c>
      <c r="L55" s="17">
        <f>J55*H55*4</f>
        <v>3.0555555555555558E-2</v>
      </c>
      <c r="M55" s="17">
        <f>31*2</f>
        <v>62</v>
      </c>
      <c r="N55" s="17">
        <v>2</v>
      </c>
      <c r="O55" s="17">
        <v>1</v>
      </c>
      <c r="P55" s="17">
        <v>2</v>
      </c>
      <c r="Q55" s="17">
        <v>0</v>
      </c>
      <c r="R55" s="17"/>
      <c r="S55" s="14" t="s">
        <v>210</v>
      </c>
      <c r="T55" s="14" t="s">
        <v>207</v>
      </c>
    </row>
    <row r="56" spans="1:20" ht="12">
      <c r="A56" s="17" t="s">
        <v>99</v>
      </c>
      <c r="B56" s="17" t="s">
        <v>155</v>
      </c>
      <c r="C56" s="17">
        <v>2012</v>
      </c>
      <c r="D56" s="14" t="s">
        <v>128</v>
      </c>
      <c r="E56" s="14" t="s">
        <v>211</v>
      </c>
      <c r="F56" s="14" t="s">
        <v>212</v>
      </c>
      <c r="G56" s="17">
        <f>PI()*(0.035/2)^2</f>
        <v>9.6211275016187424E-4</v>
      </c>
      <c r="H56" s="17">
        <f>4*2</f>
        <v>8</v>
      </c>
      <c r="I56" s="17">
        <f t="shared" si="5"/>
        <v>7.6969020012949942E-7</v>
      </c>
      <c r="J56" s="17">
        <f>5/(60*24)</f>
        <v>3.472222222222222E-3</v>
      </c>
      <c r="K56" s="17">
        <f>1/24</f>
        <v>4.1666666666666664E-2</v>
      </c>
      <c r="L56" s="17">
        <f>J56*(8*6)</f>
        <v>0.16666666666666666</v>
      </c>
      <c r="M56" s="17">
        <v>31</v>
      </c>
      <c r="N56" s="17">
        <v>1</v>
      </c>
      <c r="O56" s="17">
        <v>1</v>
      </c>
      <c r="P56" s="17">
        <v>2</v>
      </c>
      <c r="Q56" s="17">
        <v>0</v>
      </c>
      <c r="R56" s="17"/>
      <c r="S56" s="14" t="s">
        <v>205</v>
      </c>
      <c r="T56" s="14" t="s">
        <v>196</v>
      </c>
    </row>
    <row r="57" spans="1:20" s="17" customFormat="1" ht="12">
      <c r="A57" s="17" t="s">
        <v>43</v>
      </c>
      <c r="B57" s="17" t="s">
        <v>175</v>
      </c>
      <c r="C57" s="17">
        <v>2007</v>
      </c>
      <c r="D57" s="14" t="s">
        <v>128</v>
      </c>
      <c r="E57" s="14" t="s">
        <v>243</v>
      </c>
      <c r="F57" s="14" t="s">
        <v>222</v>
      </c>
      <c r="G57" s="14">
        <f>PI()*(0.0508/2)^2</f>
        <v>2.0268299163899908E-3</v>
      </c>
      <c r="H57" s="17">
        <v>4</v>
      </c>
      <c r="I57" s="17">
        <f t="shared" si="5"/>
        <v>8.1073196655599628E-7</v>
      </c>
      <c r="J57" s="17">
        <f>2/(60*24)</f>
        <v>1.3888888888888889E-3</v>
      </c>
      <c r="K57" s="17">
        <f>1/24</f>
        <v>4.1666666666666664E-2</v>
      </c>
      <c r="L57" s="17">
        <f>J57*H57</f>
        <v>5.5555555555555558E-3</v>
      </c>
      <c r="M57" s="17">
        <v>30</v>
      </c>
      <c r="N57" s="17">
        <v>3</v>
      </c>
      <c r="O57" s="17">
        <v>1</v>
      </c>
      <c r="P57" s="17">
        <v>0</v>
      </c>
      <c r="Q57" s="17">
        <v>3</v>
      </c>
      <c r="S57" s="14" t="s">
        <v>223</v>
      </c>
      <c r="T57" s="14" t="s">
        <v>242</v>
      </c>
    </row>
    <row r="58" spans="1:20" s="17" customFormat="1" ht="12">
      <c r="A58" s="17" t="s">
        <v>43</v>
      </c>
      <c r="B58" s="17" t="s">
        <v>175</v>
      </c>
      <c r="C58" s="17">
        <v>2007</v>
      </c>
      <c r="D58" s="14" t="s">
        <v>128</v>
      </c>
      <c r="E58" s="14" t="s">
        <v>216</v>
      </c>
      <c r="F58" s="14" t="s">
        <v>222</v>
      </c>
      <c r="G58" s="14">
        <f>PI()*(0.1/2)^2</f>
        <v>7.8539816339744835E-3</v>
      </c>
      <c r="H58" s="17">
        <v>1</v>
      </c>
      <c r="I58" s="17">
        <f t="shared" si="5"/>
        <v>7.8539816339744833E-7</v>
      </c>
      <c r="J58" s="17">
        <f>5/(60*24)</f>
        <v>3.472222222222222E-3</v>
      </c>
      <c r="K58" s="17">
        <f>1/24</f>
        <v>4.1666666666666664E-2</v>
      </c>
      <c r="L58" s="17">
        <f>15</f>
        <v>15</v>
      </c>
      <c r="M58" s="17">
        <v>30</v>
      </c>
      <c r="N58" s="17">
        <v>3</v>
      </c>
      <c r="O58" s="17">
        <v>0</v>
      </c>
      <c r="P58" s="17">
        <v>0</v>
      </c>
      <c r="Q58" s="17">
        <v>3</v>
      </c>
      <c r="R58" s="14" t="s">
        <v>219</v>
      </c>
      <c r="S58" s="14" t="s">
        <v>224</v>
      </c>
      <c r="T58" s="14" t="s">
        <v>213</v>
      </c>
    </row>
    <row r="59" spans="1:20" s="17" customFormat="1" ht="12">
      <c r="A59" s="17" t="s">
        <v>43</v>
      </c>
      <c r="B59" s="17" t="s">
        <v>175</v>
      </c>
      <c r="C59" s="17">
        <v>2007</v>
      </c>
      <c r="D59" s="14" t="s">
        <v>128</v>
      </c>
      <c r="E59" s="14" t="s">
        <v>217</v>
      </c>
      <c r="F59" s="14" t="s">
        <v>222</v>
      </c>
      <c r="G59" s="14">
        <f>PI()*(0.0508/2)^2</f>
        <v>2.0268299163899908E-3</v>
      </c>
      <c r="H59" s="17">
        <v>1</v>
      </c>
      <c r="I59" s="17">
        <f t="shared" si="5"/>
        <v>2.0268299163899907E-7</v>
      </c>
      <c r="J59" s="17">
        <f>1/(60*24)</f>
        <v>6.9444444444444447E-4</v>
      </c>
      <c r="K59" s="17">
        <f>1/24</f>
        <v>4.1666666666666664E-2</v>
      </c>
      <c r="L59" s="17">
        <f>15</f>
        <v>15</v>
      </c>
      <c r="M59" s="17">
        <v>30</v>
      </c>
      <c r="N59" s="17">
        <v>3</v>
      </c>
      <c r="O59" s="17">
        <v>0</v>
      </c>
      <c r="P59" s="17">
        <v>0</v>
      </c>
      <c r="Q59" s="17">
        <v>3</v>
      </c>
      <c r="R59" s="14" t="s">
        <v>219</v>
      </c>
      <c r="S59" s="14" t="s">
        <v>224</v>
      </c>
      <c r="T59" s="14" t="s">
        <v>214</v>
      </c>
    </row>
    <row r="60" spans="1:20" s="17" customFormat="1" ht="12">
      <c r="A60" s="17" t="s">
        <v>43</v>
      </c>
      <c r="B60" s="17" t="s">
        <v>175</v>
      </c>
      <c r="C60" s="17">
        <v>2007</v>
      </c>
      <c r="D60" s="14" t="s">
        <v>128</v>
      </c>
      <c r="E60" s="14" t="s">
        <v>244</v>
      </c>
      <c r="F60" s="14" t="s">
        <v>222</v>
      </c>
      <c r="G60" s="14">
        <f>PI()*(0.0508/2)^2</f>
        <v>2.0268299163899908E-3</v>
      </c>
      <c r="H60" s="17">
        <v>4</v>
      </c>
      <c r="I60" s="17">
        <f t="shared" si="5"/>
        <v>8.1073196655599628E-7</v>
      </c>
      <c r="J60" s="17">
        <f>1/(60*24)</f>
        <v>6.9444444444444447E-4</v>
      </c>
      <c r="K60" s="17">
        <f>1/24</f>
        <v>4.1666666666666664E-2</v>
      </c>
      <c r="L60" s="17">
        <f>J60*H60</f>
        <v>2.7777777777777779E-3</v>
      </c>
      <c r="M60" s="17">
        <f>31</f>
        <v>31</v>
      </c>
      <c r="N60" s="17">
        <v>3</v>
      </c>
      <c r="O60" s="17">
        <v>0</v>
      </c>
      <c r="P60" s="17">
        <v>0</v>
      </c>
      <c r="Q60" s="17">
        <v>3</v>
      </c>
      <c r="R60" s="14" t="s">
        <v>220</v>
      </c>
      <c r="S60" s="14" t="s">
        <v>225</v>
      </c>
      <c r="T60" s="14" t="s">
        <v>245</v>
      </c>
    </row>
    <row r="61" spans="1:20" s="17" customFormat="1" ht="12">
      <c r="A61" s="17" t="s">
        <v>43</v>
      </c>
      <c r="B61" s="17" t="s">
        <v>175</v>
      </c>
      <c r="C61" s="17">
        <v>2007</v>
      </c>
      <c r="D61" s="14" t="s">
        <v>128</v>
      </c>
      <c r="E61" s="14" t="s">
        <v>218</v>
      </c>
      <c r="F61" s="14" t="s">
        <v>222</v>
      </c>
      <c r="G61" s="14">
        <f>PI()*(0.1/2)^2</f>
        <v>7.8539816339744835E-3</v>
      </c>
      <c r="H61" s="17">
        <v>1</v>
      </c>
      <c r="I61" s="17">
        <f t="shared" si="5"/>
        <v>7.8539816339744833E-7</v>
      </c>
      <c r="J61" s="17">
        <f>5/(60*24)</f>
        <v>3.472222222222222E-3</v>
      </c>
      <c r="K61" s="17">
        <v>0</v>
      </c>
      <c r="L61" s="17">
        <v>1</v>
      </c>
      <c r="M61" s="17">
        <v>30</v>
      </c>
      <c r="N61" s="17">
        <v>3</v>
      </c>
      <c r="O61" s="17">
        <v>0</v>
      </c>
      <c r="P61" s="17">
        <v>0</v>
      </c>
      <c r="Q61" s="17">
        <v>3</v>
      </c>
      <c r="R61" s="17" t="s">
        <v>221</v>
      </c>
      <c r="S61" s="14" t="s">
        <v>201</v>
      </c>
      <c r="T61" s="14" t="s">
        <v>215</v>
      </c>
    </row>
    <row r="62" spans="1:20" s="17" customFormat="1" ht="12">
      <c r="A62" s="17" t="s">
        <v>32</v>
      </c>
      <c r="B62" s="17" t="s">
        <v>156</v>
      </c>
      <c r="C62" s="17">
        <v>2013</v>
      </c>
      <c r="D62" s="17" t="s">
        <v>128</v>
      </c>
      <c r="E62" s="17" t="s">
        <v>157</v>
      </c>
      <c r="F62" s="14" t="s">
        <v>228</v>
      </c>
      <c r="G62" s="17">
        <f>PI()*(0.0635/2)^2</f>
        <v>3.1669217443593611E-3</v>
      </c>
      <c r="H62" s="17">
        <v>12</v>
      </c>
      <c r="I62" s="17">
        <f t="shared" si="5"/>
        <v>3.800306093231233E-6</v>
      </c>
      <c r="J62" s="17">
        <f>10/(60*24)</f>
        <v>6.9444444444444441E-3</v>
      </c>
      <c r="K62" s="14">
        <f>5/(60*24)</f>
        <v>3.472222222222222E-3</v>
      </c>
      <c r="L62" s="17">
        <f>J62*H62</f>
        <v>8.3333333333333329E-2</v>
      </c>
      <c r="M62" s="17">
        <v>30</v>
      </c>
      <c r="N62" s="17">
        <v>2</v>
      </c>
      <c r="O62" s="17">
        <v>1</v>
      </c>
      <c r="P62" s="17">
        <v>1</v>
      </c>
      <c r="Q62" s="17">
        <v>0</v>
      </c>
      <c r="S62" s="14" t="s">
        <v>227</v>
      </c>
      <c r="T62" s="14" t="s">
        <v>226</v>
      </c>
    </row>
    <row r="63" spans="1:20" s="17" customFormat="1" ht="12">
      <c r="A63" s="17" t="s">
        <v>105</v>
      </c>
      <c r="B63" s="17" t="s">
        <v>158</v>
      </c>
      <c r="C63" s="17">
        <v>2011</v>
      </c>
      <c r="D63" s="14" t="s">
        <v>128</v>
      </c>
      <c r="E63" s="14" t="s">
        <v>159</v>
      </c>
      <c r="F63" s="14" t="s">
        <v>230</v>
      </c>
      <c r="G63" s="17">
        <f>PI()*(70/2)^2</f>
        <v>3848.4510006474966</v>
      </c>
      <c r="H63" s="17">
        <v>3</v>
      </c>
      <c r="I63" s="17">
        <f t="shared" si="5"/>
        <v>1.1545353001942491</v>
      </c>
      <c r="J63" s="17">
        <f>9/24</f>
        <v>0.375</v>
      </c>
      <c r="K63" s="17">
        <v>1</v>
      </c>
      <c r="L63" s="17">
        <f>J63*3</f>
        <v>1.125</v>
      </c>
      <c r="M63" s="17">
        <f>30+(2*31)</f>
        <v>92</v>
      </c>
      <c r="N63" s="17">
        <v>2</v>
      </c>
      <c r="O63" s="17">
        <v>3</v>
      </c>
      <c r="P63" s="17">
        <v>1</v>
      </c>
      <c r="Q63" s="17">
        <v>0</v>
      </c>
      <c r="S63" s="14" t="s">
        <v>229</v>
      </c>
      <c r="T63" s="14" t="s">
        <v>232</v>
      </c>
    </row>
    <row r="64" spans="1:20" s="17" customFormat="1" ht="12">
      <c r="A64" s="17" t="s">
        <v>107</v>
      </c>
      <c r="B64" s="14" t="s">
        <v>160</v>
      </c>
      <c r="C64" s="17">
        <v>2006</v>
      </c>
      <c r="D64" s="14" t="s">
        <v>128</v>
      </c>
      <c r="E64" s="14" t="s">
        <v>231</v>
      </c>
      <c r="F64" s="14" t="s">
        <v>233</v>
      </c>
      <c r="G64" s="17">
        <v>0.25</v>
      </c>
      <c r="H64" s="17">
        <f>(10*27*16)</f>
        <v>4320</v>
      </c>
      <c r="I64" s="17">
        <f>(G64*H64)/10000</f>
        <v>0.108</v>
      </c>
      <c r="J64" s="17">
        <f>10/(60*24)</f>
        <v>6.9444444444444441E-3</v>
      </c>
      <c r="K64" s="14">
        <v>365</v>
      </c>
      <c r="L64" s="17">
        <f>J64*(H64*5)</f>
        <v>150</v>
      </c>
      <c r="M64" s="17">
        <f>5*365</f>
        <v>1825</v>
      </c>
      <c r="N64" s="17">
        <v>3</v>
      </c>
      <c r="O64" s="17">
        <v>1</v>
      </c>
      <c r="P64" s="17">
        <v>2</v>
      </c>
      <c r="Q64" s="17">
        <v>3</v>
      </c>
      <c r="S64" s="14" t="s">
        <v>154</v>
      </c>
      <c r="T64" s="14" t="s">
        <v>234</v>
      </c>
    </row>
    <row r="65" spans="1:20" s="17" customFormat="1" ht="12">
      <c r="A65" s="17" t="s">
        <v>96</v>
      </c>
      <c r="B65" s="17" t="s">
        <v>176</v>
      </c>
      <c r="C65" s="17">
        <v>2010</v>
      </c>
      <c r="D65" s="14" t="s">
        <v>128</v>
      </c>
      <c r="E65" s="14" t="s">
        <v>238</v>
      </c>
      <c r="F65" s="14" t="s">
        <v>246</v>
      </c>
      <c r="G65" s="17">
        <f>1.23*0.0254</f>
        <v>3.1241999999999999E-2</v>
      </c>
      <c r="H65" s="17">
        <f>80+791+636</f>
        <v>1507</v>
      </c>
      <c r="I65" s="17">
        <f>(G65*H65)/10000</f>
        <v>4.7081694E-3</v>
      </c>
      <c r="J65" s="17">
        <f>15/(60*24)</f>
        <v>1.0416666666666666E-2</v>
      </c>
      <c r="K65" s="17">
        <v>2</v>
      </c>
      <c r="L65" s="17">
        <f>J65*H65</f>
        <v>15.697916666666666</v>
      </c>
      <c r="M65" s="17">
        <v>365</v>
      </c>
      <c r="N65" s="17">
        <v>0</v>
      </c>
      <c r="O65" s="17">
        <v>0</v>
      </c>
      <c r="P65" s="17">
        <v>1</v>
      </c>
      <c r="Q65" s="17">
        <v>0</v>
      </c>
      <c r="R65" s="17" t="s">
        <v>264</v>
      </c>
      <c r="S65" s="17" t="s">
        <v>270</v>
      </c>
      <c r="T65" s="14" t="s">
        <v>235</v>
      </c>
    </row>
    <row r="66" spans="1:20" s="17" customFormat="1" ht="12">
      <c r="A66" s="17" t="s">
        <v>96</v>
      </c>
      <c r="B66" s="17" t="s">
        <v>176</v>
      </c>
      <c r="C66" s="17">
        <v>2010</v>
      </c>
      <c r="D66" s="14" t="s">
        <v>128</v>
      </c>
      <c r="E66" s="14" t="s">
        <v>239</v>
      </c>
      <c r="F66" s="14" t="s">
        <v>246</v>
      </c>
      <c r="G66" s="17">
        <f>1.23*0.0254</f>
        <v>3.1241999999999999E-2</v>
      </c>
      <c r="H66" s="17">
        <v>108</v>
      </c>
      <c r="I66" s="17">
        <f>(G66*H66)/10000</f>
        <v>3.3741359999999999E-4</v>
      </c>
      <c r="J66" s="17">
        <f>20/(60*24)</f>
        <v>1.3888888888888888E-2</v>
      </c>
      <c r="K66" s="17">
        <f>5/24</f>
        <v>0.20833333333333334</v>
      </c>
      <c r="L66" s="17">
        <f>J66*H66</f>
        <v>1.5</v>
      </c>
      <c r="M66" s="17">
        <v>2922</v>
      </c>
      <c r="N66" s="17">
        <v>0</v>
      </c>
      <c r="O66" s="17">
        <v>0</v>
      </c>
      <c r="P66" s="17">
        <v>1</v>
      </c>
      <c r="Q66" s="17">
        <v>0</v>
      </c>
      <c r="R66" s="28" t="s">
        <v>265</v>
      </c>
      <c r="S66" s="17" t="s">
        <v>270</v>
      </c>
      <c r="T66" s="14" t="s">
        <v>236</v>
      </c>
    </row>
    <row r="67" spans="1:20" s="17" customFormat="1" ht="12">
      <c r="A67" s="17" t="s">
        <v>96</v>
      </c>
      <c r="B67" s="17" t="s">
        <v>176</v>
      </c>
      <c r="C67" s="17">
        <v>2010</v>
      </c>
      <c r="D67" s="14" t="s">
        <v>128</v>
      </c>
      <c r="E67" s="14" t="s">
        <v>240</v>
      </c>
      <c r="F67" s="14" t="s">
        <v>246</v>
      </c>
      <c r="G67" s="17">
        <f>1.23*0.0254</f>
        <v>3.1241999999999999E-2</v>
      </c>
      <c r="H67" s="17">
        <f>116+12</f>
        <v>128</v>
      </c>
      <c r="I67" s="17">
        <f t="shared" ref="I67:I69" si="6">(G67*H67)/10000</f>
        <v>3.9989760000000001E-4</v>
      </c>
      <c r="J67" s="17">
        <f>15/(60*24)</f>
        <v>1.0416666666666666E-2</v>
      </c>
      <c r="K67" s="17">
        <f>5/24</f>
        <v>0.20833333333333334</v>
      </c>
      <c r="L67" s="17">
        <f>J67*H67</f>
        <v>1.3333333333333333</v>
      </c>
      <c r="M67" s="17">
        <v>5478</v>
      </c>
      <c r="N67" s="17">
        <v>0</v>
      </c>
      <c r="O67" s="17">
        <v>0</v>
      </c>
      <c r="P67" s="17">
        <v>1</v>
      </c>
      <c r="Q67" s="17">
        <v>0</v>
      </c>
      <c r="R67" s="17" t="s">
        <v>266</v>
      </c>
      <c r="S67" s="17" t="s">
        <v>270</v>
      </c>
      <c r="T67" s="14" t="s">
        <v>267</v>
      </c>
    </row>
    <row r="68" spans="1:20" s="17" customFormat="1" ht="12">
      <c r="A68" s="17" t="s">
        <v>96</v>
      </c>
      <c r="B68" s="17" t="s">
        <v>176</v>
      </c>
      <c r="C68" s="17">
        <v>2010</v>
      </c>
      <c r="D68" s="14" t="s">
        <v>128</v>
      </c>
      <c r="E68" s="14" t="s">
        <v>240</v>
      </c>
      <c r="F68" s="14" t="s">
        <v>246</v>
      </c>
      <c r="G68" s="17">
        <f>1.23*0.0254</f>
        <v>3.1241999999999999E-2</v>
      </c>
      <c r="H68" s="17">
        <f>5+5</f>
        <v>10</v>
      </c>
      <c r="I68" s="17">
        <f t="shared" si="6"/>
        <v>3.1241999999999997E-5</v>
      </c>
      <c r="J68" s="17">
        <f>5/(60*24)</f>
        <v>3.472222222222222E-3</v>
      </c>
      <c r="K68" s="17">
        <f>AVERAGE(2,3)</f>
        <v>2.5</v>
      </c>
      <c r="L68" s="17">
        <f>J68*H68</f>
        <v>3.4722222222222224E-2</v>
      </c>
      <c r="M68" s="17">
        <v>365</v>
      </c>
      <c r="N68" s="17">
        <v>0</v>
      </c>
      <c r="O68" s="17">
        <v>0</v>
      </c>
      <c r="P68" s="17">
        <v>1</v>
      </c>
      <c r="Q68" s="17">
        <v>0</v>
      </c>
      <c r="R68" s="29" t="s">
        <v>269</v>
      </c>
      <c r="S68" s="29" t="s">
        <v>270</v>
      </c>
      <c r="T68" s="14" t="s">
        <v>268</v>
      </c>
    </row>
    <row r="69" spans="1:20" s="17" customFormat="1" ht="12">
      <c r="A69" s="17" t="s">
        <v>96</v>
      </c>
      <c r="B69" s="17" t="s">
        <v>176</v>
      </c>
      <c r="C69" s="17">
        <v>2010</v>
      </c>
      <c r="D69" s="14" t="s">
        <v>128</v>
      </c>
      <c r="E69" s="14" t="s">
        <v>241</v>
      </c>
      <c r="F69" s="14" t="s">
        <v>246</v>
      </c>
      <c r="G69" s="17">
        <f>1.23*0.0254</f>
        <v>3.1241999999999999E-2</v>
      </c>
      <c r="H69" s="17">
        <f>40+41</f>
        <v>81</v>
      </c>
      <c r="I69" s="17">
        <f t="shared" si="6"/>
        <v>2.5306020000000001E-4</v>
      </c>
      <c r="J69" s="17">
        <f>5/(60*24)</f>
        <v>3.472222222222222E-3</v>
      </c>
      <c r="K69" s="17">
        <v>2</v>
      </c>
      <c r="L69" s="17">
        <f>J69*H69</f>
        <v>0.28125</v>
      </c>
      <c r="M69" s="17">
        <v>365</v>
      </c>
      <c r="N69" s="17">
        <v>0</v>
      </c>
      <c r="O69" s="17">
        <v>0</v>
      </c>
      <c r="P69" s="17">
        <v>1</v>
      </c>
      <c r="Q69" s="17">
        <v>0</v>
      </c>
      <c r="S69" s="29" t="s">
        <v>270</v>
      </c>
      <c r="T69" s="14" t="s">
        <v>237</v>
      </c>
    </row>
    <row r="70" spans="1:20" ht="12">
      <c r="A70" s="19" t="s">
        <v>44</v>
      </c>
      <c r="B70" s="19" t="s">
        <v>177</v>
      </c>
      <c r="C70" s="19">
        <v>2006</v>
      </c>
      <c r="D70" s="20" t="s">
        <v>80</v>
      </c>
      <c r="E70" s="20" t="s">
        <v>247</v>
      </c>
      <c r="G70" s="19">
        <f>1.4*0.3683</f>
        <v>0.51561999999999997</v>
      </c>
      <c r="H70" s="19">
        <v>44</v>
      </c>
      <c r="I70" s="17">
        <f>(G70*H70)/10000</f>
        <v>2.2687279999999998E-3</v>
      </c>
      <c r="J70" s="19">
        <f>1/(60*24)</f>
        <v>6.9444444444444447E-4</v>
      </c>
      <c r="K70" s="19">
        <f>11.46</f>
        <v>11.46</v>
      </c>
      <c r="L70" s="19">
        <f>J70*5743</f>
        <v>3.9881944444444444</v>
      </c>
      <c r="M70" s="25">
        <v>2283</v>
      </c>
      <c r="N70" s="19">
        <v>1</v>
      </c>
      <c r="O70" s="19">
        <v>1</v>
      </c>
      <c r="P70" s="19">
        <v>0</v>
      </c>
      <c r="Q70" s="19">
        <v>0</v>
      </c>
      <c r="S70" s="19" t="s">
        <v>249</v>
      </c>
      <c r="T70" s="19" t="s">
        <v>248</v>
      </c>
    </row>
    <row r="71" spans="1:20" ht="12">
      <c r="A71" s="27" t="s">
        <v>261</v>
      </c>
      <c r="B71" s="19" t="s">
        <v>262</v>
      </c>
      <c r="C71" s="19">
        <v>2013</v>
      </c>
      <c r="D71" s="19" t="s">
        <v>128</v>
      </c>
      <c r="E71" s="27" t="s">
        <v>263</v>
      </c>
      <c r="F71" s="23" t="s">
        <v>260</v>
      </c>
      <c r="G71" s="19">
        <f>500*5</f>
        <v>2500</v>
      </c>
      <c r="H71" s="19">
        <f>43+47</f>
        <v>90</v>
      </c>
      <c r="I71" s="17">
        <f>(G71*H71)/10000</f>
        <v>22.5</v>
      </c>
      <c r="J71" s="19">
        <f>30/(60*24)</f>
        <v>2.0833333333333332E-2</v>
      </c>
      <c r="K71" s="19">
        <f>2*7</f>
        <v>14</v>
      </c>
      <c r="L71" s="19">
        <f>(J71*90*4)+(J71*62*4)+(J71*59*4)</f>
        <v>17.583333333333332</v>
      </c>
      <c r="M71" s="19">
        <v>822</v>
      </c>
      <c r="N71" s="19">
        <v>0</v>
      </c>
      <c r="O71" s="19">
        <v>1</v>
      </c>
      <c r="P71" s="19">
        <v>0</v>
      </c>
      <c r="Q71" s="19">
        <v>0</v>
      </c>
      <c r="S71" s="19" t="s">
        <v>16</v>
      </c>
      <c r="T71" s="23" t="s">
        <v>257</v>
      </c>
    </row>
    <row r="72" spans="1:20" ht="12">
      <c r="A72" s="27" t="s">
        <v>261</v>
      </c>
      <c r="B72" s="19" t="s">
        <v>262</v>
      </c>
      <c r="C72" s="19">
        <v>2013</v>
      </c>
      <c r="D72" s="19" t="s">
        <v>128</v>
      </c>
      <c r="E72" s="27" t="s">
        <v>263</v>
      </c>
      <c r="F72" s="23" t="s">
        <v>260</v>
      </c>
      <c r="G72" s="19">
        <v>0.25</v>
      </c>
      <c r="H72" s="19">
        <v>20</v>
      </c>
      <c r="I72" s="17">
        <f>(G72*H72)/10000</f>
        <v>5.0000000000000001E-4</v>
      </c>
      <c r="J72" s="19">
        <f>10/(60*24)</f>
        <v>6.9444444444444441E-3</v>
      </c>
      <c r="K72" s="19">
        <v>365</v>
      </c>
      <c r="L72" s="19">
        <f>(J72*20*2)</f>
        <v>0.27777777777777779</v>
      </c>
      <c r="M72" s="19">
        <v>822</v>
      </c>
      <c r="N72" s="19">
        <v>2</v>
      </c>
      <c r="O72" s="19">
        <v>2</v>
      </c>
      <c r="P72" s="19">
        <v>0</v>
      </c>
      <c r="Q72" s="19">
        <v>1</v>
      </c>
      <c r="S72" s="23" t="s">
        <v>259</v>
      </c>
      <c r="T72" s="23" t="s">
        <v>258</v>
      </c>
    </row>
    <row r="73" spans="1:20" ht="15">
      <c r="I73" s="26"/>
    </row>
    <row r="74" spans="1:20" ht="15">
      <c r="I74" s="26"/>
    </row>
    <row r="75" spans="1:20" ht="12">
      <c r="I75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data-bearing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</dc:creator>
  <cp:lastModifiedBy>Lyndon Estes</cp:lastModifiedBy>
  <dcterms:created xsi:type="dcterms:W3CDTF">2015-10-07T19:05:50Z</dcterms:created>
  <dcterms:modified xsi:type="dcterms:W3CDTF">2015-12-03T22:39:14Z</dcterms:modified>
</cp:coreProperties>
</file>