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40" yWindow="680" windowWidth="30160" windowHeight="18940" tabRatio="500" activeTab="1"/>
  </bookViews>
  <sheets>
    <sheet name="Sheet1" sheetId="1" r:id="rId1"/>
    <sheet name="data-bearin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2" l="1"/>
  <c r="G37" i="2"/>
  <c r="I37" i="2"/>
  <c r="J37" i="2"/>
  <c r="L37" i="2"/>
  <c r="M36" i="2"/>
  <c r="G36" i="2"/>
  <c r="I36" i="2"/>
  <c r="J36" i="2"/>
  <c r="L36" i="2"/>
  <c r="M35" i="2"/>
  <c r="G35" i="2"/>
  <c r="I35" i="2"/>
  <c r="J35" i="2"/>
  <c r="L35" i="2"/>
  <c r="L34" i="2"/>
  <c r="I34" i="2"/>
  <c r="H33" i="2"/>
  <c r="L33" i="2"/>
  <c r="I33" i="2"/>
  <c r="M32" i="2"/>
  <c r="L32" i="2"/>
  <c r="I32" i="2"/>
  <c r="M31" i="2"/>
  <c r="L31" i="2"/>
  <c r="I31" i="2"/>
  <c r="L30" i="2"/>
  <c r="I30" i="2"/>
  <c r="L29" i="2"/>
  <c r="I29" i="2"/>
  <c r="I28" i="2"/>
  <c r="I27" i="2"/>
  <c r="I26" i="2"/>
  <c r="M25" i="2"/>
  <c r="I25" i="2"/>
  <c r="G25" i="2"/>
  <c r="L24" i="2"/>
  <c r="I24" i="2"/>
  <c r="L23" i="2"/>
  <c r="I23" i="2"/>
  <c r="H22" i="2"/>
  <c r="L22" i="2"/>
  <c r="I22" i="2"/>
  <c r="L21" i="2"/>
  <c r="I21" i="2"/>
  <c r="I20" i="2"/>
  <c r="M19" i="2"/>
  <c r="I19" i="2"/>
  <c r="K18" i="2"/>
  <c r="I18" i="2"/>
  <c r="L17" i="2"/>
  <c r="I17" i="2"/>
  <c r="H16" i="2"/>
  <c r="I16" i="2"/>
  <c r="I15" i="2"/>
  <c r="H15" i="2"/>
  <c r="I14" i="2"/>
  <c r="I13" i="2"/>
  <c r="I12" i="2"/>
  <c r="M11" i="2"/>
  <c r="K11" i="2"/>
  <c r="I11" i="2"/>
  <c r="I10" i="2"/>
  <c r="M9" i="2"/>
  <c r="I9" i="2"/>
  <c r="J8" i="2"/>
  <c r="L8" i="2"/>
  <c r="I8" i="2"/>
  <c r="J7" i="2"/>
  <c r="L7" i="2"/>
  <c r="I7" i="2"/>
  <c r="J6" i="2"/>
  <c r="L6" i="2"/>
  <c r="H6" i="2"/>
  <c r="I6" i="2"/>
  <c r="J5" i="2"/>
  <c r="L5" i="2"/>
  <c r="I5" i="2"/>
  <c r="M4" i="2"/>
  <c r="J4" i="2"/>
  <c r="L4" i="2"/>
  <c r="I4" i="2"/>
  <c r="L3" i="2"/>
  <c r="I3" i="2"/>
  <c r="M67" i="1"/>
  <c r="G67" i="1"/>
  <c r="I67" i="1"/>
  <c r="J67" i="1"/>
  <c r="L67" i="1"/>
  <c r="M66" i="1"/>
  <c r="G66" i="1"/>
  <c r="I66" i="1"/>
  <c r="J66" i="1"/>
  <c r="L66" i="1"/>
  <c r="M65" i="1"/>
  <c r="G65" i="1"/>
  <c r="I65" i="1"/>
  <c r="J65" i="1"/>
  <c r="L65" i="1"/>
  <c r="L63" i="1"/>
  <c r="I63" i="1"/>
  <c r="H57" i="1"/>
  <c r="L57" i="1"/>
  <c r="I57" i="1"/>
  <c r="M56" i="1"/>
  <c r="L56" i="1"/>
  <c r="I56" i="1"/>
  <c r="M55" i="1"/>
  <c r="L55" i="1"/>
  <c r="I55" i="1"/>
  <c r="L48" i="1"/>
  <c r="I48" i="1"/>
  <c r="L47" i="1"/>
  <c r="I47" i="1"/>
  <c r="I43" i="1"/>
  <c r="I42" i="1"/>
  <c r="I41" i="1"/>
  <c r="M37" i="1"/>
  <c r="I37" i="1"/>
  <c r="G37" i="1"/>
  <c r="L35" i="1"/>
  <c r="I35" i="1"/>
  <c r="L34" i="1"/>
  <c r="I34" i="1"/>
  <c r="H33" i="1"/>
  <c r="L33" i="1"/>
  <c r="I33" i="1"/>
  <c r="L32" i="1"/>
  <c r="I32" i="1"/>
  <c r="I31" i="1"/>
  <c r="M30" i="1"/>
  <c r="I30" i="1"/>
  <c r="K28" i="1"/>
  <c r="I28" i="1"/>
  <c r="L26" i="1"/>
  <c r="I26" i="1"/>
  <c r="H25" i="1"/>
  <c r="I25" i="1"/>
  <c r="I24" i="1"/>
  <c r="H24" i="1"/>
  <c r="I21" i="1"/>
  <c r="I20" i="1"/>
  <c r="I19" i="1"/>
  <c r="M18" i="1"/>
  <c r="K18" i="1"/>
  <c r="I18" i="1"/>
  <c r="I17" i="1"/>
  <c r="M15" i="1"/>
  <c r="I15" i="1"/>
  <c r="J11" i="1"/>
  <c r="L11" i="1"/>
  <c r="I11" i="1"/>
  <c r="J10" i="1"/>
  <c r="L10" i="1"/>
  <c r="I10" i="1"/>
  <c r="J9" i="1"/>
  <c r="L9" i="1"/>
  <c r="H9" i="1"/>
  <c r="I9" i="1"/>
  <c r="J8" i="1"/>
  <c r="L8" i="1"/>
  <c r="I8" i="1"/>
  <c r="M7" i="1"/>
  <c r="J7" i="1"/>
  <c r="L7" i="1"/>
  <c r="I7" i="1"/>
  <c r="L6" i="1"/>
  <c r="I6" i="1"/>
</calcChain>
</file>

<file path=xl/comments1.xml><?xml version="1.0" encoding="utf-8"?>
<comments xmlns="http://schemas.openxmlformats.org/spreadsheetml/2006/main">
  <authors>
    <author/>
  </authors>
  <commentList>
    <comment ref="I3" authorId="0">
      <text>
        <r>
          <rPr>
            <sz val="10"/>
            <color rgb="FF000000"/>
            <rFont val="Arial"/>
          </rPr>
          <t xml:space="preserve">Lyndon Estes:
Calculate as (plot resolution * N sites) / 10000
</t>
        </r>
      </text>
    </comment>
    <comment ref="R3" authorId="0">
      <text>
        <r>
          <rPr>
            <sz val="10"/>
            <color rgb="FF000000"/>
            <rFont val="Arial"/>
          </rPr>
          <t>Lyndon Estes:
separate with semi-colon if more than one</t>
        </r>
      </text>
    </comment>
    <comment ref="H9" authorId="0">
      <text>
        <r>
          <rPr>
            <sz val="10"/>
            <color rgb="FF000000"/>
            <rFont val="Arial"/>
          </rPr>
          <t xml:space="preserve">Average
</t>
        </r>
      </text>
    </comment>
    <comment ref="H10" authorId="0">
      <text>
        <r>
          <rPr>
            <sz val="10"/>
            <color rgb="FF000000"/>
            <rFont val="Arial"/>
          </rPr>
          <t xml:space="preserve">Average
</t>
        </r>
      </text>
    </comment>
    <comment ref="H11" authorId="0">
      <text>
        <r>
          <rPr>
            <sz val="10"/>
            <color rgb="FF000000"/>
            <rFont val="Arial"/>
          </rPr>
          <t xml:space="preserve">Average
</t>
        </r>
      </text>
    </comment>
    <comment ref="H17" authorId="0">
      <text>
        <r>
          <rPr>
            <sz val="10"/>
            <color rgb="FF000000"/>
            <rFont val="Arial"/>
          </rPr>
          <t xml:space="preserve">Best assumption made
</t>
        </r>
      </text>
    </comment>
    <comment ref="G18" authorId="0">
      <text>
        <r>
          <rPr>
            <sz val="10"/>
            <color rgb="FF000000"/>
            <rFont val="Arial"/>
          </rPr>
          <t xml:space="preserve">Based on the assumption that Lysimeter is 2ft in diameter
</t>
        </r>
      </text>
    </comment>
    <comment ref="H18" authorId="0">
      <text>
        <r>
          <rPr>
            <sz val="10"/>
            <color rgb="FF000000"/>
            <rFont val="Arial"/>
          </rPr>
          <t xml:space="preserve">Best assumption made
</t>
        </r>
      </text>
    </comment>
    <comment ref="G19" authorId="0">
      <text>
        <r>
          <rPr>
            <sz val="10"/>
            <color rgb="FF000000"/>
            <rFont val="Arial"/>
          </rPr>
          <t>Assuming a dip net has a radius of 1 ft.</t>
        </r>
      </text>
    </comment>
    <comment ref="H19" authorId="0">
      <text>
        <r>
          <rPr>
            <sz val="10"/>
            <color rgb="FF000000"/>
            <rFont val="Arial"/>
          </rPr>
          <t>Assuming 5 samples were taken in the lake per day</t>
        </r>
      </text>
    </comment>
    <comment ref="H20" authorId="0">
      <text>
        <r>
          <rPr>
            <sz val="10"/>
            <color rgb="FF000000"/>
            <rFont val="Arial"/>
          </rPr>
          <t xml:space="preserve">Assuming 20 angling samples per day
</t>
        </r>
      </text>
    </comment>
    <comment ref="G21" authorId="0">
      <text>
        <r>
          <rPr>
            <sz val="10"/>
            <color rgb="FF000000"/>
            <rFont val="Arial"/>
          </rPr>
          <t>Assuming mangrove roots have a 10 meter radius around the trunk (http://www.mangrove.at/rhizophora-mangle_red-mangrove.html)</t>
        </r>
      </text>
    </comment>
    <comment ref="G30" authorId="0">
      <text>
        <r>
          <rPr>
            <sz val="10"/>
            <color rgb="FF000000"/>
            <rFont val="Arial"/>
          </rPr>
          <t>Assuming the range of electrofishing was 15x5 ft</t>
        </r>
      </text>
    </comment>
    <comment ref="F32" authorId="0">
      <text>
        <r>
          <rPr>
            <sz val="10"/>
            <color rgb="FF000000"/>
            <rFont val="Arial"/>
          </rPr>
          <t xml:space="preserve">WOCE AR01
</t>
        </r>
      </text>
    </comment>
    <comment ref="H32" authorId="0">
      <text>
        <r>
          <rPr>
            <sz val="10"/>
            <color rgb="FF000000"/>
            <rFont val="Arial"/>
          </rPr>
          <t>36 ten liter sample bottles were attached to 150 conductivity temperature depth hydropgrahic stations</t>
        </r>
      </text>
    </comment>
    <comment ref="R32" authorId="0">
      <text>
        <r>
          <rPr>
            <sz val="10"/>
            <color rgb="FF000000"/>
            <rFont val="Arial"/>
          </rPr>
          <t xml:space="preserve">I used this report to extract further information. DOI not provided in report.
</t>
        </r>
      </text>
    </comment>
    <comment ref="F33" authorId="0">
      <text>
        <r>
          <rPr>
            <sz val="10"/>
            <color rgb="FF000000"/>
            <rFont val="Arial"/>
          </rPr>
          <t xml:space="preserve">WOCE A14
</t>
        </r>
      </text>
    </comment>
    <comment ref="H33" authorId="0">
      <text>
        <r>
          <rPr>
            <sz val="10"/>
            <color rgb="FF000000"/>
            <rFont val="Arial"/>
          </rPr>
          <t>8 liter Niskin bottles were used at 107 sampling stations.</t>
        </r>
      </text>
    </comment>
    <comment ref="F34" authorId="0">
      <text>
        <r>
          <rPr>
            <sz val="10"/>
            <color rgb="FF000000"/>
            <rFont val="Arial"/>
          </rPr>
          <t xml:space="preserve">NSeas/Knorr
</t>
        </r>
      </text>
    </comment>
    <comment ref="H34" authorId="0">
      <text>
        <r>
          <rPr>
            <sz val="10"/>
            <color rgb="FF000000"/>
            <rFont val="Arial"/>
          </rPr>
          <t>10 8 liter Niskin bottles used at an estimated 140 sample stations.</t>
        </r>
      </text>
    </comment>
    <comment ref="R34" authorId="0">
      <text>
        <r>
          <rPr>
            <sz val="10"/>
            <color rgb="FF000000"/>
            <rFont val="Arial"/>
          </rPr>
          <t>http://cchdo.ucsd.edu/data/7444/a5repeat.pdf</t>
        </r>
      </text>
    </comment>
    <comment ref="F35" authorId="0">
      <text>
        <r>
          <rPr>
            <sz val="10"/>
            <color rgb="FF000000"/>
            <rFont val="Arial"/>
          </rPr>
          <t>CLIVAR A16N</t>
        </r>
      </text>
    </comment>
    <comment ref="R35" authorId="0">
      <text>
        <r>
          <rPr>
            <sz val="10"/>
            <color rgb="FF000000"/>
            <rFont val="Arial"/>
          </rPr>
          <t xml:space="preserve">No DOI available
</t>
        </r>
      </text>
    </comment>
    <comment ref="G37" authorId="0">
      <text>
        <r>
          <rPr>
            <sz val="10"/>
            <color rgb="FF000000"/>
            <rFont val="Arial"/>
          </rPr>
          <t>Assuming transects were 300 X 100</t>
        </r>
      </text>
    </comment>
    <comment ref="G41" authorId="0">
      <text>
        <r>
          <rPr>
            <sz val="10"/>
            <color rgb="FF000000"/>
            <rFont val="Arial"/>
          </rPr>
          <t>Best estimate made</t>
        </r>
      </text>
    </comment>
    <comment ref="M42" authorId="0">
      <text>
        <r>
          <rPr>
            <sz val="10"/>
            <color rgb="FF000000"/>
            <rFont val="Arial"/>
          </rPr>
          <t xml:space="preserve">Best estimate made
</t>
        </r>
      </text>
    </comment>
    <comment ref="M43" authorId="0">
      <text>
        <r>
          <rPr>
            <sz val="10"/>
            <color rgb="FF000000"/>
            <rFont val="Arial"/>
          </rPr>
          <t xml:space="preserve">Best estimate made
</t>
        </r>
      </text>
    </comment>
    <comment ref="H47" authorId="0">
      <text>
        <r>
          <rPr>
            <sz val="10"/>
            <color rgb="FF000000"/>
            <rFont val="Arial"/>
          </rPr>
          <t xml:space="preserve">Assuming imagery was taken in the four nature reserves
</t>
        </r>
      </text>
    </comment>
    <comment ref="M48" authorId="0">
      <text>
        <r>
          <rPr>
            <sz val="10"/>
            <color rgb="FF000000"/>
            <rFont val="Arial"/>
          </rPr>
          <t xml:space="preserve">Best estimate made
</t>
        </r>
      </text>
    </comment>
    <comment ref="G55" authorId="0">
      <text>
        <r>
          <rPr>
            <sz val="10"/>
            <color rgb="FF000000"/>
            <rFont val="Arial"/>
          </rPr>
          <t xml:space="preserve">Best-assumption made- very crude estimate
</t>
        </r>
      </text>
    </comment>
    <comment ref="J55" authorId="0">
      <text>
        <r>
          <rPr>
            <sz val="10"/>
            <color rgb="FF000000"/>
            <rFont val="Arial"/>
          </rPr>
          <t xml:space="preserve">assuming single sample took 1 hour to complete
</t>
        </r>
      </text>
    </comment>
    <comment ref="G57" authorId="0">
      <text>
        <r>
          <rPr>
            <sz val="10"/>
            <color rgb="FF000000"/>
            <rFont val="Arial"/>
          </rPr>
          <t xml:space="preserve">Assuming average plant patch size to be 5m by 5m
</t>
        </r>
      </text>
    </comment>
    <comment ref="J57" authorId="0">
      <text>
        <r>
          <rPr>
            <sz val="10"/>
            <color rgb="FF000000"/>
            <rFont val="Arial"/>
          </rPr>
          <t xml:space="preserve">Assuming collection took half a day
</t>
        </r>
      </text>
    </comment>
    <comment ref="K57" authorId="0">
      <text>
        <r>
          <rPr>
            <sz val="10"/>
            <color rgb="FF000000"/>
            <rFont val="Arial"/>
          </rPr>
          <t xml:space="preserve">Best assumption made
</t>
        </r>
      </text>
    </comment>
    <comment ref="M63" authorId="0">
      <text>
        <r>
          <rPr>
            <sz val="10"/>
            <color rgb="FF000000"/>
            <rFont val="Arial"/>
          </rPr>
          <t xml:space="preserve">Best estimate made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2" authorId="0">
      <text>
        <r>
          <rPr>
            <sz val="10"/>
            <color rgb="FF000000"/>
            <rFont val="Arial"/>
          </rPr>
          <t xml:space="preserve">Lyndon Estes:
Calculate as (plot resolution * N sites) / 10000
</t>
        </r>
      </text>
    </comment>
    <comment ref="R2" authorId="0">
      <text>
        <r>
          <rPr>
            <sz val="10"/>
            <color rgb="FF000000"/>
            <rFont val="Arial"/>
          </rPr>
          <t>Lyndon Estes:
separate with semi-colon if more than one</t>
        </r>
      </text>
    </comment>
    <comment ref="H6" authorId="0">
      <text>
        <r>
          <rPr>
            <sz val="10"/>
            <color rgb="FF000000"/>
            <rFont val="Arial"/>
          </rPr>
          <t xml:space="preserve">Average
</t>
        </r>
      </text>
    </comment>
    <comment ref="H7" authorId="0">
      <text>
        <r>
          <rPr>
            <sz val="10"/>
            <color rgb="FF000000"/>
            <rFont val="Arial"/>
          </rPr>
          <t xml:space="preserve">Average
</t>
        </r>
      </text>
    </comment>
    <comment ref="H8" authorId="0">
      <text>
        <r>
          <rPr>
            <sz val="10"/>
            <color rgb="FF000000"/>
            <rFont val="Arial"/>
          </rPr>
          <t xml:space="preserve">Average
</t>
        </r>
      </text>
    </comment>
    <comment ref="H10" authorId="0">
      <text>
        <r>
          <rPr>
            <sz val="10"/>
            <color rgb="FF000000"/>
            <rFont val="Arial"/>
          </rPr>
          <t xml:space="preserve">Best assumption made
</t>
        </r>
      </text>
    </comment>
    <comment ref="G11" authorId="0">
      <text>
        <r>
          <rPr>
            <sz val="10"/>
            <color rgb="FF000000"/>
            <rFont val="Arial"/>
          </rPr>
          <t xml:space="preserve">Based on the assumption that Lysimeter is 2ft in diameter
</t>
        </r>
      </text>
    </comment>
    <comment ref="H11" authorId="0">
      <text>
        <r>
          <rPr>
            <sz val="10"/>
            <color rgb="FF000000"/>
            <rFont val="Arial"/>
          </rPr>
          <t xml:space="preserve">Best assumption made
</t>
        </r>
      </text>
    </comment>
    <comment ref="G12" authorId="0">
      <text>
        <r>
          <rPr>
            <sz val="10"/>
            <color rgb="FF000000"/>
            <rFont val="Arial"/>
          </rPr>
          <t>Assuming a dip net has a radius of 1 ft.</t>
        </r>
      </text>
    </comment>
    <comment ref="H12" authorId="0">
      <text>
        <r>
          <rPr>
            <sz val="10"/>
            <color rgb="FF000000"/>
            <rFont val="Arial"/>
          </rPr>
          <t>Assuming 5 samples were taken in the lake per day</t>
        </r>
      </text>
    </comment>
    <comment ref="H13" authorId="0">
      <text>
        <r>
          <rPr>
            <sz val="10"/>
            <color rgb="FF000000"/>
            <rFont val="Arial"/>
          </rPr>
          <t xml:space="preserve">Assuming 20 angling samples per day
</t>
        </r>
      </text>
    </comment>
    <comment ref="G14" authorId="0">
      <text>
        <r>
          <rPr>
            <sz val="10"/>
            <color rgb="FF000000"/>
            <rFont val="Arial"/>
          </rPr>
          <t>Assuming mangrove roots have a 10 meter radius around the trunk (http://www.mangrove.at/rhizophora-mangle_red-mangrove.html)</t>
        </r>
      </text>
    </comment>
    <comment ref="G19" authorId="0">
      <text>
        <r>
          <rPr>
            <sz val="10"/>
            <color rgb="FF000000"/>
            <rFont val="Arial"/>
          </rPr>
          <t>Assuming the range of electrofishing was 15x5 ft</t>
        </r>
      </text>
    </comment>
    <comment ref="F21" authorId="0">
      <text>
        <r>
          <rPr>
            <sz val="10"/>
            <color rgb="FF000000"/>
            <rFont val="Arial"/>
          </rPr>
          <t xml:space="preserve">WOCE AR01
</t>
        </r>
      </text>
    </comment>
    <comment ref="H21" authorId="0">
      <text>
        <r>
          <rPr>
            <sz val="10"/>
            <color rgb="FF000000"/>
            <rFont val="Arial"/>
          </rPr>
          <t>36 ten liter sample bottles were attached to 150 conductivity temperature depth hydropgrahic stations</t>
        </r>
      </text>
    </comment>
    <comment ref="R21" authorId="0">
      <text>
        <r>
          <rPr>
            <sz val="10"/>
            <color rgb="FF000000"/>
            <rFont val="Arial"/>
          </rPr>
          <t xml:space="preserve">I used this report to extract further information. DOI not provided in report.
</t>
        </r>
      </text>
    </comment>
    <comment ref="F22" authorId="0">
      <text>
        <r>
          <rPr>
            <sz val="10"/>
            <color rgb="FF000000"/>
            <rFont val="Arial"/>
          </rPr>
          <t xml:space="preserve">WOCE A14
</t>
        </r>
      </text>
    </comment>
    <comment ref="H22" authorId="0">
      <text>
        <r>
          <rPr>
            <sz val="10"/>
            <color rgb="FF000000"/>
            <rFont val="Arial"/>
          </rPr>
          <t>8 liter Niskin bottles were used at 107 sampling stations.</t>
        </r>
      </text>
    </comment>
    <comment ref="F23" authorId="0">
      <text>
        <r>
          <rPr>
            <sz val="10"/>
            <color rgb="FF000000"/>
            <rFont val="Arial"/>
          </rPr>
          <t xml:space="preserve">NSeas/Knorr
</t>
        </r>
      </text>
    </comment>
    <comment ref="H23" authorId="0">
      <text>
        <r>
          <rPr>
            <sz val="10"/>
            <color rgb="FF000000"/>
            <rFont val="Arial"/>
          </rPr>
          <t>10 8 liter Niskin bottles used at an estimated 140 sample stations.</t>
        </r>
      </text>
    </comment>
    <comment ref="R23" authorId="0">
      <text>
        <r>
          <rPr>
            <sz val="10"/>
            <color rgb="FF000000"/>
            <rFont val="Arial"/>
          </rPr>
          <t>http://cchdo.ucsd.edu/data/7444/a5repeat.pdf</t>
        </r>
      </text>
    </comment>
    <comment ref="F24" authorId="0">
      <text>
        <r>
          <rPr>
            <sz val="10"/>
            <color rgb="FF000000"/>
            <rFont val="Arial"/>
          </rPr>
          <t>CLIVAR A16N</t>
        </r>
      </text>
    </comment>
    <comment ref="R24" authorId="0">
      <text>
        <r>
          <rPr>
            <sz val="10"/>
            <color rgb="FF000000"/>
            <rFont val="Arial"/>
          </rPr>
          <t xml:space="preserve">No DOI available
</t>
        </r>
      </text>
    </comment>
    <comment ref="G25" authorId="0">
      <text>
        <r>
          <rPr>
            <sz val="10"/>
            <color rgb="FF000000"/>
            <rFont val="Arial"/>
          </rPr>
          <t>Assuming transects were 300 X 100</t>
        </r>
      </text>
    </comment>
    <comment ref="G26" authorId="0">
      <text>
        <r>
          <rPr>
            <sz val="10"/>
            <color rgb="FF000000"/>
            <rFont val="Arial"/>
          </rPr>
          <t>Best estimate made</t>
        </r>
      </text>
    </comment>
    <comment ref="M27" authorId="0">
      <text>
        <r>
          <rPr>
            <sz val="10"/>
            <color rgb="FF000000"/>
            <rFont val="Arial"/>
          </rPr>
          <t xml:space="preserve">Best estimate made
</t>
        </r>
      </text>
    </comment>
    <comment ref="M28" authorId="0">
      <text>
        <r>
          <rPr>
            <sz val="10"/>
            <color rgb="FF000000"/>
            <rFont val="Arial"/>
          </rPr>
          <t xml:space="preserve">Best estimate made
</t>
        </r>
      </text>
    </comment>
    <comment ref="H29" authorId="0">
      <text>
        <r>
          <rPr>
            <sz val="10"/>
            <color rgb="FF000000"/>
            <rFont val="Arial"/>
          </rPr>
          <t xml:space="preserve">Assuming imagery was taken in the four nature reserves
</t>
        </r>
      </text>
    </comment>
    <comment ref="M30" authorId="0">
      <text>
        <r>
          <rPr>
            <sz val="10"/>
            <color rgb="FF000000"/>
            <rFont val="Arial"/>
          </rPr>
          <t xml:space="preserve">Best estimate made
</t>
        </r>
      </text>
    </comment>
    <comment ref="G31" authorId="0">
      <text>
        <r>
          <rPr>
            <sz val="10"/>
            <color rgb="FF000000"/>
            <rFont val="Arial"/>
          </rPr>
          <t xml:space="preserve">Best-assumption made- very crude estimate
</t>
        </r>
      </text>
    </comment>
    <comment ref="J31" authorId="0">
      <text>
        <r>
          <rPr>
            <sz val="10"/>
            <color rgb="FF000000"/>
            <rFont val="Arial"/>
          </rPr>
          <t xml:space="preserve">assuming single sample took 1 hour to complete
</t>
        </r>
      </text>
    </comment>
    <comment ref="G33" authorId="0">
      <text>
        <r>
          <rPr>
            <sz val="10"/>
            <color rgb="FF000000"/>
            <rFont val="Arial"/>
          </rPr>
          <t xml:space="preserve">Assuming average plant patch size to be 5m by 5m
</t>
        </r>
      </text>
    </comment>
    <comment ref="J33" authorId="0">
      <text>
        <r>
          <rPr>
            <sz val="10"/>
            <color rgb="FF000000"/>
            <rFont val="Arial"/>
          </rPr>
          <t xml:space="preserve">Assuming collection took half a day
</t>
        </r>
      </text>
    </comment>
    <comment ref="K33" authorId="0">
      <text>
        <r>
          <rPr>
            <sz val="10"/>
            <color rgb="FF000000"/>
            <rFont val="Arial"/>
          </rPr>
          <t xml:space="preserve">Best assumption made
</t>
        </r>
      </text>
    </comment>
    <comment ref="M34" authorId="0">
      <text>
        <r>
          <rPr>
            <sz val="10"/>
            <color rgb="FF000000"/>
            <rFont val="Arial"/>
          </rPr>
          <t xml:space="preserve">Best estimate made
</t>
        </r>
      </text>
    </comment>
  </commentList>
</comments>
</file>

<file path=xl/sharedStrings.xml><?xml version="1.0" encoding="utf-8"?>
<sst xmlns="http://schemas.openxmlformats.org/spreadsheetml/2006/main" count="605" uniqueCount="201">
  <si>
    <r>
      <rPr>
        <sz val="10"/>
        <color rgb="FFFF0000"/>
        <rFont val="Arial"/>
      </rPr>
      <t>Studies in green are inclusion papers</t>
    </r>
    <r>
      <rPr>
        <sz val="10"/>
        <color rgb="FF000000"/>
        <rFont val="Arial"/>
      </rPr>
      <t>/Studies in red are exclusion papers/Studies in yellow are papers that meet inclusion criteria, but data parameters were highly subjective and an estimate was made.</t>
    </r>
  </si>
  <si>
    <t>m^2</t>
  </si>
  <si>
    <t>n</t>
  </si>
  <si>
    <t>ha</t>
  </si>
  <si>
    <t>days</t>
  </si>
  <si>
    <t>journal</t>
  </si>
  <si>
    <t>DOI</t>
  </si>
  <si>
    <t>study_year</t>
  </si>
  <si>
    <t>study_type</t>
  </si>
  <si>
    <t>country_region</t>
  </si>
  <si>
    <t>subject_matter</t>
  </si>
  <si>
    <t>plot_res</t>
  </si>
  <si>
    <t>n_sites</t>
  </si>
  <si>
    <t>sampled_area</t>
  </si>
  <si>
    <t>samp_duration</t>
  </si>
  <si>
    <t>t_btwn_samp</t>
  </si>
  <si>
    <t>study_duration</t>
  </si>
  <si>
    <t>study_span</t>
  </si>
  <si>
    <t>composition</t>
  </si>
  <si>
    <t>structure</t>
  </si>
  <si>
    <t>function</t>
  </si>
  <si>
    <t>tax_breadth</t>
  </si>
  <si>
    <t>DOI_data_source</t>
  </si>
  <si>
    <t>sensitivity</t>
  </si>
  <si>
    <t>notes</t>
  </si>
  <si>
    <t>Ecological Economics</t>
  </si>
  <si>
    <t>10.1016/j.ecolecon.2004.10.014</t>
  </si>
  <si>
    <t>No spatial component</t>
  </si>
  <si>
    <t>Ecological Applications</t>
  </si>
  <si>
    <t>http://dx.doi.org/10.1890/08-1463.1</t>
  </si>
  <si>
    <t>field/direct observation</t>
  </si>
  <si>
    <t>Canada</t>
  </si>
  <si>
    <t>Beetle diversity</t>
  </si>
  <si>
    <t>Experimental</t>
  </si>
  <si>
    <t>Oecologia</t>
  </si>
  <si>
    <t>10.1007/s00442-009-1319-8</t>
  </si>
  <si>
    <t>Japan (Erimo)</t>
  </si>
  <si>
    <t>Hynobius retardatus</t>
  </si>
  <si>
    <t>http://www.bioone.org/doi/pdf/10.2108/zsj.19.703</t>
  </si>
  <si>
    <t>plot_res\sampled_area\samp_duration</t>
  </si>
  <si>
    <t>Experimental, but has field component</t>
  </si>
  <si>
    <t>American Naturalist</t>
  </si>
  <si>
    <t>http://dx.doi.org.proxy-bc.researchport.umd.edu/10.5061/dryad.73fr5.</t>
  </si>
  <si>
    <t>Florida</t>
  </si>
  <si>
    <t>Poecilia latipinna</t>
  </si>
  <si>
    <t>http://www.jstor.org/stable/2408916</t>
  </si>
  <si>
    <t>Genetic study, but has field component</t>
  </si>
  <si>
    <t>Global Change Biology</t>
  </si>
  <si>
    <t>10.1111/j.1365-2486.2008.01799.x</t>
  </si>
  <si>
    <t>Kenya</t>
  </si>
  <si>
    <t>Porite growth anomaly</t>
  </si>
  <si>
    <t>sample_duration\study_duration</t>
  </si>
  <si>
    <t>Number of sites were given in a range, I used the average of the range.</t>
  </si>
  <si>
    <t>Benthic cover</t>
  </si>
  <si>
    <t>Seawater</t>
  </si>
  <si>
    <t>plot_res\sample_duration\study_duration\t_btw_samp</t>
  </si>
  <si>
    <t>Biological Conservation</t>
  </si>
  <si>
    <t>10.1016/j.biocon.2013.11.026</t>
  </si>
  <si>
    <t>Model</t>
  </si>
  <si>
    <t>Conservation Biology</t>
  </si>
  <si>
    <t>10.1111/j.1523-1739.2006.00589.x</t>
  </si>
  <si>
    <t>Risk assesment. no spatial component</t>
  </si>
  <si>
    <t>doi:10.1016/j.ecolecon.2013.05.007</t>
  </si>
  <si>
    <t>Proceedings of the Royal Society B-Biological Sciences</t>
  </si>
  <si>
    <t>10.1098/rspb.2007.0424</t>
  </si>
  <si>
    <t>Lamprotornis superbus</t>
  </si>
  <si>
    <t>plot_res\n_sites\sampled_area\study_duration</t>
  </si>
  <si>
    <t>10.1016/j.ecolecon.2008.02.020</t>
  </si>
  <si>
    <t>Survey</t>
  </si>
  <si>
    <t>Ecosystems</t>
  </si>
  <si>
    <t>10.1007/s10021-003-0127-y</t>
  </si>
  <si>
    <t>New York</t>
  </si>
  <si>
    <t>Soil Sampling</t>
  </si>
  <si>
    <t>plot_res\n_sites\sampled_area\samp_duration\study_span</t>
  </si>
  <si>
    <t>Number of sites were not provided: best estimate made</t>
  </si>
  <si>
    <t>Lysimeter Sampling</t>
  </si>
  <si>
    <t>Behavioral Ecology</t>
  </si>
  <si>
    <t>doi:10.1093/beheco/art072</t>
  </si>
  <si>
    <t>Lepomis macrochirus</t>
  </si>
  <si>
    <t>plot_res\n_sites\sampled_area\samp_duration</t>
  </si>
  <si>
    <t>doi:10.1093/beheco/art073</t>
  </si>
  <si>
    <t>doi: 10.1111/j.1365-2486.2010.02356.x</t>
  </si>
  <si>
    <t>remote sensing</t>
  </si>
  <si>
    <t>Fiji</t>
  </si>
  <si>
    <t>L. scabra</t>
  </si>
  <si>
    <t>plot_res\sample_duration\study_duration\t_btw_samp\study_duration\study_span</t>
  </si>
  <si>
    <t>10.1098/rspb.2010.2699</t>
  </si>
  <si>
    <t>No spatial/temporal component</t>
  </si>
  <si>
    <t>0.1098/rspb.2006.0209</t>
  </si>
  <si>
    <t>10.1007/s10021-012-9621-4</t>
  </si>
  <si>
    <t>Tanzania</t>
  </si>
  <si>
    <t>Soil</t>
  </si>
  <si>
    <t>10.1111/j.1365-2486.2011.02433.x</t>
  </si>
  <si>
    <t>Alaska</t>
  </si>
  <si>
    <t>CO₂</t>
  </si>
  <si>
    <t>plot_res\sample_duration\study_duration\t_btw_samp\study_span</t>
  </si>
  <si>
    <t>10.1016/j.biocon.2011.11.008</t>
  </si>
  <si>
    <t xml:space="preserve">Solomon Islands </t>
  </si>
  <si>
    <t>Understory plant diversity</t>
  </si>
  <si>
    <t>10.1007/s00442-010-1870-3</t>
  </si>
  <si>
    <t>10.1111/j.1365-2486.2006.01197.x</t>
  </si>
  <si>
    <t>China</t>
  </si>
  <si>
    <t>CO2 and H2O flux</t>
  </si>
  <si>
    <t>n_sites\sampled_area\sample_duration\study_duration\t_btw_samp\study_duration\study_span</t>
  </si>
  <si>
    <t>Biogeosciences</t>
  </si>
  <si>
    <t>10.5194/bg-11-1137-2014</t>
  </si>
  <si>
    <t>Biology Letters</t>
  </si>
  <si>
    <t>10.1098/rsbl.2009.0872</t>
  </si>
  <si>
    <t>Scotland</t>
  </si>
  <si>
    <t>Trout</t>
  </si>
  <si>
    <t>plot_res\sample_duration\study_duration\t_btw_samp\study_duration</t>
  </si>
  <si>
    <t>Journal of Ecology</t>
  </si>
  <si>
    <t>10.1111/j.1365-2745.2010.01687.x</t>
  </si>
  <si>
    <t>Luxembourg</t>
  </si>
  <si>
    <t>Plant species</t>
  </si>
  <si>
    <t>samp_duration\t_btwn_samp</t>
  </si>
  <si>
    <t>10.5194/bg-6-439-2009</t>
  </si>
  <si>
    <t>Atlantic Ocean</t>
  </si>
  <si>
    <t>Anthropogenic Carbon</t>
  </si>
  <si>
    <t>http://cchdo.ucsd.edu/data/7444/a5repeat.pdf</t>
  </si>
  <si>
    <t>http://cdiac.ornl.gov/ftp/oceans/a14a13woce/Rios2003JGR108.pdf</t>
  </si>
  <si>
    <t>10.5194/bg-6-439-2010</t>
  </si>
  <si>
    <t>10.1029/2000JC000366</t>
  </si>
  <si>
    <t>10.5194/bg-6-439-2011</t>
  </si>
  <si>
    <t>10.1029/2005GB002669</t>
  </si>
  <si>
    <t>n_sites\samp_duration\t_btwn_samp</t>
  </si>
  <si>
    <t>10.5194/bg-6-439-2012</t>
  </si>
  <si>
    <t>http://cdiac.ornl.gov/oceans/ndp_085/</t>
  </si>
  <si>
    <t>10.1016/j.ecolecon.2006.11.015</t>
  </si>
  <si>
    <t>10.1016/j.biocon.2011.12.002</t>
  </si>
  <si>
    <t>North Sea/Baltic Sea</t>
  </si>
  <si>
    <t>Bird Species</t>
  </si>
  <si>
    <t>plot_res\sample_duration\study_duration\study_duration</t>
  </si>
  <si>
    <t>10.1016/j.biocon.2012.11.003</t>
  </si>
  <si>
    <t>Agriculture, Ecosystems &amp; Environment</t>
  </si>
  <si>
    <t>10.1016/j.agee.2013.04.001</t>
  </si>
  <si>
    <t>Frontiers in Ecology and the Environment</t>
  </si>
  <si>
    <t>http://dx.doi.org/10.1890/1540-9295-10.6.283</t>
  </si>
  <si>
    <t>Editorial- not an academic paper with a spatial and temporal component</t>
  </si>
  <si>
    <t>10.1007/s00442-008-1108-9</t>
  </si>
  <si>
    <t>Hawaii</t>
  </si>
  <si>
    <t>Ferns</t>
  </si>
  <si>
    <t>plot_res\sampled_area\samp_duration\t_btwn_samp\study_duration\study_span</t>
  </si>
  <si>
    <t>This paper did not provide much data to extract- several fields are pure estimates</t>
  </si>
  <si>
    <t>10.1016/j.biocon.2009.11.018</t>
  </si>
  <si>
    <t>other geographic data</t>
  </si>
  <si>
    <t>Global</t>
  </si>
  <si>
    <t>Human Footprint</t>
  </si>
  <si>
    <t>samp_duratiion\t_Btwn_Samp\study_duration\study_span</t>
  </si>
  <si>
    <t>10.1016/j.biocon.2009.11.019</t>
  </si>
  <si>
    <t>http://dx.doi.org/10.1890/13.WB.001</t>
  </si>
  <si>
    <t>10.1086/675691</t>
  </si>
  <si>
    <t>http://dx.doi.org/10.1890/080192</t>
  </si>
  <si>
    <t>Panda Habitat</t>
  </si>
  <si>
    <t>n_sites\samp_duratiion\t_Btwn_Samp\study_duration</t>
  </si>
  <si>
    <t>10.1111/j.1365-2486.2011.02448.x</t>
  </si>
  <si>
    <t>Panama</t>
  </si>
  <si>
    <t>CO₂ and CH4 fluxes</t>
  </si>
  <si>
    <t>t_btwn_samp\study_span</t>
  </si>
  <si>
    <t>10.1098/rsbl.2010.0639</t>
  </si>
  <si>
    <t>10.5194/bg-7-333-2010</t>
  </si>
  <si>
    <t>10.1098/rsbl.2004.0282</t>
  </si>
  <si>
    <t>No spatial/temporal component- molecular study</t>
  </si>
  <si>
    <t>10.1111/j.1523-1739.2008.01158.x</t>
  </si>
  <si>
    <t>Literature review</t>
  </si>
  <si>
    <t>10.1111/j.1365-2745.2009.01485.x</t>
  </si>
  <si>
    <t>Oikos</t>
  </si>
  <si>
    <t>10.1111/j.2007.0030-1299.15315.x</t>
  </si>
  <si>
    <t>Biological Sciences</t>
  </si>
  <si>
    <t>10.1098/rspb.2011.0708</t>
  </si>
  <si>
    <t>Western Mediterranean Sea</t>
  </si>
  <si>
    <t>A. catenella</t>
  </si>
  <si>
    <t>10.1007/s00227-005-0067-5</t>
  </si>
  <si>
    <t>plot_res\sampled_area\samp_duration\t_btwn_samp\study_duration</t>
  </si>
  <si>
    <t>Community Ecology</t>
  </si>
  <si>
    <t>10.1007/s00442-007-0856-2</t>
  </si>
  <si>
    <t>Connecticut/Massachusetts/New Hampshire</t>
  </si>
  <si>
    <t>Ambystoma maculatum</t>
  </si>
  <si>
    <t>Biological sciences</t>
  </si>
  <si>
    <t>10.1098/rspb.2005.3359</t>
  </si>
  <si>
    <t>California</t>
  </si>
  <si>
    <t>Timema cristinae</t>
  </si>
  <si>
    <t>plot_res\sampled_area\samp_duration\t_btwn_samp</t>
  </si>
  <si>
    <t>10.5061/dryad.t4g3r</t>
  </si>
  <si>
    <t>10.1890/03-5078</t>
  </si>
  <si>
    <t>10.1086/659629</t>
  </si>
  <si>
    <t>10.1016/j.ecolecon.2009.04.012</t>
  </si>
  <si>
    <t>10.1016/j.ecolecon.2010.05.011</t>
  </si>
  <si>
    <t>10.5194/bg-8-687-2011</t>
  </si>
  <si>
    <t>Lake Mashu</t>
  </si>
  <si>
    <t>Nitrate Concentrations</t>
  </si>
  <si>
    <t>samp_duration\study_span</t>
  </si>
  <si>
    <t>10.1098/rspb.2007.0891</t>
  </si>
  <si>
    <t>10.1007/s00442-012-2438-1</t>
  </si>
  <si>
    <t>Australia</t>
  </si>
  <si>
    <t>Avifauana</t>
  </si>
  <si>
    <t>1995-1997</t>
  </si>
  <si>
    <t>10.1007/s00442-012-2438-2</t>
  </si>
  <si>
    <t>1996-1997</t>
  </si>
  <si>
    <t>10.1007/s00442-012-2438-3</t>
  </si>
  <si>
    <t>2001-2002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</si>
</sst>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7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sz val="9"/>
      <name val="Arial"/>
    </font>
    <font>
      <sz val="10"/>
      <color rgb="FF333333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9"/>
      <color rgb="FF000000"/>
      <name val="Arial"/>
    </font>
    <font>
      <sz val="10"/>
      <color rgb="FF2E2E2E"/>
      <name val="Arial"/>
    </font>
    <font>
      <i/>
      <sz val="10"/>
      <color rgb="FF333333"/>
      <name val="Arial"/>
    </font>
    <font>
      <sz val="10"/>
      <color rgb="FF333132"/>
      <name val="Arial"/>
    </font>
    <font>
      <i/>
      <sz val="10"/>
      <color rgb="FF333132"/>
      <name val="Arial"/>
    </font>
    <font>
      <sz val="8"/>
      <name val="Arial"/>
    </font>
    <font>
      <sz val="10"/>
      <color rgb="FF222222"/>
      <name val="Arial"/>
    </font>
    <font>
      <sz val="11"/>
      <name val="Arial"/>
    </font>
    <font>
      <sz val="10"/>
      <color rgb="FFFF000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64" fontId="2" fillId="3" borderId="2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 applyAlignment="1"/>
    <xf numFmtId="0" fontId="2" fillId="3" borderId="1" xfId="0" applyFont="1" applyFill="1" applyBorder="1" applyAlignment="1"/>
    <xf numFmtId="0" fontId="4" fillId="3" borderId="2" xfId="0" applyFont="1" applyFill="1" applyBorder="1" applyAlignment="1"/>
    <xf numFmtId="0" fontId="2" fillId="3" borderId="2" xfId="0" applyFont="1" applyFill="1" applyBorder="1" applyAlignment="1"/>
    <xf numFmtId="0" fontId="2" fillId="3" borderId="2" xfId="0" applyFont="1" applyFill="1" applyBorder="1" applyAlignment="1"/>
    <xf numFmtId="0" fontId="2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0" fontId="0" fillId="4" borderId="0" xfId="0" applyFont="1" applyFill="1" applyAlignment="1">
      <alignment horizontal="left"/>
    </xf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164" fontId="2" fillId="4" borderId="0" xfId="0" applyNumberFormat="1" applyFont="1" applyFill="1" applyAlignment="1"/>
    <xf numFmtId="0" fontId="5" fillId="4" borderId="0" xfId="0" applyFont="1" applyFill="1" applyAlignment="1"/>
    <xf numFmtId="0" fontId="2" fillId="4" borderId="4" xfId="0" applyFont="1" applyFill="1" applyBorder="1" applyAlignment="1"/>
    <xf numFmtId="0" fontId="6" fillId="4" borderId="5" xfId="0" applyFont="1" applyFill="1" applyBorder="1" applyAlignment="1"/>
    <xf numFmtId="0" fontId="2" fillId="4" borderId="5" xfId="0" applyFont="1" applyFill="1" applyBorder="1" applyAlignment="1">
      <alignment horizontal="right"/>
    </xf>
    <xf numFmtId="0" fontId="2" fillId="4" borderId="5" xfId="0" applyFont="1" applyFill="1" applyBorder="1" applyAlignment="1"/>
    <xf numFmtId="0" fontId="2" fillId="4" borderId="5" xfId="0" applyFont="1" applyFill="1" applyBorder="1" applyAlignment="1"/>
    <xf numFmtId="0" fontId="2" fillId="4" borderId="5" xfId="0" applyFont="1" applyFill="1" applyBorder="1" applyAlignment="1"/>
    <xf numFmtId="0" fontId="2" fillId="4" borderId="5" xfId="0" applyFont="1" applyFill="1" applyBorder="1"/>
    <xf numFmtId="0" fontId="2" fillId="4" borderId="5" xfId="0" applyFont="1" applyFill="1" applyBorder="1"/>
    <xf numFmtId="0" fontId="7" fillId="4" borderId="5" xfId="0" applyFont="1" applyFill="1" applyBorder="1" applyAlignment="1">
      <alignment horizontal="left"/>
    </xf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8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0" fontId="2" fillId="4" borderId="0" xfId="0" applyFont="1" applyFill="1"/>
    <xf numFmtId="0" fontId="2" fillId="4" borderId="0" xfId="0" applyFont="1" applyFill="1"/>
    <xf numFmtId="0" fontId="9" fillId="4" borderId="0" xfId="0" applyFont="1" applyFill="1" applyAlignment="1">
      <alignment horizontal="left"/>
    </xf>
    <xf numFmtId="0" fontId="10" fillId="4" borderId="4" xfId="0" applyFont="1" applyFill="1" applyBorder="1" applyAlignment="1"/>
    <xf numFmtId="0" fontId="10" fillId="4" borderId="5" xfId="0" applyFont="1" applyFill="1" applyBorder="1" applyAlignment="1"/>
    <xf numFmtId="0" fontId="2" fillId="4" borderId="5" xfId="0" applyFont="1" applyFill="1" applyBorder="1" applyAlignment="1">
      <alignment horizontal="right"/>
    </xf>
    <xf numFmtId="164" fontId="2" fillId="4" borderId="5" xfId="0" applyNumberFormat="1" applyFont="1" applyFill="1" applyBorder="1" applyAlignment="1"/>
    <xf numFmtId="0" fontId="2" fillId="4" borderId="5" xfId="0" applyFont="1" applyFill="1" applyBorder="1" applyAlignment="1"/>
    <xf numFmtId="0" fontId="2" fillId="4" borderId="5" xfId="0" applyFont="1" applyFill="1" applyBorder="1" applyAlignment="1"/>
    <xf numFmtId="0" fontId="10" fillId="4" borderId="6" xfId="0" applyFont="1" applyFill="1" applyBorder="1" applyAlignment="1"/>
    <xf numFmtId="0" fontId="10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0" fontId="10" fillId="4" borderId="7" xfId="0" applyFont="1" applyFill="1" applyBorder="1" applyAlignment="1"/>
    <xf numFmtId="0" fontId="10" fillId="4" borderId="8" xfId="0" applyFont="1" applyFill="1" applyBorder="1" applyAlignment="1"/>
    <xf numFmtId="0" fontId="2" fillId="4" borderId="8" xfId="0" applyFont="1" applyFill="1" applyBorder="1" applyAlignment="1"/>
    <xf numFmtId="0" fontId="2" fillId="4" borderId="8" xfId="0" applyFont="1" applyFill="1" applyBorder="1" applyAlignment="1"/>
    <xf numFmtId="0" fontId="2" fillId="4" borderId="8" xfId="0" applyFont="1" applyFill="1" applyBorder="1" applyAlignment="1"/>
    <xf numFmtId="0" fontId="2" fillId="4" borderId="8" xfId="0" applyFont="1" applyFill="1" applyBorder="1" applyAlignment="1">
      <alignment horizontal="right"/>
    </xf>
    <xf numFmtId="164" fontId="2" fillId="4" borderId="8" xfId="0" applyNumberFormat="1" applyFont="1" applyFill="1" applyBorder="1" applyAlignment="1"/>
    <xf numFmtId="0" fontId="2" fillId="4" borderId="8" xfId="0" applyFont="1" applyFill="1" applyBorder="1"/>
    <xf numFmtId="0" fontId="2" fillId="4" borderId="8" xfId="0" applyFont="1" applyFill="1" applyBorder="1" applyAlignment="1"/>
    <xf numFmtId="0" fontId="2" fillId="4" borderId="8" xfId="0" applyFont="1" applyFill="1" applyBorder="1" applyAlignment="1"/>
    <xf numFmtId="0" fontId="10" fillId="3" borderId="1" xfId="0" applyFont="1" applyFill="1" applyBorder="1" applyAlignment="1"/>
    <xf numFmtId="0" fontId="11" fillId="3" borderId="2" xfId="0" applyFont="1" applyFill="1" applyBorder="1" applyAlignment="1"/>
    <xf numFmtId="0" fontId="10" fillId="3" borderId="2" xfId="0" applyFont="1" applyFill="1" applyBorder="1" applyAlignment="1"/>
    <xf numFmtId="0" fontId="12" fillId="3" borderId="2" xfId="0" applyFont="1" applyFill="1" applyBorder="1" applyAlignment="1"/>
    <xf numFmtId="0" fontId="2" fillId="3" borderId="2" xfId="0" applyFont="1" applyFill="1" applyBorder="1" applyAlignment="1"/>
    <xf numFmtId="0" fontId="10" fillId="4" borderId="1" xfId="0" applyFont="1" applyFill="1" applyBorder="1" applyAlignment="1"/>
    <xf numFmtId="0" fontId="2" fillId="4" borderId="2" xfId="0" applyFont="1" applyFill="1" applyBorder="1" applyAlignment="1"/>
    <xf numFmtId="0" fontId="10" fillId="4" borderId="2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/>
    <xf numFmtId="0" fontId="10" fillId="3" borderId="4" xfId="0" applyFont="1" applyFill="1" applyBorder="1" applyAlignment="1"/>
    <xf numFmtId="0" fontId="11" fillId="3" borderId="5" xfId="0" applyFont="1" applyFill="1" applyBorder="1" applyAlignment="1"/>
    <xf numFmtId="0" fontId="10" fillId="3" borderId="5" xfId="0" applyFont="1" applyFill="1" applyBorder="1" applyAlignment="1"/>
    <xf numFmtId="0" fontId="2" fillId="3" borderId="5" xfId="0" applyFont="1" applyFill="1" applyBorder="1"/>
    <xf numFmtId="0" fontId="2" fillId="3" borderId="5" xfId="0" applyFont="1" applyFill="1" applyBorder="1" applyAlignment="1"/>
    <xf numFmtId="0" fontId="13" fillId="4" borderId="5" xfId="0" applyFont="1" applyFill="1" applyBorder="1" applyAlignment="1"/>
    <xf numFmtId="0" fontId="2" fillId="4" borderId="9" xfId="0" applyFont="1" applyFill="1" applyBorder="1" applyAlignment="1"/>
    <xf numFmtId="0" fontId="2" fillId="4" borderId="8" xfId="0" applyFont="1" applyFill="1" applyBorder="1" applyAlignment="1"/>
    <xf numFmtId="0" fontId="13" fillId="4" borderId="8" xfId="0" applyFont="1" applyFill="1" applyBorder="1" applyAlignment="1"/>
    <xf numFmtId="0" fontId="2" fillId="4" borderId="10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/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/>
    <xf numFmtId="0" fontId="2" fillId="4" borderId="3" xfId="0" applyFont="1" applyFill="1" applyBorder="1"/>
    <xf numFmtId="0" fontId="11" fillId="4" borderId="2" xfId="0" applyFont="1" applyFill="1" applyBorder="1" applyAlignment="1"/>
    <xf numFmtId="0" fontId="2" fillId="4" borderId="2" xfId="0" applyFont="1" applyFill="1" applyBorder="1"/>
    <xf numFmtId="0" fontId="2" fillId="4" borderId="1" xfId="0" applyFont="1" applyFill="1" applyBorder="1" applyAlignment="1"/>
    <xf numFmtId="0" fontId="12" fillId="4" borderId="2" xfId="0" applyFont="1" applyFill="1" applyBorder="1" applyAlignment="1"/>
    <xf numFmtId="0" fontId="10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2" fillId="4" borderId="5" xfId="0" applyFont="1" applyFill="1" applyBorder="1" applyAlignment="1"/>
    <xf numFmtId="0" fontId="2" fillId="4" borderId="5" xfId="0" applyFont="1" applyFill="1" applyBorder="1"/>
    <xf numFmtId="0" fontId="14" fillId="4" borderId="11" xfId="0" applyFont="1" applyFill="1" applyBorder="1" applyAlignment="1"/>
    <xf numFmtId="0" fontId="2" fillId="4" borderId="0" xfId="0" applyFont="1" applyFill="1" applyAlignment="1"/>
    <xf numFmtId="0" fontId="2" fillId="4" borderId="0" xfId="0" applyFont="1" applyFill="1"/>
    <xf numFmtId="0" fontId="2" fillId="4" borderId="0" xfId="0" applyFont="1" applyFill="1"/>
    <xf numFmtId="0" fontId="2" fillId="4" borderId="11" xfId="0" applyFont="1" applyFill="1" applyBorder="1" applyAlignment="1"/>
    <xf numFmtId="0" fontId="2" fillId="4" borderId="8" xfId="0" applyFont="1" applyFill="1" applyBorder="1" applyAlignment="1"/>
    <xf numFmtId="0" fontId="2" fillId="4" borderId="8" xfId="0" applyFont="1" applyFill="1" applyBorder="1"/>
    <xf numFmtId="0" fontId="15" fillId="4" borderId="8" xfId="0" applyFont="1" applyFill="1" applyBorder="1" applyAlignment="1"/>
    <xf numFmtId="0" fontId="16" fillId="4" borderId="10" xfId="0" applyFont="1" applyFill="1" applyBorder="1" applyAlignment="1"/>
    <xf numFmtId="0" fontId="2" fillId="3" borderId="8" xfId="0" applyFont="1" applyFill="1" applyBorder="1"/>
    <xf numFmtId="0" fontId="11" fillId="3" borderId="1" xfId="0" applyFont="1" applyFill="1" applyBorder="1" applyAlignment="1"/>
    <xf numFmtId="0" fontId="17" fillId="3" borderId="2" xfId="0" applyFont="1" applyFill="1" applyBorder="1" applyAlignment="1"/>
    <xf numFmtId="0" fontId="2" fillId="5" borderId="1" xfId="0" applyFont="1" applyFill="1" applyBorder="1" applyAlignment="1"/>
    <xf numFmtId="0" fontId="2" fillId="5" borderId="2" xfId="0" applyFont="1" applyFill="1" applyBorder="1" applyAlignment="1"/>
    <xf numFmtId="0" fontId="2" fillId="5" borderId="2" xfId="0" applyFont="1" applyFill="1" applyBorder="1" applyAlignment="1"/>
    <xf numFmtId="0" fontId="2" fillId="5" borderId="2" xfId="0" applyFont="1" applyFill="1" applyBorder="1"/>
    <xf numFmtId="0" fontId="2" fillId="5" borderId="3" xfId="0" applyFont="1" applyFill="1" applyBorder="1" applyAlignment="1"/>
    <xf numFmtId="0" fontId="11" fillId="5" borderId="4" xfId="0" applyFont="1" applyFill="1" applyBorder="1" applyAlignment="1"/>
    <xf numFmtId="0" fontId="11" fillId="5" borderId="5" xfId="0" applyFont="1" applyFill="1" applyBorder="1" applyAlignment="1"/>
    <xf numFmtId="0" fontId="18" fillId="5" borderId="5" xfId="0" applyFont="1" applyFill="1" applyBorder="1" applyAlignment="1">
      <alignment horizontal="center"/>
    </xf>
    <xf numFmtId="3" fontId="18" fillId="5" borderId="5" xfId="0" applyNumberFormat="1" applyFont="1" applyFill="1" applyBorder="1" applyAlignment="1">
      <alignment horizontal="left"/>
    </xf>
    <xf numFmtId="0" fontId="11" fillId="5" borderId="5" xfId="0" applyFont="1" applyFill="1" applyBorder="1" applyAlignment="1">
      <alignment horizontal="right"/>
    </xf>
    <xf numFmtId="0" fontId="11" fillId="5" borderId="5" xfId="0" applyFont="1" applyFill="1" applyBorder="1" applyAlignment="1">
      <alignment horizontal="right"/>
    </xf>
    <xf numFmtId="0" fontId="11" fillId="5" borderId="0" xfId="0" applyFont="1" applyFill="1" applyAlignment="1">
      <alignment horizontal="right"/>
    </xf>
    <xf numFmtId="0" fontId="11" fillId="5" borderId="9" xfId="0" applyFont="1" applyFill="1" applyBorder="1" applyAlignment="1"/>
    <xf numFmtId="0" fontId="11" fillId="5" borderId="7" xfId="0" applyFont="1" applyFill="1" applyBorder="1" applyAlignment="1"/>
    <xf numFmtId="0" fontId="11" fillId="5" borderId="8" xfId="0" applyFont="1" applyFill="1" applyBorder="1" applyAlignment="1"/>
    <xf numFmtId="0" fontId="18" fillId="5" borderId="8" xfId="0" applyFont="1" applyFill="1" applyBorder="1" applyAlignment="1">
      <alignment horizontal="center"/>
    </xf>
    <xf numFmtId="3" fontId="18" fillId="5" borderId="8" xfId="0" applyNumberFormat="1" applyFont="1" applyFill="1" applyBorder="1" applyAlignment="1">
      <alignment horizontal="left"/>
    </xf>
    <xf numFmtId="0" fontId="11" fillId="5" borderId="8" xfId="0" applyFont="1" applyFill="1" applyBorder="1" applyAlignment="1">
      <alignment horizontal="right"/>
    </xf>
    <xf numFmtId="0" fontId="11" fillId="5" borderId="8" xfId="0" applyFont="1" applyFill="1" applyBorder="1" applyAlignment="1">
      <alignment horizontal="right"/>
    </xf>
    <xf numFmtId="0" fontId="11" fillId="5" borderId="10" xfId="0" applyFont="1" applyFill="1" applyBorder="1" applyAlignment="1"/>
    <xf numFmtId="0" fontId="11" fillId="3" borderId="7" xfId="0" applyFont="1" applyFill="1" applyBorder="1" applyAlignment="1"/>
    <xf numFmtId="0" fontId="11" fillId="3" borderId="8" xfId="0" applyFont="1" applyFill="1" applyBorder="1"/>
    <xf numFmtId="0" fontId="11" fillId="3" borderId="8" xfId="0" applyFont="1" applyFill="1" applyBorder="1" applyAlignment="1"/>
    <xf numFmtId="0" fontId="11" fillId="3" borderId="10" xfId="0" applyFont="1" applyFill="1" applyBorder="1" applyAlignment="1"/>
    <xf numFmtId="0" fontId="11" fillId="4" borderId="7" xfId="0" applyFont="1" applyFill="1" applyBorder="1" applyAlignment="1"/>
    <xf numFmtId="0" fontId="11" fillId="4" borderId="8" xfId="0" applyFont="1" applyFill="1" applyBorder="1"/>
    <xf numFmtId="0" fontId="11" fillId="4" borderId="8" xfId="0" applyFont="1" applyFill="1" applyBorder="1" applyAlignment="1">
      <alignment horizontal="right"/>
    </xf>
    <xf numFmtId="0" fontId="11" fillId="4" borderId="8" xfId="0" applyFont="1" applyFill="1" applyBorder="1" applyAlignment="1"/>
    <xf numFmtId="0" fontId="11" fillId="4" borderId="8" xfId="0" applyFont="1" applyFill="1" applyBorder="1" applyAlignment="1">
      <alignment horizontal="right"/>
    </xf>
    <xf numFmtId="0" fontId="11" fillId="4" borderId="10" xfId="0" applyFont="1" applyFill="1" applyBorder="1" applyAlignment="1"/>
    <xf numFmtId="0" fontId="11" fillId="4" borderId="8" xfId="0" applyFont="1" applyFill="1" applyBorder="1" applyAlignment="1"/>
    <xf numFmtId="0" fontId="11" fillId="3" borderId="10" xfId="0" applyFont="1" applyFill="1" applyBorder="1" applyAlignment="1"/>
    <xf numFmtId="0" fontId="11" fillId="5" borderId="8" xfId="0" applyFont="1" applyFill="1" applyBorder="1" applyAlignment="1"/>
    <xf numFmtId="0" fontId="13" fillId="5" borderId="0" xfId="0" applyFont="1" applyFill="1" applyAlignment="1">
      <alignment horizontal="center"/>
    </xf>
    <xf numFmtId="0" fontId="19" fillId="5" borderId="0" xfId="0" applyFont="1" applyFill="1" applyAlignment="1"/>
    <xf numFmtId="0" fontId="11" fillId="5" borderId="8" xfId="0" applyFont="1" applyFill="1" applyBorder="1" applyAlignment="1"/>
    <xf numFmtId="0" fontId="2" fillId="5" borderId="8" xfId="0" applyFont="1" applyFill="1" applyBorder="1" applyAlignment="1"/>
    <xf numFmtId="0" fontId="13" fillId="4" borderId="8" xfId="0" applyFont="1" applyFill="1" applyBorder="1" applyAlignment="1"/>
    <xf numFmtId="0" fontId="19" fillId="4" borderId="8" xfId="0" applyFont="1" applyFill="1" applyBorder="1" applyAlignment="1"/>
    <xf numFmtId="0" fontId="20" fillId="5" borderId="8" xfId="0" applyFont="1" applyFill="1" applyBorder="1" applyAlignment="1"/>
    <xf numFmtId="0" fontId="21" fillId="5" borderId="8" xfId="0" applyFont="1" applyFill="1" applyBorder="1" applyAlignment="1"/>
    <xf numFmtId="0" fontId="11" fillId="3" borderId="8" xfId="0" applyFont="1" applyFill="1" applyBorder="1" applyAlignment="1">
      <alignment horizontal="right"/>
    </xf>
    <xf numFmtId="0" fontId="11" fillId="3" borderId="8" xfId="0" applyFont="1" applyFill="1" applyBorder="1" applyAlignment="1"/>
    <xf numFmtId="0" fontId="12" fillId="3" borderId="8" xfId="0" applyFont="1" applyFill="1" applyBorder="1" applyAlignment="1"/>
    <xf numFmtId="0" fontId="22" fillId="3" borderId="8" xfId="0" applyFont="1" applyFill="1" applyBorder="1" applyAlignment="1">
      <alignment horizontal="left"/>
    </xf>
    <xf numFmtId="0" fontId="23" fillId="3" borderId="7" xfId="0" applyFont="1" applyFill="1" applyBorder="1" applyAlignment="1"/>
    <xf numFmtId="0" fontId="24" fillId="3" borderId="8" xfId="0" applyFont="1" applyFill="1" applyBorder="1" applyAlignment="1"/>
    <xf numFmtId="0" fontId="11" fillId="4" borderId="6" xfId="0" applyFont="1" applyFill="1" applyBorder="1" applyAlignment="1"/>
    <xf numFmtId="0" fontId="13" fillId="4" borderId="0" xfId="0" applyFont="1" applyFill="1" applyAlignment="1"/>
    <xf numFmtId="0" fontId="11" fillId="4" borderId="0" xfId="0" applyFont="1" applyFill="1" applyAlignment="1">
      <alignment horizontal="right"/>
    </xf>
    <xf numFmtId="0" fontId="11" fillId="4" borderId="0" xfId="0" applyFont="1" applyFill="1" applyAlignment="1"/>
    <xf numFmtId="0" fontId="11" fillId="4" borderId="0" xfId="0" applyFont="1" applyFill="1" applyAlignment="1">
      <alignment horizontal="right"/>
    </xf>
    <xf numFmtId="0" fontId="11" fillId="4" borderId="0" xfId="0" applyFont="1" applyFill="1" applyAlignment="1"/>
    <xf numFmtId="0" fontId="11" fillId="4" borderId="11" xfId="0" applyFont="1" applyFill="1" applyBorder="1" applyAlignment="1"/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825500</xdr:colOff>
      <xdr:row>70</xdr:row>
      <xdr:rowOff>12700</xdr:rowOff>
    </xdr:to>
    <xdr:sp macro="" textlink="">
      <xdr:nvSpPr>
        <xdr:cNvPr id="1059" name="Rectangle 3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dx.doi.org/10.1890/1540-9295-10.6.283" TargetMode="External"/><Relationship Id="rId12" Type="http://schemas.openxmlformats.org/officeDocument/2006/relationships/drawing" Target="../drawings/drawing1.xm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dx.doi.org/10.1890/08-1463.1" TargetMode="External"/><Relationship Id="rId2" Type="http://schemas.openxmlformats.org/officeDocument/2006/relationships/hyperlink" Target="http://www.bioone.org/doi/pdf/10.2108/zsj.19.703" TargetMode="External"/><Relationship Id="rId3" Type="http://schemas.openxmlformats.org/officeDocument/2006/relationships/hyperlink" Target="http://dx.doi.org.proxy-bc.researchport.umd.edu/10.5061/dryad.73fr5." TargetMode="External"/><Relationship Id="rId4" Type="http://schemas.openxmlformats.org/officeDocument/2006/relationships/hyperlink" Target="http://www.jstor.org/stable/2408916" TargetMode="External"/><Relationship Id="rId5" Type="http://schemas.openxmlformats.org/officeDocument/2006/relationships/hyperlink" Target="http://dx.doi.org.proxy-bc.researchport.umd.edu/10.5061/dryad.73fr5." TargetMode="External"/><Relationship Id="rId6" Type="http://schemas.openxmlformats.org/officeDocument/2006/relationships/hyperlink" Target="http://www.jstor.org/stable/2408916" TargetMode="External"/><Relationship Id="rId7" Type="http://schemas.openxmlformats.org/officeDocument/2006/relationships/hyperlink" Target="http://cchdo.ucsd.edu/data/7444/a5repeat.pdf" TargetMode="External"/><Relationship Id="rId8" Type="http://schemas.openxmlformats.org/officeDocument/2006/relationships/hyperlink" Target="http://cdiac.ornl.gov/ftp/oceans/a14a13woce/Rios2003JGR108.pdf" TargetMode="External"/><Relationship Id="rId9" Type="http://schemas.openxmlformats.org/officeDocument/2006/relationships/hyperlink" Target="http://cdiac.ornl.gov/oceans/ndp_085/" TargetMode="External"/><Relationship Id="rId10" Type="http://schemas.openxmlformats.org/officeDocument/2006/relationships/hyperlink" Target="http://cdiac.ornl.gov/oceans/ndp_08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or.org/stable/2408916" TargetMode="External"/><Relationship Id="rId4" Type="http://schemas.openxmlformats.org/officeDocument/2006/relationships/hyperlink" Target="http://dx.doi.org.proxy-bc.researchport.umd.edu/10.5061/dryad.73fr5." TargetMode="External"/><Relationship Id="rId5" Type="http://schemas.openxmlformats.org/officeDocument/2006/relationships/hyperlink" Target="http://www.jstor.org/stable/2408916" TargetMode="External"/><Relationship Id="rId6" Type="http://schemas.openxmlformats.org/officeDocument/2006/relationships/hyperlink" Target="http://cchdo.ucsd.edu/data/7444/a5repeat.pdf" TargetMode="External"/><Relationship Id="rId7" Type="http://schemas.openxmlformats.org/officeDocument/2006/relationships/hyperlink" Target="http://cdiac.ornl.gov/ftp/oceans/a14a13woce/Rios2003JGR108.pdf" TargetMode="External"/><Relationship Id="rId8" Type="http://schemas.openxmlformats.org/officeDocument/2006/relationships/hyperlink" Target="http://cdiac.ornl.gov/oceans/ndp_085/" TargetMode="External"/><Relationship Id="rId9" Type="http://schemas.openxmlformats.org/officeDocument/2006/relationships/hyperlink" Target="http://cdiac.ornl.gov/oceans/ndp_085/" TargetMode="External"/><Relationship Id="rId10" Type="http://schemas.openxmlformats.org/officeDocument/2006/relationships/vmlDrawing" Target="../drawings/vmlDrawing2.vml"/><Relationship Id="rId11" Type="http://schemas.openxmlformats.org/officeDocument/2006/relationships/comments" Target="../comments2.xml"/><Relationship Id="rId1" Type="http://schemas.openxmlformats.org/officeDocument/2006/relationships/hyperlink" Target="http://www.bioone.org/doi/pdf/10.2108/zsj.19.703" TargetMode="External"/><Relationship Id="rId2" Type="http://schemas.openxmlformats.org/officeDocument/2006/relationships/hyperlink" Target="http://dx.doi.org.proxy-bc.researchport.umd.edu/10.5061/dryad.73fr5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7"/>
  <sheetViews>
    <sheetView workbookViewId="0">
      <pane ySplit="3" topLeftCell="A4" activePane="bottomLeft" state="frozen"/>
      <selection pane="bottomLeft" activeCell="A67" sqref="A2:XFD67"/>
    </sheetView>
  </sheetViews>
  <sheetFormatPr baseColWidth="10" defaultColWidth="17.33203125" defaultRowHeight="15.75" customHeight="1" x14ac:dyDescent="0"/>
  <cols>
    <col min="1" max="1" width="30.83203125" customWidth="1"/>
    <col min="2" max="2" width="16.6640625" customWidth="1"/>
    <col min="3" max="3" width="7.6640625" customWidth="1"/>
    <col min="4" max="4" width="18.83203125" customWidth="1"/>
    <col min="5" max="5" width="17.33203125" customWidth="1"/>
    <col min="6" max="6" width="16.6640625" customWidth="1"/>
    <col min="7" max="7" width="9.83203125" customWidth="1"/>
    <col min="8" max="8" width="8" customWidth="1"/>
    <col min="9" max="9" width="13.5" customWidth="1"/>
    <col min="10" max="10" width="16.5" customWidth="1"/>
    <col min="11" max="11" width="15.1640625" customWidth="1"/>
    <col min="12" max="12" width="14.5" customWidth="1"/>
    <col min="13" max="14" width="11.83203125" customWidth="1"/>
    <col min="15" max="15" width="8.6640625" customWidth="1"/>
    <col min="16" max="16" width="7.83203125" customWidth="1"/>
    <col min="17" max="18" width="10.6640625" customWidth="1"/>
    <col min="19" max="19" width="67" customWidth="1"/>
    <col min="20" max="20" width="41.5" customWidth="1"/>
  </cols>
  <sheetData>
    <row r="1" spans="1:20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2"/>
      <c r="O1" s="2"/>
      <c r="P1" s="2"/>
      <c r="Q1" s="2"/>
      <c r="R1" s="2"/>
      <c r="S1" s="2"/>
      <c r="T1" s="2"/>
    </row>
    <row r="2" spans="1:20" ht="15.75" customHeight="1">
      <c r="A2" s="3"/>
      <c r="B2" s="3"/>
      <c r="C2" s="3"/>
      <c r="D2" s="3"/>
      <c r="E2" s="3"/>
      <c r="F2" s="3"/>
      <c r="G2" s="3" t="s">
        <v>1</v>
      </c>
      <c r="H2" s="3" t="s">
        <v>2</v>
      </c>
      <c r="I2" s="3" t="s">
        <v>3</v>
      </c>
      <c r="J2" s="3" t="s">
        <v>4</v>
      </c>
      <c r="K2" s="3" t="s">
        <v>4</v>
      </c>
      <c r="L2" s="3" t="s">
        <v>4</v>
      </c>
      <c r="M2" s="4" t="s">
        <v>4</v>
      </c>
      <c r="N2" s="3"/>
      <c r="O2" s="3"/>
      <c r="P2" s="3"/>
      <c r="Q2" s="3"/>
      <c r="R2" s="3"/>
      <c r="S2" s="3"/>
      <c r="T2" s="3"/>
    </row>
    <row r="3" spans="1:20" ht="25.5" customHeight="1">
      <c r="A3" s="5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6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</row>
    <row r="4" spans="1:20" ht="12" customHeight="1">
      <c r="A4" s="7" t="s">
        <v>25</v>
      </c>
      <c r="B4" s="8" t="s">
        <v>26</v>
      </c>
      <c r="C4" s="9">
        <v>2005</v>
      </c>
      <c r="D4" s="10"/>
      <c r="E4" s="10"/>
      <c r="F4" s="11"/>
      <c r="G4" s="12"/>
      <c r="H4" s="10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5" t="s">
        <v>27</v>
      </c>
    </row>
    <row r="5" spans="1:20" ht="12" customHeight="1">
      <c r="A5" s="16" t="s">
        <v>28</v>
      </c>
      <c r="B5" s="17" t="s">
        <v>29</v>
      </c>
      <c r="C5" s="18">
        <v>2010</v>
      </c>
      <c r="D5" s="19" t="s">
        <v>30</v>
      </c>
      <c r="E5" s="18" t="s">
        <v>31</v>
      </c>
      <c r="F5" s="18" t="s">
        <v>32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 t="s">
        <v>33</v>
      </c>
    </row>
    <row r="6" spans="1:20" ht="12" customHeight="1">
      <c r="A6" s="20" t="s">
        <v>34</v>
      </c>
      <c r="B6" s="21" t="s">
        <v>35</v>
      </c>
      <c r="C6" s="22">
        <v>2009</v>
      </c>
      <c r="D6" s="21" t="s">
        <v>30</v>
      </c>
      <c r="E6" s="23" t="s">
        <v>36</v>
      </c>
      <c r="F6" s="24" t="s">
        <v>37</v>
      </c>
      <c r="G6" s="25">
        <v>80</v>
      </c>
      <c r="H6" s="26">
        <v>8</v>
      </c>
      <c r="I6" s="27">
        <f>80*8/10000</f>
        <v>6.4000000000000001E-2</v>
      </c>
      <c r="J6" s="25">
        <v>0.25</v>
      </c>
      <c r="K6" s="25">
        <v>15.5</v>
      </c>
      <c r="L6" s="20">
        <f>0.25*8</f>
        <v>2</v>
      </c>
      <c r="M6" s="25">
        <v>56</v>
      </c>
      <c r="N6" s="25">
        <v>3</v>
      </c>
      <c r="O6" s="25">
        <v>1</v>
      </c>
      <c r="P6" s="25">
        <v>0</v>
      </c>
      <c r="Q6" s="25">
        <v>0</v>
      </c>
      <c r="R6" s="28" t="s">
        <v>38</v>
      </c>
      <c r="S6" s="25" t="s">
        <v>39</v>
      </c>
      <c r="T6" s="25" t="s">
        <v>40</v>
      </c>
    </row>
    <row r="7" spans="1:20" ht="12" customHeight="1">
      <c r="A7" s="29" t="s">
        <v>41</v>
      </c>
      <c r="B7" s="30" t="s">
        <v>42</v>
      </c>
      <c r="C7" s="31">
        <v>2013</v>
      </c>
      <c r="D7" s="32" t="s">
        <v>30</v>
      </c>
      <c r="E7" s="33" t="s">
        <v>43</v>
      </c>
      <c r="F7" s="34" t="s">
        <v>44</v>
      </c>
      <c r="G7" s="34">
        <v>24</v>
      </c>
      <c r="H7" s="34">
        <v>17</v>
      </c>
      <c r="I7" s="35">
        <f>24*17/10000</f>
        <v>4.0800000000000003E-2</v>
      </c>
      <c r="J7" s="35">
        <f t="shared" ref="J7:J11" si="0">1/24</f>
        <v>4.1666666666666664E-2</v>
      </c>
      <c r="K7" s="34">
        <v>365</v>
      </c>
      <c r="L7" s="36">
        <f>J7*17</f>
        <v>0.70833333333333326</v>
      </c>
      <c r="M7" s="35">
        <f>365*20</f>
        <v>7300</v>
      </c>
      <c r="N7" s="34">
        <v>3</v>
      </c>
      <c r="O7" s="34">
        <v>1</v>
      </c>
      <c r="P7" s="34">
        <v>1</v>
      </c>
      <c r="Q7" s="34">
        <v>0</v>
      </c>
      <c r="R7" s="37" t="s">
        <v>45</v>
      </c>
      <c r="S7" s="38" t="s">
        <v>39</v>
      </c>
      <c r="T7" s="34" t="s">
        <v>46</v>
      </c>
    </row>
    <row r="8" spans="1:20" ht="12" customHeight="1">
      <c r="A8" s="39" t="s">
        <v>41</v>
      </c>
      <c r="B8" s="40" t="s">
        <v>42</v>
      </c>
      <c r="C8" s="41">
        <v>2013</v>
      </c>
      <c r="D8" s="21" t="s">
        <v>30</v>
      </c>
      <c r="E8" s="23" t="s">
        <v>43</v>
      </c>
      <c r="F8" s="42" t="s">
        <v>44</v>
      </c>
      <c r="G8" s="42">
        <v>24</v>
      </c>
      <c r="H8" s="42">
        <v>16</v>
      </c>
      <c r="I8" s="43">
        <f>(24*16)/10000</f>
        <v>3.8399999999999997E-2</v>
      </c>
      <c r="J8" s="43">
        <f t="shared" si="0"/>
        <v>4.1666666666666664E-2</v>
      </c>
      <c r="K8" s="42">
        <v>0</v>
      </c>
      <c r="L8" s="44">
        <f>J8*16</f>
        <v>0.66666666666666663</v>
      </c>
      <c r="M8" s="42">
        <v>7300</v>
      </c>
      <c r="N8" s="42">
        <v>3</v>
      </c>
      <c r="O8" s="42">
        <v>1</v>
      </c>
      <c r="P8" s="42">
        <v>1</v>
      </c>
      <c r="Q8" s="42">
        <v>0</v>
      </c>
      <c r="R8" s="45" t="s">
        <v>45</v>
      </c>
      <c r="S8" s="25" t="s">
        <v>39</v>
      </c>
      <c r="T8" s="42" t="s">
        <v>46</v>
      </c>
    </row>
    <row r="9" spans="1:20" ht="6.75" customHeight="1">
      <c r="A9" s="46" t="s">
        <v>47</v>
      </c>
      <c r="B9" s="47" t="s">
        <v>48</v>
      </c>
      <c r="C9" s="47">
        <v>2009</v>
      </c>
      <c r="D9" s="32" t="s">
        <v>30</v>
      </c>
      <c r="E9" s="33" t="s">
        <v>49</v>
      </c>
      <c r="F9" s="47" t="s">
        <v>50</v>
      </c>
      <c r="G9" s="38">
        <v>4.9099999999999998E-2</v>
      </c>
      <c r="H9" s="48">
        <f>12*4.25</f>
        <v>51</v>
      </c>
      <c r="I9" s="49">
        <f>H9*G9/10000</f>
        <v>2.5040999999999996E-4</v>
      </c>
      <c r="J9" s="35">
        <f t="shared" si="0"/>
        <v>4.1666666666666664E-2</v>
      </c>
      <c r="K9" s="38">
        <v>0</v>
      </c>
      <c r="L9" s="50">
        <f>J9*51</f>
        <v>2.125</v>
      </c>
      <c r="M9" s="38">
        <v>1095</v>
      </c>
      <c r="N9" s="38">
        <v>3</v>
      </c>
      <c r="O9" s="38">
        <v>2</v>
      </c>
      <c r="P9" s="38">
        <v>2</v>
      </c>
      <c r="Q9" s="38">
        <v>1</v>
      </c>
      <c r="R9" s="51"/>
      <c r="S9" s="38" t="s">
        <v>51</v>
      </c>
      <c r="T9" s="38" t="s">
        <v>52</v>
      </c>
    </row>
    <row r="10" spans="1:20" ht="12" customHeight="1">
      <c r="A10" s="52" t="s">
        <v>47</v>
      </c>
      <c r="B10" s="53" t="s">
        <v>48</v>
      </c>
      <c r="C10" s="53">
        <v>2009</v>
      </c>
      <c r="D10" s="21" t="s">
        <v>30</v>
      </c>
      <c r="E10" s="23" t="s">
        <v>49</v>
      </c>
      <c r="F10" s="53" t="s">
        <v>53</v>
      </c>
      <c r="G10" s="25">
        <v>10</v>
      </c>
      <c r="H10" s="54">
        <v>11</v>
      </c>
      <c r="I10" s="27">
        <f>10*11/10000</f>
        <v>1.0999999999999999E-2</v>
      </c>
      <c r="J10" s="43">
        <f t="shared" si="0"/>
        <v>4.1666666666666664E-2</v>
      </c>
      <c r="K10" s="25">
        <v>0</v>
      </c>
      <c r="L10" s="55">
        <f>J10*11</f>
        <v>0.45833333333333331</v>
      </c>
      <c r="M10" s="25">
        <v>1095</v>
      </c>
      <c r="N10" s="25">
        <v>3</v>
      </c>
      <c r="O10" s="25">
        <v>2</v>
      </c>
      <c r="P10" s="25">
        <v>2</v>
      </c>
      <c r="Q10" s="25">
        <v>1</v>
      </c>
      <c r="R10" s="20"/>
      <c r="S10" s="25" t="s">
        <v>51</v>
      </c>
      <c r="T10" s="25" t="s">
        <v>52</v>
      </c>
    </row>
    <row r="11" spans="1:20" ht="12" customHeight="1">
      <c r="A11" s="56" t="s">
        <v>47</v>
      </c>
      <c r="B11" s="57" t="s">
        <v>48</v>
      </c>
      <c r="C11" s="57">
        <v>2009</v>
      </c>
      <c r="D11" s="58" t="s">
        <v>30</v>
      </c>
      <c r="E11" s="59" t="s">
        <v>49</v>
      </c>
      <c r="F11" s="57" t="s">
        <v>54</v>
      </c>
      <c r="G11" s="60">
        <v>0.31927800000000001</v>
      </c>
      <c r="H11" s="61">
        <v>24</v>
      </c>
      <c r="I11" s="62">
        <f>G11*H11/10000</f>
        <v>7.6626720000000001E-4</v>
      </c>
      <c r="J11" s="63">
        <f t="shared" si="0"/>
        <v>4.1666666666666664E-2</v>
      </c>
      <c r="K11" s="60">
        <v>30</v>
      </c>
      <c r="L11" s="64">
        <f>J11*24</f>
        <v>1</v>
      </c>
      <c r="M11" s="60">
        <v>1095</v>
      </c>
      <c r="N11" s="60">
        <v>3</v>
      </c>
      <c r="O11" s="60">
        <v>2</v>
      </c>
      <c r="P11" s="60">
        <v>2</v>
      </c>
      <c r="Q11" s="60">
        <v>1</v>
      </c>
      <c r="R11" s="65"/>
      <c r="S11" s="60" t="s">
        <v>55</v>
      </c>
      <c r="T11" s="60" t="s">
        <v>52</v>
      </c>
    </row>
    <row r="12" spans="1:20" ht="12" customHeight="1">
      <c r="A12" s="66" t="s">
        <v>56</v>
      </c>
      <c r="B12" s="67" t="s">
        <v>57</v>
      </c>
      <c r="C12" s="68">
        <v>2014</v>
      </c>
      <c r="D12" s="14"/>
      <c r="E12" s="18" t="s">
        <v>43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8" t="s">
        <v>58</v>
      </c>
    </row>
    <row r="13" spans="1:20" ht="12" customHeight="1">
      <c r="A13" s="66" t="s">
        <v>59</v>
      </c>
      <c r="B13" s="69" t="s">
        <v>60</v>
      </c>
      <c r="C13" s="68">
        <v>2007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8" t="s">
        <v>61</v>
      </c>
    </row>
    <row r="14" spans="1:20" ht="12" customHeight="1">
      <c r="A14" s="66" t="s">
        <v>25</v>
      </c>
      <c r="B14" s="67" t="s">
        <v>62</v>
      </c>
      <c r="C14" s="68">
        <v>2013</v>
      </c>
      <c r="D14" s="70"/>
      <c r="E14" s="70"/>
      <c r="F14" s="12"/>
      <c r="G14" s="12"/>
      <c r="H14" s="7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8" t="s">
        <v>58</v>
      </c>
    </row>
    <row r="15" spans="1:20" ht="12" customHeight="1">
      <c r="A15" s="71" t="s">
        <v>63</v>
      </c>
      <c r="B15" s="72" t="s">
        <v>64</v>
      </c>
      <c r="C15" s="73">
        <v>2007</v>
      </c>
      <c r="D15" s="74" t="s">
        <v>30</v>
      </c>
      <c r="E15" s="72" t="s">
        <v>49</v>
      </c>
      <c r="F15" s="72" t="s">
        <v>65</v>
      </c>
      <c r="G15" s="72">
        <v>200000000</v>
      </c>
      <c r="H15" s="72">
        <v>476</v>
      </c>
      <c r="I15" s="72">
        <f>200000000*476/10000</f>
        <v>9520000</v>
      </c>
      <c r="J15" s="72">
        <v>1</v>
      </c>
      <c r="K15" s="72">
        <v>2</v>
      </c>
      <c r="L15" s="72">
        <v>476</v>
      </c>
      <c r="M15" s="75">
        <f>4*365</f>
        <v>1460</v>
      </c>
      <c r="N15" s="72">
        <v>3</v>
      </c>
      <c r="O15" s="72">
        <v>0</v>
      </c>
      <c r="P15" s="72">
        <v>1</v>
      </c>
      <c r="Q15" s="72">
        <v>0</v>
      </c>
      <c r="R15" s="75"/>
      <c r="S15" s="72" t="s">
        <v>66</v>
      </c>
      <c r="T15" s="75"/>
    </row>
    <row r="16" spans="1:20" ht="13.5" customHeight="1">
      <c r="A16" s="76" t="s">
        <v>25</v>
      </c>
      <c r="B16" s="77" t="s">
        <v>67</v>
      </c>
      <c r="C16" s="78">
        <v>2008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80" t="s">
        <v>68</v>
      </c>
    </row>
    <row r="17" spans="1:20" ht="12" customHeight="1">
      <c r="A17" s="46" t="s">
        <v>69</v>
      </c>
      <c r="B17" s="34" t="s">
        <v>70</v>
      </c>
      <c r="C17" s="47">
        <v>2004</v>
      </c>
      <c r="D17" s="32" t="s">
        <v>30</v>
      </c>
      <c r="E17" s="81" t="s">
        <v>71</v>
      </c>
      <c r="F17" s="34" t="s">
        <v>72</v>
      </c>
      <c r="G17" s="34">
        <v>2.25</v>
      </c>
      <c r="H17" s="34">
        <v>100</v>
      </c>
      <c r="I17" s="35">
        <f>2.25*100/10000</f>
        <v>2.2499999999999999E-2</v>
      </c>
      <c r="J17" s="34">
        <v>0.5</v>
      </c>
      <c r="K17" s="34">
        <v>0</v>
      </c>
      <c r="L17" s="34">
        <v>50</v>
      </c>
      <c r="M17" s="34">
        <v>30</v>
      </c>
      <c r="N17" s="34">
        <v>3</v>
      </c>
      <c r="O17" s="34">
        <v>2</v>
      </c>
      <c r="P17" s="34">
        <v>2</v>
      </c>
      <c r="Q17" s="34">
        <v>1</v>
      </c>
      <c r="R17" s="35"/>
      <c r="S17" s="34" t="s">
        <v>73</v>
      </c>
      <c r="T17" s="82" t="s">
        <v>74</v>
      </c>
    </row>
    <row r="18" spans="1:20" ht="12" customHeight="1">
      <c r="A18" s="56" t="s">
        <v>69</v>
      </c>
      <c r="B18" s="83" t="s">
        <v>70</v>
      </c>
      <c r="C18" s="57">
        <v>2004</v>
      </c>
      <c r="D18" s="58" t="s">
        <v>30</v>
      </c>
      <c r="E18" s="84" t="s">
        <v>71</v>
      </c>
      <c r="F18" s="83" t="s">
        <v>75</v>
      </c>
      <c r="G18" s="83">
        <v>0.16</v>
      </c>
      <c r="H18" s="83">
        <v>400</v>
      </c>
      <c r="I18" s="83">
        <f>0.16*400/10000</f>
        <v>6.4000000000000003E-3</v>
      </c>
      <c r="J18" s="83">
        <v>0.5</v>
      </c>
      <c r="K18" s="63">
        <f>365+365</f>
        <v>730</v>
      </c>
      <c r="L18" s="83">
        <v>200</v>
      </c>
      <c r="M18" s="83">
        <f>365*2</f>
        <v>730</v>
      </c>
      <c r="N18" s="83">
        <v>3</v>
      </c>
      <c r="O18" s="83">
        <v>2</v>
      </c>
      <c r="P18" s="83">
        <v>2</v>
      </c>
      <c r="Q18" s="83">
        <v>1</v>
      </c>
      <c r="R18" s="63"/>
      <c r="S18" s="83" t="s">
        <v>73</v>
      </c>
      <c r="T18" s="85" t="s">
        <v>74</v>
      </c>
    </row>
    <row r="19" spans="1:20" ht="12" customHeight="1">
      <c r="A19" s="52" t="s">
        <v>76</v>
      </c>
      <c r="B19" s="53" t="s">
        <v>77</v>
      </c>
      <c r="C19" s="53">
        <v>2013</v>
      </c>
      <c r="D19" s="21" t="s">
        <v>30</v>
      </c>
      <c r="E19" s="42" t="s">
        <v>31</v>
      </c>
      <c r="F19" s="42" t="s">
        <v>78</v>
      </c>
      <c r="G19" s="42">
        <v>0.95707200000000003</v>
      </c>
      <c r="H19" s="42">
        <v>5</v>
      </c>
      <c r="I19" s="44">
        <f>5*G19/10000</f>
        <v>4.78536E-4</v>
      </c>
      <c r="J19" s="42">
        <v>0.5</v>
      </c>
      <c r="K19" s="42">
        <v>1</v>
      </c>
      <c r="L19" s="42">
        <v>2.5</v>
      </c>
      <c r="M19" s="42">
        <v>730</v>
      </c>
      <c r="N19" s="42">
        <v>3</v>
      </c>
      <c r="O19" s="42">
        <v>0</v>
      </c>
      <c r="P19" s="42">
        <v>1</v>
      </c>
      <c r="Q19" s="42">
        <v>0</v>
      </c>
      <c r="R19" s="43"/>
      <c r="S19" s="42" t="s">
        <v>79</v>
      </c>
      <c r="T19" s="42" t="s">
        <v>74</v>
      </c>
    </row>
    <row r="20" spans="1:20" ht="12" customHeight="1">
      <c r="A20" s="56" t="s">
        <v>76</v>
      </c>
      <c r="B20" s="57" t="s">
        <v>80</v>
      </c>
      <c r="C20" s="57">
        <v>2013</v>
      </c>
      <c r="D20" s="58" t="s">
        <v>30</v>
      </c>
      <c r="E20" s="83" t="s">
        <v>31</v>
      </c>
      <c r="F20" s="83" t="s">
        <v>78</v>
      </c>
      <c r="G20" s="83">
        <v>0.03</v>
      </c>
      <c r="H20" s="83">
        <v>20</v>
      </c>
      <c r="I20" s="83">
        <f>0.03*20/10000</f>
        <v>5.9999999999999995E-5</v>
      </c>
      <c r="J20" s="83">
        <v>0.5</v>
      </c>
      <c r="K20" s="83">
        <v>1</v>
      </c>
      <c r="L20" s="83">
        <v>10</v>
      </c>
      <c r="M20" s="83">
        <v>730</v>
      </c>
      <c r="N20" s="83">
        <v>3</v>
      </c>
      <c r="O20" s="83">
        <v>0</v>
      </c>
      <c r="P20" s="83">
        <v>1</v>
      </c>
      <c r="Q20" s="83">
        <v>0</v>
      </c>
      <c r="R20" s="63"/>
      <c r="S20" s="83" t="s">
        <v>79</v>
      </c>
      <c r="T20" s="83" t="s">
        <v>74</v>
      </c>
    </row>
    <row r="21" spans="1:20" ht="12" customHeight="1">
      <c r="A21" s="71" t="s">
        <v>47</v>
      </c>
      <c r="B21" s="72" t="s">
        <v>81</v>
      </c>
      <c r="C21" s="73">
        <v>2011</v>
      </c>
      <c r="D21" s="72" t="s">
        <v>82</v>
      </c>
      <c r="E21" s="72" t="s">
        <v>83</v>
      </c>
      <c r="F21" s="72" t="s">
        <v>84</v>
      </c>
      <c r="G21" s="72">
        <v>314.16000000000003</v>
      </c>
      <c r="H21" s="72">
        <v>1</v>
      </c>
      <c r="I21" s="72">
        <f>314.16/10000</f>
        <v>3.1415999999999999E-2</v>
      </c>
      <c r="J21" s="72">
        <v>30</v>
      </c>
      <c r="K21" s="72">
        <v>7</v>
      </c>
      <c r="L21" s="72">
        <v>30</v>
      </c>
      <c r="M21" s="72">
        <v>365</v>
      </c>
      <c r="N21" s="72">
        <v>2</v>
      </c>
      <c r="O21" s="72">
        <v>1</v>
      </c>
      <c r="P21" s="72">
        <v>1</v>
      </c>
      <c r="Q21" s="72">
        <v>0</v>
      </c>
      <c r="R21" s="75"/>
      <c r="S21" s="86" t="s">
        <v>85</v>
      </c>
      <c r="T21" s="87"/>
    </row>
    <row r="22" spans="1:20" ht="12" customHeight="1">
      <c r="A22" s="66" t="s">
        <v>63</v>
      </c>
      <c r="B22" s="88" t="s">
        <v>86</v>
      </c>
      <c r="C22" s="88">
        <v>2011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90" t="s">
        <v>87</v>
      </c>
    </row>
    <row r="23" spans="1:20" ht="15.75" customHeight="1">
      <c r="A23" s="66" t="s">
        <v>63</v>
      </c>
      <c r="B23" s="8" t="s">
        <v>88</v>
      </c>
      <c r="C23" s="8">
        <v>2007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2" t="s">
        <v>33</v>
      </c>
    </row>
    <row r="24" spans="1:20" ht="15.75" customHeight="1">
      <c r="A24" s="71" t="s">
        <v>69</v>
      </c>
      <c r="B24" s="93" t="s">
        <v>89</v>
      </c>
      <c r="C24" s="73">
        <v>2013</v>
      </c>
      <c r="D24" s="74" t="s">
        <v>30</v>
      </c>
      <c r="E24" s="93" t="s">
        <v>90</v>
      </c>
      <c r="F24" s="93" t="s">
        <v>91</v>
      </c>
      <c r="G24" s="93">
        <v>3.1E-2</v>
      </c>
      <c r="H24" s="93">
        <f>43*6</f>
        <v>258</v>
      </c>
      <c r="I24" s="94">
        <f>0.031*258/10000</f>
        <v>7.9980000000000003E-4</v>
      </c>
      <c r="J24" s="93">
        <v>0.5</v>
      </c>
      <c r="K24" s="93">
        <v>1</v>
      </c>
      <c r="L24" s="93">
        <v>30</v>
      </c>
      <c r="M24" s="93">
        <v>365</v>
      </c>
      <c r="N24" s="93">
        <v>3</v>
      </c>
      <c r="O24" s="93">
        <v>2</v>
      </c>
      <c r="P24" s="93">
        <v>2</v>
      </c>
      <c r="Q24" s="93">
        <v>0</v>
      </c>
      <c r="R24" s="94"/>
      <c r="S24" s="93" t="s">
        <v>85</v>
      </c>
      <c r="T24" s="95"/>
    </row>
    <row r="25" spans="1:20" ht="15.75" customHeight="1">
      <c r="A25" s="71" t="s">
        <v>47</v>
      </c>
      <c r="B25" s="93" t="s">
        <v>92</v>
      </c>
      <c r="C25" s="73">
        <v>2011</v>
      </c>
      <c r="D25" s="72" t="s">
        <v>82</v>
      </c>
      <c r="E25" s="93" t="s">
        <v>93</v>
      </c>
      <c r="F25" s="93" t="s">
        <v>94</v>
      </c>
      <c r="G25" s="93">
        <v>3.3</v>
      </c>
      <c r="H25" s="93">
        <f>110+42+35</f>
        <v>187</v>
      </c>
      <c r="I25" s="93">
        <f>H25*G25</f>
        <v>617.1</v>
      </c>
      <c r="J25" s="93">
        <v>0.25</v>
      </c>
      <c r="K25" s="93">
        <v>7</v>
      </c>
      <c r="L25" s="93">
        <v>39</v>
      </c>
      <c r="M25" s="93">
        <v>182.5</v>
      </c>
      <c r="N25" s="93">
        <v>0</v>
      </c>
      <c r="O25" s="93">
        <v>1</v>
      </c>
      <c r="P25" s="93">
        <v>1</v>
      </c>
      <c r="Q25" s="93">
        <v>0</v>
      </c>
      <c r="R25" s="94"/>
      <c r="S25" s="93" t="s">
        <v>95</v>
      </c>
      <c r="T25" s="95"/>
    </row>
    <row r="26" spans="1:20" ht="15.75" customHeight="1">
      <c r="A26" s="71" t="s">
        <v>56</v>
      </c>
      <c r="B26" s="96" t="s">
        <v>96</v>
      </c>
      <c r="C26" s="73">
        <v>2012</v>
      </c>
      <c r="D26" s="74" t="s">
        <v>30</v>
      </c>
      <c r="E26" s="93" t="s">
        <v>97</v>
      </c>
      <c r="F26" s="93" t="s">
        <v>98</v>
      </c>
      <c r="G26" s="93">
        <v>250</v>
      </c>
      <c r="H26" s="93">
        <v>48</v>
      </c>
      <c r="I26" s="97">
        <f>H26*G26/10000</f>
        <v>1.2</v>
      </c>
      <c r="J26" s="93">
        <v>0.5</v>
      </c>
      <c r="K26" s="93">
        <v>7</v>
      </c>
      <c r="L26" s="93">
        <f>7*48</f>
        <v>336</v>
      </c>
      <c r="M26" s="93">
        <v>60</v>
      </c>
      <c r="N26" s="93">
        <v>3</v>
      </c>
      <c r="O26" s="93">
        <v>2</v>
      </c>
      <c r="P26" s="93">
        <v>2</v>
      </c>
      <c r="Q26" s="93">
        <v>3</v>
      </c>
      <c r="R26" s="94"/>
      <c r="S26" s="93" t="s">
        <v>85</v>
      </c>
      <c r="T26" s="95"/>
    </row>
    <row r="27" spans="1:20" ht="15.75" customHeight="1">
      <c r="A27" s="66" t="s">
        <v>34</v>
      </c>
      <c r="B27" s="8" t="s">
        <v>99</v>
      </c>
      <c r="C27" s="68">
        <v>2011</v>
      </c>
      <c r="D27" s="19" t="s">
        <v>30</v>
      </c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2" t="s">
        <v>33</v>
      </c>
    </row>
    <row r="28" spans="1:20" ht="15.75" customHeight="1">
      <c r="A28" s="98" t="s">
        <v>47</v>
      </c>
      <c r="B28" s="93" t="s">
        <v>100</v>
      </c>
      <c r="C28" s="73">
        <v>2006</v>
      </c>
      <c r="D28" s="74" t="s">
        <v>30</v>
      </c>
      <c r="E28" s="93" t="s">
        <v>101</v>
      </c>
      <c r="F28" s="99" t="s">
        <v>102</v>
      </c>
      <c r="G28" s="93">
        <v>3140000</v>
      </c>
      <c r="H28" s="93">
        <v>1</v>
      </c>
      <c r="I28" s="93">
        <f>3140000/10000</f>
        <v>314</v>
      </c>
      <c r="J28" s="93">
        <v>1</v>
      </c>
      <c r="K28" s="94">
        <f>0.5/24</f>
        <v>2.0833333333333332E-2</v>
      </c>
      <c r="L28" s="93">
        <v>1</v>
      </c>
      <c r="M28" s="93">
        <v>730</v>
      </c>
      <c r="N28" s="93">
        <v>1</v>
      </c>
      <c r="O28" s="93">
        <v>3</v>
      </c>
      <c r="P28" s="93">
        <v>3</v>
      </c>
      <c r="Q28" s="93">
        <v>0</v>
      </c>
      <c r="R28" s="94"/>
      <c r="S28" s="93" t="s">
        <v>103</v>
      </c>
      <c r="T28" s="95"/>
    </row>
    <row r="29" spans="1:20" ht="15.75" customHeight="1">
      <c r="A29" s="100" t="s">
        <v>104</v>
      </c>
      <c r="B29" s="100" t="s">
        <v>105</v>
      </c>
      <c r="C29" s="100">
        <v>2014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2" t="s">
        <v>58</v>
      </c>
    </row>
    <row r="30" spans="1:20" ht="15.75" customHeight="1">
      <c r="A30" s="71" t="s">
        <v>106</v>
      </c>
      <c r="B30" s="93" t="s">
        <v>107</v>
      </c>
      <c r="C30" s="73">
        <v>2010</v>
      </c>
      <c r="D30" s="74" t="s">
        <v>30</v>
      </c>
      <c r="E30" s="93" t="s">
        <v>108</v>
      </c>
      <c r="F30" s="93" t="s">
        <v>109</v>
      </c>
      <c r="G30" s="93">
        <v>22.86</v>
      </c>
      <c r="H30" s="93">
        <v>9</v>
      </c>
      <c r="I30" s="94">
        <f>9*22.86/10000</f>
        <v>2.0574000000000002E-2</v>
      </c>
      <c r="J30" s="93">
        <v>1</v>
      </c>
      <c r="K30" s="93">
        <v>365</v>
      </c>
      <c r="L30" s="93">
        <v>9</v>
      </c>
      <c r="M30" s="94">
        <f>365*9</f>
        <v>3285</v>
      </c>
      <c r="N30" s="93">
        <v>1</v>
      </c>
      <c r="O30" s="93">
        <v>0</v>
      </c>
      <c r="P30" s="93">
        <v>0</v>
      </c>
      <c r="Q30" s="93">
        <v>0</v>
      </c>
      <c r="R30" s="94"/>
      <c r="S30" s="86" t="s">
        <v>110</v>
      </c>
      <c r="T30" s="95"/>
    </row>
    <row r="31" spans="1:20" ht="15.75" customHeight="1">
      <c r="A31" s="71" t="s">
        <v>111</v>
      </c>
      <c r="B31" s="93" t="s">
        <v>112</v>
      </c>
      <c r="C31" s="73">
        <v>2010</v>
      </c>
      <c r="D31" s="32" t="s">
        <v>30</v>
      </c>
      <c r="E31" s="93" t="s">
        <v>113</v>
      </c>
      <c r="F31" s="93" t="s">
        <v>114</v>
      </c>
      <c r="G31" s="93">
        <v>1</v>
      </c>
      <c r="H31" s="93">
        <v>80</v>
      </c>
      <c r="I31" s="94">
        <f>80*1/10000</f>
        <v>8.0000000000000002E-3</v>
      </c>
      <c r="J31" s="93">
        <v>1</v>
      </c>
      <c r="K31" s="93">
        <v>0</v>
      </c>
      <c r="L31" s="93">
        <v>80</v>
      </c>
      <c r="M31" s="93">
        <v>92</v>
      </c>
      <c r="N31" s="93">
        <v>3</v>
      </c>
      <c r="O31" s="93">
        <v>2</v>
      </c>
      <c r="P31" s="93">
        <v>1</v>
      </c>
      <c r="Q31" s="93">
        <v>2</v>
      </c>
      <c r="R31" s="94"/>
      <c r="S31" s="93" t="s">
        <v>115</v>
      </c>
      <c r="T31" s="95"/>
    </row>
    <row r="32" spans="1:20" ht="15.75" customHeight="1">
      <c r="A32" s="46" t="s">
        <v>104</v>
      </c>
      <c r="B32" s="103" t="s">
        <v>116</v>
      </c>
      <c r="C32" s="47">
        <v>2009</v>
      </c>
      <c r="D32" s="32" t="s">
        <v>30</v>
      </c>
      <c r="E32" s="103" t="s">
        <v>117</v>
      </c>
      <c r="F32" s="103" t="s">
        <v>118</v>
      </c>
      <c r="G32" s="103">
        <v>4.6399999999999997E-2</v>
      </c>
      <c r="H32" s="103">
        <v>3708</v>
      </c>
      <c r="I32" s="103">
        <f>0.0464*H32/10000</f>
        <v>1.7205120000000001E-2</v>
      </c>
      <c r="J32" s="103">
        <v>4.1666666659999997E-2</v>
      </c>
      <c r="K32" s="103">
        <v>1</v>
      </c>
      <c r="L32" s="104">
        <f t="shared" ref="L32:L35" si="1">J32*H32</f>
        <v>154.49999997527999</v>
      </c>
      <c r="M32" s="103">
        <v>33</v>
      </c>
      <c r="N32" s="103">
        <v>0</v>
      </c>
      <c r="O32" s="103">
        <v>1</v>
      </c>
      <c r="P32" s="103">
        <v>1</v>
      </c>
      <c r="Q32" s="103">
        <v>0</v>
      </c>
      <c r="R32" s="30" t="s">
        <v>119</v>
      </c>
      <c r="S32" s="103" t="s">
        <v>115</v>
      </c>
      <c r="T32" s="105" t="s">
        <v>120</v>
      </c>
    </row>
    <row r="33" spans="1:20" ht="15.75" customHeight="1">
      <c r="A33" s="52" t="s">
        <v>104</v>
      </c>
      <c r="B33" s="106" t="s">
        <v>121</v>
      </c>
      <c r="C33" s="53">
        <v>2009</v>
      </c>
      <c r="D33" s="21" t="s">
        <v>30</v>
      </c>
      <c r="E33" s="106" t="s">
        <v>117</v>
      </c>
      <c r="F33" s="106" t="s">
        <v>118</v>
      </c>
      <c r="G33" s="106">
        <v>0.04</v>
      </c>
      <c r="H33" s="107">
        <f>8*107</f>
        <v>856</v>
      </c>
      <c r="I33" s="106">
        <f t="shared" ref="I33:I35" si="2">0.04*H33/10000</f>
        <v>3.4240000000000004E-3</v>
      </c>
      <c r="J33" s="106">
        <v>4.1666666659999997E-2</v>
      </c>
      <c r="K33" s="106">
        <v>1</v>
      </c>
      <c r="L33" s="108">
        <f t="shared" si="1"/>
        <v>35.666666660959997</v>
      </c>
      <c r="M33" s="106">
        <v>80</v>
      </c>
      <c r="N33" s="106">
        <v>0</v>
      </c>
      <c r="O33" s="106">
        <v>1</v>
      </c>
      <c r="P33" s="106">
        <v>1</v>
      </c>
      <c r="Q33" s="106">
        <v>0</v>
      </c>
      <c r="R33" s="53" t="s">
        <v>122</v>
      </c>
      <c r="S33" s="106" t="s">
        <v>115</v>
      </c>
      <c r="T33" s="109"/>
    </row>
    <row r="34" spans="1:20" ht="15.75" customHeight="1">
      <c r="A34" s="52" t="s">
        <v>104</v>
      </c>
      <c r="B34" s="106" t="s">
        <v>123</v>
      </c>
      <c r="C34" s="53">
        <v>2009</v>
      </c>
      <c r="D34" s="21" t="s">
        <v>30</v>
      </c>
      <c r="E34" s="106" t="s">
        <v>117</v>
      </c>
      <c r="F34" s="106" t="s">
        <v>118</v>
      </c>
      <c r="G34" s="106">
        <v>0.04</v>
      </c>
      <c r="H34" s="106">
        <v>1400</v>
      </c>
      <c r="I34" s="106">
        <f t="shared" si="2"/>
        <v>5.5999999999999999E-3</v>
      </c>
      <c r="J34" s="106">
        <v>4.1666666659999997E-2</v>
      </c>
      <c r="K34" s="106">
        <v>1</v>
      </c>
      <c r="L34" s="108">
        <f t="shared" si="1"/>
        <v>58.333333323999994</v>
      </c>
      <c r="M34" s="106">
        <v>242</v>
      </c>
      <c r="N34" s="106">
        <v>0</v>
      </c>
      <c r="O34" s="106">
        <v>1</v>
      </c>
      <c r="P34" s="106">
        <v>1</v>
      </c>
      <c r="Q34" s="106">
        <v>0</v>
      </c>
      <c r="R34" s="53" t="s">
        <v>124</v>
      </c>
      <c r="S34" s="106" t="s">
        <v>125</v>
      </c>
      <c r="T34" s="109"/>
    </row>
    <row r="35" spans="1:20" ht="15.75" customHeight="1">
      <c r="A35" s="56" t="s">
        <v>104</v>
      </c>
      <c r="B35" s="110" t="s">
        <v>126</v>
      </c>
      <c r="C35" s="57">
        <v>2009</v>
      </c>
      <c r="D35" s="58" t="s">
        <v>30</v>
      </c>
      <c r="E35" s="110" t="s">
        <v>117</v>
      </c>
      <c r="F35" s="110" t="s">
        <v>118</v>
      </c>
      <c r="G35" s="110">
        <v>0.04</v>
      </c>
      <c r="H35" s="110">
        <v>5011</v>
      </c>
      <c r="I35" s="110">
        <f t="shared" si="2"/>
        <v>2.0043999999999999E-2</v>
      </c>
      <c r="J35" s="110">
        <v>4.1666666659999997E-2</v>
      </c>
      <c r="K35" s="110">
        <v>1</v>
      </c>
      <c r="L35" s="111">
        <f t="shared" si="1"/>
        <v>208.79166663325998</v>
      </c>
      <c r="M35" s="110">
        <v>70</v>
      </c>
      <c r="N35" s="110">
        <v>0</v>
      </c>
      <c r="O35" s="110">
        <v>1</v>
      </c>
      <c r="P35" s="110">
        <v>1</v>
      </c>
      <c r="Q35" s="110">
        <v>0</v>
      </c>
      <c r="R35" s="112" t="s">
        <v>127</v>
      </c>
      <c r="S35" s="110" t="s">
        <v>115</v>
      </c>
      <c r="T35" s="113" t="s">
        <v>127</v>
      </c>
    </row>
    <row r="36" spans="1:20" ht="15.75" customHeight="1">
      <c r="A36" s="66" t="s">
        <v>25</v>
      </c>
      <c r="B36" s="8" t="s">
        <v>128</v>
      </c>
      <c r="C36" s="68">
        <v>2007</v>
      </c>
      <c r="D36" s="114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2" t="s">
        <v>58</v>
      </c>
    </row>
    <row r="37" spans="1:20" ht="15.75" customHeight="1">
      <c r="A37" s="71" t="s">
        <v>56</v>
      </c>
      <c r="B37" s="96" t="s">
        <v>129</v>
      </c>
      <c r="C37" s="73">
        <v>2012</v>
      </c>
      <c r="D37" s="74" t="s">
        <v>30</v>
      </c>
      <c r="E37" s="93" t="s">
        <v>130</v>
      </c>
      <c r="F37" s="93" t="s">
        <v>131</v>
      </c>
      <c r="G37" s="93">
        <f>300*100</f>
        <v>30000</v>
      </c>
      <c r="H37" s="93">
        <v>1</v>
      </c>
      <c r="I37" s="94">
        <f>30000/10000</f>
        <v>3</v>
      </c>
      <c r="J37" s="93">
        <v>1</v>
      </c>
      <c r="K37" s="93">
        <v>6.9444443999999998E-4</v>
      </c>
      <c r="L37" s="93">
        <v>1</v>
      </c>
      <c r="M37" s="94">
        <f>14*365</f>
        <v>5110</v>
      </c>
      <c r="N37" s="93">
        <v>1</v>
      </c>
      <c r="O37" s="93">
        <v>1</v>
      </c>
      <c r="P37" s="93">
        <v>0</v>
      </c>
      <c r="Q37" s="93">
        <v>1</v>
      </c>
      <c r="R37" s="94"/>
      <c r="S37" s="86" t="s">
        <v>132</v>
      </c>
      <c r="T37" s="95"/>
    </row>
    <row r="38" spans="1:20" ht="16.5" customHeight="1">
      <c r="A38" s="66" t="s">
        <v>56</v>
      </c>
      <c r="B38" s="68" t="s">
        <v>133</v>
      </c>
      <c r="C38" s="8">
        <v>2013</v>
      </c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8"/>
      <c r="P38" s="91"/>
      <c r="Q38" s="91"/>
      <c r="R38" s="91"/>
      <c r="S38" s="91"/>
      <c r="T38" s="92" t="s">
        <v>33</v>
      </c>
    </row>
    <row r="39" spans="1:20" ht="15.75" customHeight="1">
      <c r="A39" s="16" t="s">
        <v>134</v>
      </c>
      <c r="B39" s="67" t="s">
        <v>135</v>
      </c>
      <c r="C39" s="8">
        <v>2013</v>
      </c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2" t="s">
        <v>33</v>
      </c>
    </row>
    <row r="40" spans="1:20" ht="15.75" customHeight="1">
      <c r="A40" s="115" t="s">
        <v>136</v>
      </c>
      <c r="B40" s="116" t="s">
        <v>137</v>
      </c>
      <c r="C40" s="8">
        <v>2012</v>
      </c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2" t="s">
        <v>138</v>
      </c>
    </row>
    <row r="41" spans="1:20" ht="15.75" customHeight="1">
      <c r="A41" s="117" t="s">
        <v>34</v>
      </c>
      <c r="B41" s="118" t="s">
        <v>139</v>
      </c>
      <c r="C41" s="118">
        <v>2008</v>
      </c>
      <c r="D41" s="119" t="s">
        <v>30</v>
      </c>
      <c r="E41" s="118" t="s">
        <v>140</v>
      </c>
      <c r="F41" s="118" t="s">
        <v>141</v>
      </c>
      <c r="G41" s="118">
        <v>100</v>
      </c>
      <c r="H41" s="118">
        <v>4</v>
      </c>
      <c r="I41" s="118">
        <f>400/10000</f>
        <v>0.04</v>
      </c>
      <c r="J41" s="118">
        <v>0.5</v>
      </c>
      <c r="K41" s="118">
        <v>0</v>
      </c>
      <c r="L41" s="118">
        <v>30</v>
      </c>
      <c r="M41" s="118">
        <v>365</v>
      </c>
      <c r="N41" s="118">
        <v>3</v>
      </c>
      <c r="O41" s="118">
        <v>1</v>
      </c>
      <c r="P41" s="118">
        <v>1</v>
      </c>
      <c r="Q41" s="118">
        <v>1</v>
      </c>
      <c r="R41" s="120"/>
      <c r="S41" s="118" t="s">
        <v>142</v>
      </c>
      <c r="T41" s="121" t="s">
        <v>143</v>
      </c>
    </row>
    <row r="42" spans="1:20" ht="15.75" customHeight="1">
      <c r="A42" s="122" t="s">
        <v>56</v>
      </c>
      <c r="B42" s="123" t="s">
        <v>144</v>
      </c>
      <c r="C42" s="124">
        <v>2010</v>
      </c>
      <c r="D42" s="123" t="s">
        <v>145</v>
      </c>
      <c r="E42" s="123" t="s">
        <v>146</v>
      </c>
      <c r="F42" s="123" t="s">
        <v>147</v>
      </c>
      <c r="G42" s="125">
        <v>598000</v>
      </c>
      <c r="H42" s="125">
        <v>21186</v>
      </c>
      <c r="I42" s="126">
        <f t="shared" ref="I42:I43" si="3">(G42*H42)/10000</f>
        <v>1266922.8</v>
      </c>
      <c r="J42" s="127">
        <v>1</v>
      </c>
      <c r="K42" s="127">
        <v>0</v>
      </c>
      <c r="L42" s="127">
        <v>21186</v>
      </c>
      <c r="M42" s="128">
        <v>365</v>
      </c>
      <c r="N42" s="127">
        <v>1</v>
      </c>
      <c r="O42" s="127">
        <v>1</v>
      </c>
      <c r="P42" s="127">
        <v>1</v>
      </c>
      <c r="Q42" s="127">
        <v>0</v>
      </c>
      <c r="R42" s="123"/>
      <c r="S42" s="123" t="s">
        <v>148</v>
      </c>
      <c r="T42" s="129"/>
    </row>
    <row r="43" spans="1:20" ht="15.75" customHeight="1">
      <c r="A43" s="130" t="s">
        <v>56</v>
      </c>
      <c r="B43" s="131" t="s">
        <v>149</v>
      </c>
      <c r="C43" s="132">
        <v>2010</v>
      </c>
      <c r="D43" s="131" t="s">
        <v>145</v>
      </c>
      <c r="E43" s="131" t="s">
        <v>146</v>
      </c>
      <c r="F43" s="131" t="s">
        <v>147</v>
      </c>
      <c r="G43" s="133">
        <v>1079000</v>
      </c>
      <c r="H43" s="133">
        <v>11702</v>
      </c>
      <c r="I43" s="134">
        <f t="shared" si="3"/>
        <v>1262645.8</v>
      </c>
      <c r="J43" s="135">
        <v>1</v>
      </c>
      <c r="K43" s="135">
        <v>0</v>
      </c>
      <c r="L43" s="135">
        <v>11702</v>
      </c>
      <c r="M43" s="135">
        <v>365</v>
      </c>
      <c r="N43" s="135">
        <v>1</v>
      </c>
      <c r="O43" s="135">
        <v>1</v>
      </c>
      <c r="P43" s="135">
        <v>1</v>
      </c>
      <c r="Q43" s="135">
        <v>0</v>
      </c>
      <c r="R43" s="131"/>
      <c r="S43" s="131" t="s">
        <v>148</v>
      </c>
      <c r="T43" s="136"/>
    </row>
    <row r="44" spans="1:20" ht="15.75" customHeight="1">
      <c r="A44" s="137" t="s">
        <v>136</v>
      </c>
      <c r="B44" s="138" t="s">
        <v>150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40" t="s">
        <v>87</v>
      </c>
    </row>
    <row r="45" spans="1:20" ht="15.75" customHeight="1">
      <c r="A45" s="137" t="s">
        <v>41</v>
      </c>
      <c r="B45" s="139" t="s">
        <v>151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40" t="s">
        <v>58</v>
      </c>
    </row>
    <row r="46" spans="1:20" ht="15.75" customHeight="1">
      <c r="A46" s="139" t="s">
        <v>25</v>
      </c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40" t="s">
        <v>87</v>
      </c>
    </row>
    <row r="47" spans="1:20" ht="15.75" customHeight="1">
      <c r="A47" s="141" t="s">
        <v>136</v>
      </c>
      <c r="B47" s="142" t="s">
        <v>152</v>
      </c>
      <c r="C47" s="143">
        <v>2009</v>
      </c>
      <c r="D47" s="144" t="s">
        <v>82</v>
      </c>
      <c r="E47" s="144" t="s">
        <v>101</v>
      </c>
      <c r="F47" s="144" t="s">
        <v>153</v>
      </c>
      <c r="G47" s="143">
        <v>6093000</v>
      </c>
      <c r="H47" s="143">
        <v>4</v>
      </c>
      <c r="I47" s="145">
        <f t="shared" ref="I47:I48" si="4">(G47*H47)/10000</f>
        <v>2437.1999999999998</v>
      </c>
      <c r="J47" s="143">
        <v>1</v>
      </c>
      <c r="K47" s="143">
        <v>0</v>
      </c>
      <c r="L47" s="145">
        <f t="shared" ref="L47:L48" si="5">J47*H47</f>
        <v>4</v>
      </c>
      <c r="M47" s="143">
        <v>1095</v>
      </c>
      <c r="N47" s="143">
        <v>1</v>
      </c>
      <c r="O47" s="143">
        <v>1</v>
      </c>
      <c r="P47" s="143">
        <v>1</v>
      </c>
      <c r="Q47" s="143">
        <v>1</v>
      </c>
      <c r="R47" s="144"/>
      <c r="S47" s="144" t="s">
        <v>154</v>
      </c>
      <c r="T47" s="146"/>
    </row>
    <row r="48" spans="1:20" ht="15.75" customHeight="1">
      <c r="A48" s="141" t="s">
        <v>47</v>
      </c>
      <c r="B48" s="144" t="s">
        <v>155</v>
      </c>
      <c r="C48" s="143">
        <v>2011</v>
      </c>
      <c r="D48" s="147" t="s">
        <v>30</v>
      </c>
      <c r="E48" s="144" t="s">
        <v>156</v>
      </c>
      <c r="F48" s="144" t="s">
        <v>157</v>
      </c>
      <c r="G48" s="143">
        <v>0.4536</v>
      </c>
      <c r="H48" s="143">
        <v>12</v>
      </c>
      <c r="I48" s="145">
        <f t="shared" si="4"/>
        <v>5.4432000000000005E-4</v>
      </c>
      <c r="J48" s="143">
        <v>4.1666666659999997E-2</v>
      </c>
      <c r="K48" s="143">
        <v>4.1666666659999997E-2</v>
      </c>
      <c r="L48" s="145">
        <f t="shared" si="5"/>
        <v>0.49999999991999999</v>
      </c>
      <c r="M48" s="143">
        <v>365</v>
      </c>
      <c r="N48" s="143">
        <v>1</v>
      </c>
      <c r="O48" s="143">
        <v>2</v>
      </c>
      <c r="P48" s="143">
        <v>1</v>
      </c>
      <c r="Q48" s="143">
        <v>0</v>
      </c>
      <c r="R48" s="144"/>
      <c r="S48" s="144" t="s">
        <v>158</v>
      </c>
      <c r="T48" s="146"/>
    </row>
    <row r="49" spans="1:20" ht="15.75" customHeight="1">
      <c r="A49" s="137" t="s">
        <v>106</v>
      </c>
      <c r="B49" s="139" t="s">
        <v>159</v>
      </c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40" t="s">
        <v>33</v>
      </c>
    </row>
    <row r="50" spans="1:20" ht="15.75" customHeight="1">
      <c r="A50" s="137" t="s">
        <v>104</v>
      </c>
      <c r="B50" s="139" t="s">
        <v>160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40" t="s">
        <v>87</v>
      </c>
    </row>
    <row r="51" spans="1:20" ht="15.75" customHeight="1">
      <c r="A51" s="137" t="s">
        <v>106</v>
      </c>
      <c r="B51" s="139" t="s">
        <v>161</v>
      </c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48" t="s">
        <v>162</v>
      </c>
    </row>
    <row r="52" spans="1:20" ht="15.75" customHeight="1">
      <c r="A52" s="137" t="s">
        <v>59</v>
      </c>
      <c r="B52" s="139" t="s">
        <v>163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48" t="s">
        <v>164</v>
      </c>
    </row>
    <row r="53" spans="1:20" ht="15.75" customHeight="1">
      <c r="A53" s="137" t="s">
        <v>111</v>
      </c>
      <c r="B53" s="139" t="s">
        <v>165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40" t="s">
        <v>58</v>
      </c>
    </row>
    <row r="54" spans="1:20" ht="15.75" customHeight="1">
      <c r="A54" s="137" t="s">
        <v>166</v>
      </c>
      <c r="B54" s="139" t="s">
        <v>167</v>
      </c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 t="s">
        <v>87</v>
      </c>
    </row>
    <row r="55" spans="1:20" ht="15.75" customHeight="1">
      <c r="A55" s="130" t="s">
        <v>168</v>
      </c>
      <c r="B55" s="131" t="s">
        <v>169</v>
      </c>
      <c r="C55" s="135">
        <v>2012</v>
      </c>
      <c r="D55" s="149" t="s">
        <v>30</v>
      </c>
      <c r="E55" s="150" t="s">
        <v>170</v>
      </c>
      <c r="F55" s="151" t="s">
        <v>171</v>
      </c>
      <c r="G55" s="152">
        <v>100</v>
      </c>
      <c r="H55" s="152">
        <v>116</v>
      </c>
      <c r="I55" s="134">
        <f>(G55*H55)/10000</f>
        <v>1.1599999999999999</v>
      </c>
      <c r="J55" s="153">
        <v>4.1666666659999997E-2</v>
      </c>
      <c r="K55" s="153">
        <v>4.1666666659999997E-2</v>
      </c>
      <c r="L55" s="134">
        <f t="shared" ref="L55:L57" si="6">J55*H55</f>
        <v>4.8333333325599996</v>
      </c>
      <c r="M55" s="131">
        <f>365*6</f>
        <v>2190</v>
      </c>
      <c r="N55" s="152">
        <v>1</v>
      </c>
      <c r="O55" s="152">
        <v>1</v>
      </c>
      <c r="P55" s="152">
        <v>1</v>
      </c>
      <c r="Q55" s="152">
        <v>0</v>
      </c>
      <c r="R55" s="131" t="s">
        <v>172</v>
      </c>
      <c r="S55" s="152" t="s">
        <v>173</v>
      </c>
      <c r="T55" s="136"/>
    </row>
    <row r="56" spans="1:20" ht="15.75" customHeight="1">
      <c r="A56" s="141" t="s">
        <v>174</v>
      </c>
      <c r="B56" s="154" t="s">
        <v>175</v>
      </c>
      <c r="C56" s="143">
        <v>2007</v>
      </c>
      <c r="D56" s="147" t="s">
        <v>30</v>
      </c>
      <c r="E56" s="154" t="s">
        <v>176</v>
      </c>
      <c r="F56" s="155" t="s">
        <v>177</v>
      </c>
      <c r="G56" s="143">
        <v>4.25</v>
      </c>
      <c r="H56" s="143">
        <v>120</v>
      </c>
      <c r="I56" s="145">
        <f>(G56*120)/10000</f>
        <v>5.0999999999999997E-2</v>
      </c>
      <c r="J56" s="143">
        <v>1</v>
      </c>
      <c r="K56" s="143">
        <v>14</v>
      </c>
      <c r="L56" s="145">
        <f t="shared" si="6"/>
        <v>120</v>
      </c>
      <c r="M56" s="145">
        <f>365*3</f>
        <v>1095</v>
      </c>
      <c r="N56" s="143">
        <v>1</v>
      </c>
      <c r="O56" s="143">
        <v>2</v>
      </c>
      <c r="P56" s="143">
        <v>1</v>
      </c>
      <c r="Q56" s="143">
        <v>1</v>
      </c>
      <c r="R56" s="144"/>
      <c r="S56" s="144" t="s">
        <v>14</v>
      </c>
      <c r="T56" s="146"/>
    </row>
    <row r="57" spans="1:20" ht="15.75" customHeight="1">
      <c r="A57" s="130" t="s">
        <v>178</v>
      </c>
      <c r="B57" s="131" t="s">
        <v>179</v>
      </c>
      <c r="C57" s="135">
        <v>2006</v>
      </c>
      <c r="D57" s="149" t="s">
        <v>30</v>
      </c>
      <c r="E57" s="156" t="s">
        <v>180</v>
      </c>
      <c r="F57" s="157" t="s">
        <v>181</v>
      </c>
      <c r="G57" s="152">
        <v>25</v>
      </c>
      <c r="H57" s="152">
        <f>28*10</f>
        <v>280</v>
      </c>
      <c r="I57" s="134">
        <f>(G57*280)/10000</f>
        <v>0.7</v>
      </c>
      <c r="J57" s="152">
        <v>0.5</v>
      </c>
      <c r="K57" s="152">
        <v>30</v>
      </c>
      <c r="L57" s="134">
        <f t="shared" si="6"/>
        <v>140</v>
      </c>
      <c r="M57" s="152">
        <v>365</v>
      </c>
      <c r="N57" s="152">
        <v>1</v>
      </c>
      <c r="O57" s="152">
        <v>1</v>
      </c>
      <c r="P57" s="152">
        <v>1</v>
      </c>
      <c r="Q57" s="152">
        <v>0</v>
      </c>
      <c r="R57" s="131"/>
      <c r="S57" s="152" t="s">
        <v>182</v>
      </c>
      <c r="T57" s="136"/>
    </row>
    <row r="58" spans="1:20" ht="15.75" customHeight="1">
      <c r="A58" s="137" t="s">
        <v>41</v>
      </c>
      <c r="B58" s="139" t="s">
        <v>183</v>
      </c>
      <c r="C58" s="158">
        <v>2013</v>
      </c>
      <c r="D58" s="139"/>
      <c r="E58" s="139"/>
      <c r="F58" s="139"/>
      <c r="G58" s="139"/>
      <c r="H58" s="15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40" t="s">
        <v>33</v>
      </c>
    </row>
    <row r="59" spans="1:20" ht="15.75" customHeight="1">
      <c r="A59" s="137" t="s">
        <v>28</v>
      </c>
      <c r="B59" s="160" t="s">
        <v>184</v>
      </c>
      <c r="C59" s="158">
        <v>2004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40" t="s">
        <v>58</v>
      </c>
    </row>
    <row r="60" spans="1:20" ht="15.75" customHeight="1">
      <c r="A60" s="137" t="s">
        <v>41</v>
      </c>
      <c r="B60" s="161" t="s">
        <v>185</v>
      </c>
      <c r="C60" s="158">
        <v>2011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40"/>
    </row>
    <row r="61" spans="1:20" ht="15.75" customHeight="1">
      <c r="A61" s="137" t="s">
        <v>25</v>
      </c>
      <c r="B61" s="139" t="s">
        <v>186</v>
      </c>
      <c r="C61" s="158">
        <v>2009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40"/>
    </row>
    <row r="62" spans="1:20" ht="15.75" customHeight="1">
      <c r="A62" s="137" t="s">
        <v>25</v>
      </c>
      <c r="B62" s="139" t="s">
        <v>187</v>
      </c>
      <c r="C62" s="158">
        <v>2010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40"/>
    </row>
    <row r="63" spans="1:20" ht="15.75" customHeight="1">
      <c r="A63" s="141" t="s">
        <v>104</v>
      </c>
      <c r="B63" s="144" t="s">
        <v>188</v>
      </c>
      <c r="C63" s="143">
        <v>2011</v>
      </c>
      <c r="D63" s="147" t="s">
        <v>30</v>
      </c>
      <c r="E63" s="144" t="s">
        <v>189</v>
      </c>
      <c r="F63" s="144" t="s">
        <v>190</v>
      </c>
      <c r="G63" s="143">
        <v>1.5900000000000001E-2</v>
      </c>
      <c r="H63" s="143">
        <v>6</v>
      </c>
      <c r="I63" s="145">
        <f>(G63*6)/10000</f>
        <v>9.5400000000000018E-6</v>
      </c>
      <c r="J63" s="143">
        <v>0.5</v>
      </c>
      <c r="K63" s="143">
        <v>60</v>
      </c>
      <c r="L63" s="145">
        <f>J63*H63</f>
        <v>3</v>
      </c>
      <c r="M63" s="143">
        <v>365</v>
      </c>
      <c r="N63" s="143">
        <v>1</v>
      </c>
      <c r="O63" s="143">
        <v>2</v>
      </c>
      <c r="P63" s="143">
        <v>1</v>
      </c>
      <c r="Q63" s="143">
        <v>0</v>
      </c>
      <c r="R63" s="144"/>
      <c r="S63" s="144" t="s">
        <v>191</v>
      </c>
      <c r="T63" s="146"/>
    </row>
    <row r="64" spans="1:20" ht="15.75" customHeight="1">
      <c r="A64" s="162" t="s">
        <v>168</v>
      </c>
      <c r="B64" s="163" t="s">
        <v>192</v>
      </c>
      <c r="C64" s="158">
        <v>2008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40" t="s">
        <v>58</v>
      </c>
    </row>
    <row r="65" spans="1:20" ht="15.75" customHeight="1">
      <c r="A65" s="164" t="s">
        <v>34</v>
      </c>
      <c r="B65" s="165" t="s">
        <v>193</v>
      </c>
      <c r="C65" s="166">
        <v>2013</v>
      </c>
      <c r="D65" s="167" t="s">
        <v>30</v>
      </c>
      <c r="E65" s="165" t="s">
        <v>194</v>
      </c>
      <c r="F65" s="165" t="s">
        <v>195</v>
      </c>
      <c r="G65" s="168">
        <f t="shared" ref="G65:G67" si="7">250*80</f>
        <v>20000</v>
      </c>
      <c r="H65" s="166">
        <v>139</v>
      </c>
      <c r="I65" s="168">
        <f t="shared" ref="I65:I67" si="8">(G65*H65)/10000</f>
        <v>278</v>
      </c>
      <c r="J65" s="168">
        <f t="shared" ref="J65:J67" si="9">20*I65</f>
        <v>5560</v>
      </c>
      <c r="K65" s="166">
        <v>8</v>
      </c>
      <c r="L65" s="168">
        <f t="shared" ref="L65:L67" si="10">J65*H65</f>
        <v>772840</v>
      </c>
      <c r="M65" s="168">
        <f t="shared" ref="M65:M67" si="11">6*365</f>
        <v>2190</v>
      </c>
      <c r="N65" s="166">
        <v>1</v>
      </c>
      <c r="O65" s="166">
        <v>3</v>
      </c>
      <c r="P65" s="166">
        <v>2</v>
      </c>
      <c r="Q65" s="166">
        <v>1</v>
      </c>
      <c r="R65" s="169"/>
      <c r="S65" s="169"/>
      <c r="T65" s="170" t="s">
        <v>196</v>
      </c>
    </row>
    <row r="66" spans="1:20" ht="15.75" customHeight="1">
      <c r="A66" s="164" t="s">
        <v>34</v>
      </c>
      <c r="B66" s="165" t="s">
        <v>197</v>
      </c>
      <c r="C66" s="166">
        <v>2013</v>
      </c>
      <c r="D66" s="167" t="s">
        <v>30</v>
      </c>
      <c r="E66" s="165" t="s">
        <v>194</v>
      </c>
      <c r="F66" s="165" t="s">
        <v>195</v>
      </c>
      <c r="G66" s="168">
        <f t="shared" si="7"/>
        <v>20000</v>
      </c>
      <c r="H66" s="166">
        <v>18</v>
      </c>
      <c r="I66" s="168">
        <f t="shared" si="8"/>
        <v>36</v>
      </c>
      <c r="J66" s="168">
        <f t="shared" si="9"/>
        <v>720</v>
      </c>
      <c r="K66" s="166">
        <v>8</v>
      </c>
      <c r="L66" s="168">
        <f t="shared" si="10"/>
        <v>12960</v>
      </c>
      <c r="M66" s="168">
        <f t="shared" si="11"/>
        <v>2190</v>
      </c>
      <c r="N66" s="166">
        <v>1</v>
      </c>
      <c r="O66" s="166">
        <v>3</v>
      </c>
      <c r="P66" s="166">
        <v>2</v>
      </c>
      <c r="Q66" s="166">
        <v>1</v>
      </c>
      <c r="R66" s="169"/>
      <c r="S66" s="169"/>
      <c r="T66" s="170" t="s">
        <v>198</v>
      </c>
    </row>
    <row r="67" spans="1:20" ht="15.75" customHeight="1">
      <c r="A67" s="141" t="s">
        <v>34</v>
      </c>
      <c r="B67" s="154" t="s">
        <v>199</v>
      </c>
      <c r="C67" s="143">
        <v>2013</v>
      </c>
      <c r="D67" s="147" t="s">
        <v>30</v>
      </c>
      <c r="E67" s="154" t="s">
        <v>194</v>
      </c>
      <c r="F67" s="154" t="s">
        <v>195</v>
      </c>
      <c r="G67" s="145">
        <f t="shared" si="7"/>
        <v>20000</v>
      </c>
      <c r="H67" s="143">
        <v>40</v>
      </c>
      <c r="I67" s="145">
        <f t="shared" si="8"/>
        <v>80</v>
      </c>
      <c r="J67" s="145">
        <f t="shared" si="9"/>
        <v>1600</v>
      </c>
      <c r="K67" s="143">
        <v>8</v>
      </c>
      <c r="L67" s="145">
        <f t="shared" si="10"/>
        <v>64000</v>
      </c>
      <c r="M67" s="145">
        <f t="shared" si="11"/>
        <v>2190</v>
      </c>
      <c r="N67" s="143">
        <v>1</v>
      </c>
      <c r="O67" s="143">
        <v>3</v>
      </c>
      <c r="P67" s="143">
        <v>2</v>
      </c>
      <c r="Q67" s="143">
        <v>1</v>
      </c>
      <c r="R67" s="144"/>
      <c r="S67" s="144"/>
      <c r="T67" s="146" t="s">
        <v>200</v>
      </c>
    </row>
  </sheetData>
  <hyperlinks>
    <hyperlink ref="B5" r:id="rId1"/>
    <hyperlink ref="R6" r:id="rId2"/>
    <hyperlink ref="B7" r:id="rId3"/>
    <hyperlink ref="R7" r:id="rId4"/>
    <hyperlink ref="B8" r:id="rId5"/>
    <hyperlink ref="R8" r:id="rId6"/>
    <hyperlink ref="R32" r:id="rId7"/>
    <hyperlink ref="T32" r:id="rId8"/>
    <hyperlink ref="R35" r:id="rId9"/>
    <hyperlink ref="T35" r:id="rId10"/>
    <hyperlink ref="B40" r:id="rId11"/>
  </hyperlinks>
  <pageMargins left="0.75" right="0.75" top="1" bottom="1" header="0.5" footer="0.5"/>
  <pageSetup orientation="portrait" horizontalDpi="4294967292" verticalDpi="4294967292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A37" sqref="A37"/>
    </sheetView>
  </sheetViews>
  <sheetFormatPr baseColWidth="10" defaultRowHeight="12" x14ac:dyDescent="0"/>
  <sheetData>
    <row r="1" spans="1:20" ht="15.75" customHeight="1">
      <c r="A1" s="4"/>
      <c r="B1" s="4"/>
      <c r="C1" s="4"/>
      <c r="D1" s="4"/>
      <c r="E1" s="4"/>
      <c r="F1" s="4"/>
      <c r="G1" s="4" t="s">
        <v>1</v>
      </c>
      <c r="H1" s="4" t="s">
        <v>2</v>
      </c>
      <c r="I1" s="4" t="s">
        <v>3</v>
      </c>
      <c r="J1" s="4" t="s">
        <v>4</v>
      </c>
      <c r="K1" s="4" t="s">
        <v>4</v>
      </c>
      <c r="L1" s="4" t="s">
        <v>4</v>
      </c>
      <c r="M1" s="4" t="s">
        <v>4</v>
      </c>
      <c r="N1" s="4"/>
      <c r="O1" s="4"/>
      <c r="P1" s="4"/>
      <c r="Q1" s="4"/>
      <c r="R1" s="4"/>
      <c r="S1" s="4"/>
      <c r="T1" s="4"/>
    </row>
    <row r="2" spans="1:20" ht="25.5" customHeight="1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6" t="s">
        <v>23</v>
      </c>
      <c r="T2" s="6" t="s">
        <v>24</v>
      </c>
    </row>
    <row r="3" spans="1:20" ht="17" customHeight="1">
      <c r="A3" s="106" t="s">
        <v>34</v>
      </c>
      <c r="B3" s="106" t="s">
        <v>35</v>
      </c>
      <c r="C3" s="54">
        <v>2009</v>
      </c>
      <c r="D3" s="106" t="s">
        <v>30</v>
      </c>
      <c r="E3" s="106" t="s">
        <v>36</v>
      </c>
      <c r="F3" s="24" t="s">
        <v>37</v>
      </c>
      <c r="G3" s="106">
        <v>80</v>
      </c>
      <c r="H3" s="54">
        <v>8</v>
      </c>
      <c r="I3" s="27">
        <f>80*8/10000</f>
        <v>6.4000000000000001E-2</v>
      </c>
      <c r="J3" s="106">
        <v>0.25</v>
      </c>
      <c r="K3" s="106">
        <v>15.5</v>
      </c>
      <c r="L3" s="106">
        <f>0.25*8</f>
        <v>2</v>
      </c>
      <c r="M3" s="106">
        <v>56</v>
      </c>
      <c r="N3" s="106">
        <v>3</v>
      </c>
      <c r="O3" s="106">
        <v>1</v>
      </c>
      <c r="P3" s="106">
        <v>0</v>
      </c>
      <c r="Q3" s="106">
        <v>0</v>
      </c>
      <c r="R3" s="28" t="s">
        <v>38</v>
      </c>
      <c r="S3" s="106" t="s">
        <v>39</v>
      </c>
      <c r="T3" s="106" t="s">
        <v>40</v>
      </c>
    </row>
    <row r="4" spans="1:20" ht="17" customHeight="1">
      <c r="A4" s="29" t="s">
        <v>41</v>
      </c>
      <c r="B4" s="30" t="s">
        <v>42</v>
      </c>
      <c r="C4" s="48">
        <v>2013</v>
      </c>
      <c r="D4" s="103" t="s">
        <v>30</v>
      </c>
      <c r="E4" s="103" t="s">
        <v>43</v>
      </c>
      <c r="F4" s="103" t="s">
        <v>44</v>
      </c>
      <c r="G4" s="103">
        <v>24</v>
      </c>
      <c r="H4" s="103">
        <v>17</v>
      </c>
      <c r="I4" s="104">
        <f>24*17/10000</f>
        <v>4.0800000000000003E-2</v>
      </c>
      <c r="J4" s="104">
        <f t="shared" ref="J4:J8" si="0">1/24</f>
        <v>4.1666666666666664E-2</v>
      </c>
      <c r="K4" s="103">
        <v>365</v>
      </c>
      <c r="L4" s="104">
        <f>J4*17</f>
        <v>0.70833333333333326</v>
      </c>
      <c r="M4" s="104">
        <f>365*20</f>
        <v>7300</v>
      </c>
      <c r="N4" s="103">
        <v>3</v>
      </c>
      <c r="O4" s="103">
        <v>1</v>
      </c>
      <c r="P4" s="103">
        <v>1</v>
      </c>
      <c r="Q4" s="103">
        <v>0</v>
      </c>
      <c r="R4" s="37" t="s">
        <v>45</v>
      </c>
      <c r="S4" s="103" t="s">
        <v>39</v>
      </c>
      <c r="T4" s="103" t="s">
        <v>46</v>
      </c>
    </row>
    <row r="5" spans="1:20" ht="17" customHeight="1">
      <c r="A5" s="39" t="s">
        <v>41</v>
      </c>
      <c r="B5" s="40" t="s">
        <v>42</v>
      </c>
      <c r="C5" s="54">
        <v>2013</v>
      </c>
      <c r="D5" s="106" t="s">
        <v>30</v>
      </c>
      <c r="E5" s="106" t="s">
        <v>43</v>
      </c>
      <c r="F5" s="106" t="s">
        <v>44</v>
      </c>
      <c r="G5" s="106">
        <v>24</v>
      </c>
      <c r="H5" s="106">
        <v>16</v>
      </c>
      <c r="I5" s="108">
        <f>(24*16)/10000</f>
        <v>3.8399999999999997E-2</v>
      </c>
      <c r="J5" s="108">
        <f t="shared" si="0"/>
        <v>4.1666666666666664E-2</v>
      </c>
      <c r="K5" s="106">
        <v>0</v>
      </c>
      <c r="L5" s="108">
        <f>J5*16</f>
        <v>0.66666666666666663</v>
      </c>
      <c r="M5" s="106">
        <v>7300</v>
      </c>
      <c r="N5" s="106">
        <v>3</v>
      </c>
      <c r="O5" s="106">
        <v>1</v>
      </c>
      <c r="P5" s="106">
        <v>1</v>
      </c>
      <c r="Q5" s="106">
        <v>0</v>
      </c>
      <c r="R5" s="45" t="s">
        <v>45</v>
      </c>
      <c r="S5" s="106" t="s">
        <v>39</v>
      </c>
      <c r="T5" s="106" t="s">
        <v>46</v>
      </c>
    </row>
    <row r="6" spans="1:20" ht="17" customHeight="1">
      <c r="A6" s="46" t="s">
        <v>47</v>
      </c>
      <c r="B6" s="47" t="s">
        <v>48</v>
      </c>
      <c r="C6" s="47">
        <v>2009</v>
      </c>
      <c r="D6" s="103" t="s">
        <v>30</v>
      </c>
      <c r="E6" s="103" t="s">
        <v>49</v>
      </c>
      <c r="F6" s="47" t="s">
        <v>50</v>
      </c>
      <c r="G6" s="103">
        <v>4.9099999999999998E-2</v>
      </c>
      <c r="H6" s="48">
        <f>12*4.25</f>
        <v>51</v>
      </c>
      <c r="I6" s="49">
        <f>H6*G6/10000</f>
        <v>2.5040999999999996E-4</v>
      </c>
      <c r="J6" s="104">
        <f t="shared" si="0"/>
        <v>4.1666666666666664E-2</v>
      </c>
      <c r="K6" s="103">
        <v>0</v>
      </c>
      <c r="L6" s="103">
        <f>J6*51</f>
        <v>2.125</v>
      </c>
      <c r="M6" s="103">
        <v>1095</v>
      </c>
      <c r="N6" s="103">
        <v>3</v>
      </c>
      <c r="O6" s="103">
        <v>2</v>
      </c>
      <c r="P6" s="103">
        <v>2</v>
      </c>
      <c r="Q6" s="103">
        <v>1</v>
      </c>
      <c r="R6" s="103"/>
      <c r="S6" s="103" t="s">
        <v>51</v>
      </c>
      <c r="T6" s="103" t="s">
        <v>52</v>
      </c>
    </row>
    <row r="7" spans="1:20" ht="17" customHeight="1">
      <c r="A7" s="52" t="s">
        <v>47</v>
      </c>
      <c r="B7" s="53" t="s">
        <v>48</v>
      </c>
      <c r="C7" s="53">
        <v>2009</v>
      </c>
      <c r="D7" s="106" t="s">
        <v>30</v>
      </c>
      <c r="E7" s="106" t="s">
        <v>49</v>
      </c>
      <c r="F7" s="53" t="s">
        <v>53</v>
      </c>
      <c r="G7" s="106">
        <v>10</v>
      </c>
      <c r="H7" s="54">
        <v>11</v>
      </c>
      <c r="I7" s="27">
        <f>10*11/10000</f>
        <v>1.0999999999999999E-2</v>
      </c>
      <c r="J7" s="108">
        <f t="shared" si="0"/>
        <v>4.1666666666666664E-2</v>
      </c>
      <c r="K7" s="106">
        <v>0</v>
      </c>
      <c r="L7" s="106">
        <f>J7*11</f>
        <v>0.45833333333333331</v>
      </c>
      <c r="M7" s="106">
        <v>1095</v>
      </c>
      <c r="N7" s="106">
        <v>3</v>
      </c>
      <c r="O7" s="106">
        <v>2</v>
      </c>
      <c r="P7" s="106">
        <v>2</v>
      </c>
      <c r="Q7" s="106">
        <v>1</v>
      </c>
      <c r="R7" s="106"/>
      <c r="S7" s="106" t="s">
        <v>51</v>
      </c>
      <c r="T7" s="106" t="s">
        <v>52</v>
      </c>
    </row>
    <row r="8" spans="1:20" ht="17" customHeight="1">
      <c r="A8" s="56" t="s">
        <v>47</v>
      </c>
      <c r="B8" s="57" t="s">
        <v>48</v>
      </c>
      <c r="C8" s="57">
        <v>2009</v>
      </c>
      <c r="D8" s="110" t="s">
        <v>30</v>
      </c>
      <c r="E8" s="110" t="s">
        <v>49</v>
      </c>
      <c r="F8" s="57" t="s">
        <v>54</v>
      </c>
      <c r="G8" s="110">
        <v>0.31927800000000001</v>
      </c>
      <c r="H8" s="61">
        <v>24</v>
      </c>
      <c r="I8" s="62">
        <f>G8*H8/10000</f>
        <v>7.6626720000000001E-4</v>
      </c>
      <c r="J8" s="111">
        <f t="shared" si="0"/>
        <v>4.1666666666666664E-2</v>
      </c>
      <c r="K8" s="110">
        <v>30</v>
      </c>
      <c r="L8" s="110">
        <f>J8*24</f>
        <v>1</v>
      </c>
      <c r="M8" s="110">
        <v>1095</v>
      </c>
      <c r="N8" s="110">
        <v>3</v>
      </c>
      <c r="O8" s="110">
        <v>2</v>
      </c>
      <c r="P8" s="110">
        <v>2</v>
      </c>
      <c r="Q8" s="110">
        <v>1</v>
      </c>
      <c r="R8" s="110"/>
      <c r="S8" s="110" t="s">
        <v>55</v>
      </c>
      <c r="T8" s="110" t="s">
        <v>52</v>
      </c>
    </row>
    <row r="9" spans="1:20" ht="17" customHeight="1">
      <c r="A9" s="71" t="s">
        <v>63</v>
      </c>
      <c r="B9" s="93" t="s">
        <v>64</v>
      </c>
      <c r="C9" s="73">
        <v>2007</v>
      </c>
      <c r="D9" s="93" t="s">
        <v>30</v>
      </c>
      <c r="E9" s="93" t="s">
        <v>49</v>
      </c>
      <c r="F9" s="93" t="s">
        <v>65</v>
      </c>
      <c r="G9" s="93">
        <v>200000000</v>
      </c>
      <c r="H9" s="93">
        <v>476</v>
      </c>
      <c r="I9" s="93">
        <f>200000000*476/10000</f>
        <v>9520000</v>
      </c>
      <c r="J9" s="93">
        <v>1</v>
      </c>
      <c r="K9" s="93">
        <v>2</v>
      </c>
      <c r="L9" s="93">
        <v>476</v>
      </c>
      <c r="M9" s="97">
        <f>4*365</f>
        <v>1460</v>
      </c>
      <c r="N9" s="93">
        <v>3</v>
      </c>
      <c r="O9" s="93">
        <v>0</v>
      </c>
      <c r="P9" s="93">
        <v>1</v>
      </c>
      <c r="Q9" s="93">
        <v>0</v>
      </c>
      <c r="R9" s="97"/>
      <c r="S9" s="93" t="s">
        <v>66</v>
      </c>
      <c r="T9" s="97"/>
    </row>
    <row r="10" spans="1:20" ht="17" customHeight="1">
      <c r="A10" s="46" t="s">
        <v>69</v>
      </c>
      <c r="B10" s="103" t="s">
        <v>70</v>
      </c>
      <c r="C10" s="47">
        <v>2004</v>
      </c>
      <c r="D10" s="103" t="s">
        <v>30</v>
      </c>
      <c r="E10" s="81" t="s">
        <v>71</v>
      </c>
      <c r="F10" s="103" t="s">
        <v>72</v>
      </c>
      <c r="G10" s="103">
        <v>2.25</v>
      </c>
      <c r="H10" s="103">
        <v>100</v>
      </c>
      <c r="I10" s="104">
        <f>2.25*100/10000</f>
        <v>2.2499999999999999E-2</v>
      </c>
      <c r="J10" s="103">
        <v>0.5</v>
      </c>
      <c r="K10" s="103">
        <v>0</v>
      </c>
      <c r="L10" s="103">
        <v>50</v>
      </c>
      <c r="M10" s="103">
        <v>30</v>
      </c>
      <c r="N10" s="103">
        <v>3</v>
      </c>
      <c r="O10" s="103">
        <v>2</v>
      </c>
      <c r="P10" s="103">
        <v>2</v>
      </c>
      <c r="Q10" s="103">
        <v>1</v>
      </c>
      <c r="R10" s="104"/>
      <c r="S10" s="103" t="s">
        <v>73</v>
      </c>
      <c r="T10" s="82" t="s">
        <v>74</v>
      </c>
    </row>
    <row r="11" spans="1:20" ht="17" customHeight="1">
      <c r="A11" s="56" t="s">
        <v>69</v>
      </c>
      <c r="B11" s="110" t="s">
        <v>70</v>
      </c>
      <c r="C11" s="57">
        <v>2004</v>
      </c>
      <c r="D11" s="110" t="s">
        <v>30</v>
      </c>
      <c r="E11" s="154" t="s">
        <v>71</v>
      </c>
      <c r="F11" s="110" t="s">
        <v>75</v>
      </c>
      <c r="G11" s="110">
        <v>0.16</v>
      </c>
      <c r="H11" s="110">
        <v>400</v>
      </c>
      <c r="I11" s="110">
        <f>0.16*400/10000</f>
        <v>6.4000000000000003E-3</v>
      </c>
      <c r="J11" s="110">
        <v>0.5</v>
      </c>
      <c r="K11" s="111">
        <f>365+365</f>
        <v>730</v>
      </c>
      <c r="L11" s="110">
        <v>200</v>
      </c>
      <c r="M11" s="110">
        <f>365*2</f>
        <v>730</v>
      </c>
      <c r="N11" s="110">
        <v>3</v>
      </c>
      <c r="O11" s="110">
        <v>2</v>
      </c>
      <c r="P11" s="110">
        <v>2</v>
      </c>
      <c r="Q11" s="110">
        <v>1</v>
      </c>
      <c r="R11" s="111"/>
      <c r="S11" s="110" t="s">
        <v>73</v>
      </c>
      <c r="T11" s="85" t="s">
        <v>74</v>
      </c>
    </row>
    <row r="12" spans="1:20" ht="17" customHeight="1">
      <c r="A12" s="52" t="s">
        <v>76</v>
      </c>
      <c r="B12" s="53" t="s">
        <v>77</v>
      </c>
      <c r="C12" s="53">
        <v>2013</v>
      </c>
      <c r="D12" s="106" t="s">
        <v>30</v>
      </c>
      <c r="E12" s="106" t="s">
        <v>31</v>
      </c>
      <c r="F12" s="106" t="s">
        <v>78</v>
      </c>
      <c r="G12" s="106">
        <v>0.95707200000000003</v>
      </c>
      <c r="H12" s="106">
        <v>5</v>
      </c>
      <c r="I12" s="108">
        <f>5*G12/10000</f>
        <v>4.78536E-4</v>
      </c>
      <c r="J12" s="106">
        <v>0.5</v>
      </c>
      <c r="K12" s="106">
        <v>1</v>
      </c>
      <c r="L12" s="106">
        <v>2.5</v>
      </c>
      <c r="M12" s="106">
        <v>730</v>
      </c>
      <c r="N12" s="106">
        <v>3</v>
      </c>
      <c r="O12" s="106">
        <v>0</v>
      </c>
      <c r="P12" s="106">
        <v>1</v>
      </c>
      <c r="Q12" s="106">
        <v>0</v>
      </c>
      <c r="R12" s="108"/>
      <c r="S12" s="106" t="s">
        <v>79</v>
      </c>
      <c r="T12" s="106" t="s">
        <v>74</v>
      </c>
    </row>
    <row r="13" spans="1:20" ht="17" customHeight="1">
      <c r="A13" s="56" t="s">
        <v>76</v>
      </c>
      <c r="B13" s="57" t="s">
        <v>80</v>
      </c>
      <c r="C13" s="57">
        <v>2013</v>
      </c>
      <c r="D13" s="110" t="s">
        <v>30</v>
      </c>
      <c r="E13" s="110" t="s">
        <v>31</v>
      </c>
      <c r="F13" s="110" t="s">
        <v>78</v>
      </c>
      <c r="G13" s="110">
        <v>0.03</v>
      </c>
      <c r="H13" s="110">
        <v>20</v>
      </c>
      <c r="I13" s="110">
        <f>0.03*20/10000</f>
        <v>5.9999999999999995E-5</v>
      </c>
      <c r="J13" s="110">
        <v>0.5</v>
      </c>
      <c r="K13" s="110">
        <v>1</v>
      </c>
      <c r="L13" s="110">
        <v>10</v>
      </c>
      <c r="M13" s="110">
        <v>730</v>
      </c>
      <c r="N13" s="110">
        <v>3</v>
      </c>
      <c r="O13" s="110">
        <v>0</v>
      </c>
      <c r="P13" s="110">
        <v>1</v>
      </c>
      <c r="Q13" s="110">
        <v>0</v>
      </c>
      <c r="R13" s="111"/>
      <c r="S13" s="110" t="s">
        <v>79</v>
      </c>
      <c r="T13" s="110" t="s">
        <v>74</v>
      </c>
    </row>
    <row r="14" spans="1:20" ht="17" customHeight="1">
      <c r="A14" s="71" t="s">
        <v>47</v>
      </c>
      <c r="B14" s="93" t="s">
        <v>81</v>
      </c>
      <c r="C14" s="73">
        <v>2011</v>
      </c>
      <c r="D14" s="93" t="s">
        <v>82</v>
      </c>
      <c r="E14" s="93" t="s">
        <v>83</v>
      </c>
      <c r="F14" s="93" t="s">
        <v>84</v>
      </c>
      <c r="G14" s="93">
        <v>314.16000000000003</v>
      </c>
      <c r="H14" s="93">
        <v>1</v>
      </c>
      <c r="I14" s="93">
        <f>314.16/10000</f>
        <v>3.1415999999999999E-2</v>
      </c>
      <c r="J14" s="93">
        <v>30</v>
      </c>
      <c r="K14" s="93">
        <v>7</v>
      </c>
      <c r="L14" s="93">
        <v>30</v>
      </c>
      <c r="M14" s="93">
        <v>365</v>
      </c>
      <c r="N14" s="93">
        <v>2</v>
      </c>
      <c r="O14" s="93">
        <v>1</v>
      </c>
      <c r="P14" s="93">
        <v>1</v>
      </c>
      <c r="Q14" s="93">
        <v>0</v>
      </c>
      <c r="R14" s="97"/>
      <c r="S14" s="93" t="s">
        <v>85</v>
      </c>
      <c r="T14" s="95"/>
    </row>
    <row r="15" spans="1:20" ht="17" customHeight="1">
      <c r="A15" s="71" t="s">
        <v>69</v>
      </c>
      <c r="B15" s="93" t="s">
        <v>89</v>
      </c>
      <c r="C15" s="73">
        <v>2013</v>
      </c>
      <c r="D15" s="93" t="s">
        <v>30</v>
      </c>
      <c r="E15" s="93" t="s">
        <v>90</v>
      </c>
      <c r="F15" s="93" t="s">
        <v>91</v>
      </c>
      <c r="G15" s="93">
        <v>3.1E-2</v>
      </c>
      <c r="H15" s="93">
        <f>43*6</f>
        <v>258</v>
      </c>
      <c r="I15" s="97">
        <f>0.031*258/10000</f>
        <v>7.9980000000000003E-4</v>
      </c>
      <c r="J15" s="93">
        <v>0.5</v>
      </c>
      <c r="K15" s="93">
        <v>1</v>
      </c>
      <c r="L15" s="93">
        <v>30</v>
      </c>
      <c r="M15" s="93">
        <v>365</v>
      </c>
      <c r="N15" s="93">
        <v>3</v>
      </c>
      <c r="O15" s="93">
        <v>2</v>
      </c>
      <c r="P15" s="93">
        <v>2</v>
      </c>
      <c r="Q15" s="93">
        <v>0</v>
      </c>
      <c r="R15" s="97"/>
      <c r="S15" s="93" t="s">
        <v>85</v>
      </c>
      <c r="T15" s="95"/>
    </row>
    <row r="16" spans="1:20" ht="17" customHeight="1">
      <c r="A16" s="71" t="s">
        <v>47</v>
      </c>
      <c r="B16" s="93" t="s">
        <v>92</v>
      </c>
      <c r="C16" s="73">
        <v>2011</v>
      </c>
      <c r="D16" s="93" t="s">
        <v>82</v>
      </c>
      <c r="E16" s="93" t="s">
        <v>93</v>
      </c>
      <c r="F16" s="93" t="s">
        <v>94</v>
      </c>
      <c r="G16" s="93">
        <v>3.3</v>
      </c>
      <c r="H16" s="93">
        <f>110+42+35</f>
        <v>187</v>
      </c>
      <c r="I16" s="93">
        <f>H16*G16</f>
        <v>617.1</v>
      </c>
      <c r="J16" s="93">
        <v>0.25</v>
      </c>
      <c r="K16" s="93">
        <v>7</v>
      </c>
      <c r="L16" s="93">
        <v>39</v>
      </c>
      <c r="M16" s="93">
        <v>182.5</v>
      </c>
      <c r="N16" s="93">
        <v>0</v>
      </c>
      <c r="O16" s="93">
        <v>1</v>
      </c>
      <c r="P16" s="93">
        <v>1</v>
      </c>
      <c r="Q16" s="93">
        <v>0</v>
      </c>
      <c r="R16" s="97"/>
      <c r="S16" s="93" t="s">
        <v>95</v>
      </c>
      <c r="T16" s="95"/>
    </row>
    <row r="17" spans="1:20" ht="17" customHeight="1">
      <c r="A17" s="71" t="s">
        <v>56</v>
      </c>
      <c r="B17" s="96" t="s">
        <v>96</v>
      </c>
      <c r="C17" s="73">
        <v>2012</v>
      </c>
      <c r="D17" s="93" t="s">
        <v>30</v>
      </c>
      <c r="E17" s="93" t="s">
        <v>97</v>
      </c>
      <c r="F17" s="93" t="s">
        <v>98</v>
      </c>
      <c r="G17" s="93">
        <v>250</v>
      </c>
      <c r="H17" s="93">
        <v>48</v>
      </c>
      <c r="I17" s="97">
        <f>H17*G17/10000</f>
        <v>1.2</v>
      </c>
      <c r="J17" s="93">
        <v>0.5</v>
      </c>
      <c r="K17" s="93">
        <v>7</v>
      </c>
      <c r="L17" s="93">
        <f>7*48</f>
        <v>336</v>
      </c>
      <c r="M17" s="93">
        <v>60</v>
      </c>
      <c r="N17" s="93">
        <v>3</v>
      </c>
      <c r="O17" s="93">
        <v>2</v>
      </c>
      <c r="P17" s="93">
        <v>2</v>
      </c>
      <c r="Q17" s="93">
        <v>3</v>
      </c>
      <c r="R17" s="97"/>
      <c r="S17" s="93" t="s">
        <v>85</v>
      </c>
      <c r="T17" s="95"/>
    </row>
    <row r="18" spans="1:20" ht="17" customHeight="1">
      <c r="A18" s="98" t="s">
        <v>47</v>
      </c>
      <c r="B18" s="93" t="s">
        <v>100</v>
      </c>
      <c r="C18" s="73">
        <v>2006</v>
      </c>
      <c r="D18" s="93" t="s">
        <v>30</v>
      </c>
      <c r="E18" s="93" t="s">
        <v>101</v>
      </c>
      <c r="F18" s="99" t="s">
        <v>102</v>
      </c>
      <c r="G18" s="93">
        <v>3140000</v>
      </c>
      <c r="H18" s="93">
        <v>1</v>
      </c>
      <c r="I18" s="93">
        <f>3140000/10000</f>
        <v>314</v>
      </c>
      <c r="J18" s="93">
        <v>1</v>
      </c>
      <c r="K18" s="97">
        <f>0.5/24</f>
        <v>2.0833333333333332E-2</v>
      </c>
      <c r="L18" s="93">
        <v>1</v>
      </c>
      <c r="M18" s="93">
        <v>730</v>
      </c>
      <c r="N18" s="93">
        <v>1</v>
      </c>
      <c r="O18" s="93">
        <v>3</v>
      </c>
      <c r="P18" s="93">
        <v>3</v>
      </c>
      <c r="Q18" s="93">
        <v>0</v>
      </c>
      <c r="R18" s="97"/>
      <c r="S18" s="93" t="s">
        <v>103</v>
      </c>
      <c r="T18" s="95"/>
    </row>
    <row r="19" spans="1:20" ht="17" customHeight="1">
      <c r="A19" s="71" t="s">
        <v>106</v>
      </c>
      <c r="B19" s="93" t="s">
        <v>107</v>
      </c>
      <c r="C19" s="73">
        <v>2010</v>
      </c>
      <c r="D19" s="93" t="s">
        <v>30</v>
      </c>
      <c r="E19" s="93" t="s">
        <v>108</v>
      </c>
      <c r="F19" s="93" t="s">
        <v>109</v>
      </c>
      <c r="G19" s="93">
        <v>22.86</v>
      </c>
      <c r="H19" s="93">
        <v>9</v>
      </c>
      <c r="I19" s="97">
        <f>9*22.86/10000</f>
        <v>2.0574000000000002E-2</v>
      </c>
      <c r="J19" s="93">
        <v>1</v>
      </c>
      <c r="K19" s="93">
        <v>365</v>
      </c>
      <c r="L19" s="93">
        <v>9</v>
      </c>
      <c r="M19" s="97">
        <f>365*9</f>
        <v>3285</v>
      </c>
      <c r="N19" s="93">
        <v>1</v>
      </c>
      <c r="O19" s="93">
        <v>0</v>
      </c>
      <c r="P19" s="93">
        <v>0</v>
      </c>
      <c r="Q19" s="93">
        <v>0</v>
      </c>
      <c r="R19" s="97"/>
      <c r="S19" s="93" t="s">
        <v>110</v>
      </c>
      <c r="T19" s="95"/>
    </row>
    <row r="20" spans="1:20" ht="17" customHeight="1">
      <c r="A20" s="71" t="s">
        <v>111</v>
      </c>
      <c r="B20" s="93" t="s">
        <v>112</v>
      </c>
      <c r="C20" s="73">
        <v>2010</v>
      </c>
      <c r="D20" s="103" t="s">
        <v>30</v>
      </c>
      <c r="E20" s="93" t="s">
        <v>113</v>
      </c>
      <c r="F20" s="93" t="s">
        <v>114</v>
      </c>
      <c r="G20" s="93">
        <v>1</v>
      </c>
      <c r="H20" s="93">
        <v>80</v>
      </c>
      <c r="I20" s="97">
        <f>80*1/10000</f>
        <v>8.0000000000000002E-3</v>
      </c>
      <c r="J20" s="93">
        <v>1</v>
      </c>
      <c r="K20" s="93">
        <v>0</v>
      </c>
      <c r="L20" s="93">
        <v>80</v>
      </c>
      <c r="M20" s="93">
        <v>92</v>
      </c>
      <c r="N20" s="93">
        <v>3</v>
      </c>
      <c r="O20" s="93">
        <v>2</v>
      </c>
      <c r="P20" s="93">
        <v>1</v>
      </c>
      <c r="Q20" s="93">
        <v>2</v>
      </c>
      <c r="R20" s="97"/>
      <c r="S20" s="93" t="s">
        <v>115</v>
      </c>
      <c r="T20" s="95"/>
    </row>
    <row r="21" spans="1:20" ht="17" customHeight="1">
      <c r="A21" s="46" t="s">
        <v>104</v>
      </c>
      <c r="B21" s="103" t="s">
        <v>116</v>
      </c>
      <c r="C21" s="47">
        <v>2009</v>
      </c>
      <c r="D21" s="103" t="s">
        <v>30</v>
      </c>
      <c r="E21" s="103" t="s">
        <v>117</v>
      </c>
      <c r="F21" s="103" t="s">
        <v>118</v>
      </c>
      <c r="G21" s="103">
        <v>4.6399999999999997E-2</v>
      </c>
      <c r="H21" s="103">
        <v>3708</v>
      </c>
      <c r="I21" s="103">
        <f>0.0464*H21/10000</f>
        <v>1.7205120000000001E-2</v>
      </c>
      <c r="J21" s="103">
        <v>4.1666666659999997E-2</v>
      </c>
      <c r="K21" s="103">
        <v>1</v>
      </c>
      <c r="L21" s="104">
        <f t="shared" ref="L21:L24" si="1">J21*H21</f>
        <v>154.49999997527999</v>
      </c>
      <c r="M21" s="103">
        <v>33</v>
      </c>
      <c r="N21" s="103">
        <v>0</v>
      </c>
      <c r="O21" s="103">
        <v>1</v>
      </c>
      <c r="P21" s="103">
        <v>1</v>
      </c>
      <c r="Q21" s="103">
        <v>0</v>
      </c>
      <c r="R21" s="30" t="s">
        <v>119</v>
      </c>
      <c r="S21" s="103" t="s">
        <v>115</v>
      </c>
      <c r="T21" s="105" t="s">
        <v>120</v>
      </c>
    </row>
    <row r="22" spans="1:20" ht="17" customHeight="1">
      <c r="A22" s="52" t="s">
        <v>104</v>
      </c>
      <c r="B22" s="106" t="s">
        <v>121</v>
      </c>
      <c r="C22" s="53">
        <v>2009</v>
      </c>
      <c r="D22" s="106" t="s">
        <v>30</v>
      </c>
      <c r="E22" s="106" t="s">
        <v>117</v>
      </c>
      <c r="F22" s="106" t="s">
        <v>118</v>
      </c>
      <c r="G22" s="106">
        <v>0.04</v>
      </c>
      <c r="H22" s="108">
        <f>8*107</f>
        <v>856</v>
      </c>
      <c r="I22" s="106">
        <f t="shared" ref="I22:I24" si="2">0.04*H22/10000</f>
        <v>3.4240000000000004E-3</v>
      </c>
      <c r="J22" s="106">
        <v>4.1666666659999997E-2</v>
      </c>
      <c r="K22" s="106">
        <v>1</v>
      </c>
      <c r="L22" s="108">
        <f t="shared" si="1"/>
        <v>35.666666660959997</v>
      </c>
      <c r="M22" s="106">
        <v>80</v>
      </c>
      <c r="N22" s="106">
        <v>0</v>
      </c>
      <c r="O22" s="106">
        <v>1</v>
      </c>
      <c r="P22" s="106">
        <v>1</v>
      </c>
      <c r="Q22" s="106">
        <v>0</v>
      </c>
      <c r="R22" s="53" t="s">
        <v>122</v>
      </c>
      <c r="S22" s="106" t="s">
        <v>115</v>
      </c>
      <c r="T22" s="109"/>
    </row>
    <row r="23" spans="1:20" ht="17" customHeight="1">
      <c r="A23" s="52" t="s">
        <v>104</v>
      </c>
      <c r="B23" s="106" t="s">
        <v>123</v>
      </c>
      <c r="C23" s="53">
        <v>2009</v>
      </c>
      <c r="D23" s="106" t="s">
        <v>30</v>
      </c>
      <c r="E23" s="106" t="s">
        <v>117</v>
      </c>
      <c r="F23" s="106" t="s">
        <v>118</v>
      </c>
      <c r="G23" s="106">
        <v>0.04</v>
      </c>
      <c r="H23" s="106">
        <v>1400</v>
      </c>
      <c r="I23" s="106">
        <f t="shared" si="2"/>
        <v>5.5999999999999999E-3</v>
      </c>
      <c r="J23" s="106">
        <v>4.1666666659999997E-2</v>
      </c>
      <c r="K23" s="106">
        <v>1</v>
      </c>
      <c r="L23" s="108">
        <f t="shared" si="1"/>
        <v>58.333333323999994</v>
      </c>
      <c r="M23" s="106">
        <v>242</v>
      </c>
      <c r="N23" s="106">
        <v>0</v>
      </c>
      <c r="O23" s="106">
        <v>1</v>
      </c>
      <c r="P23" s="106">
        <v>1</v>
      </c>
      <c r="Q23" s="106">
        <v>0</v>
      </c>
      <c r="R23" s="53" t="s">
        <v>124</v>
      </c>
      <c r="S23" s="106" t="s">
        <v>125</v>
      </c>
      <c r="T23" s="109"/>
    </row>
    <row r="24" spans="1:20" ht="17" customHeight="1">
      <c r="A24" s="56" t="s">
        <v>104</v>
      </c>
      <c r="B24" s="110" t="s">
        <v>126</v>
      </c>
      <c r="C24" s="57">
        <v>2009</v>
      </c>
      <c r="D24" s="110" t="s">
        <v>30</v>
      </c>
      <c r="E24" s="110" t="s">
        <v>117</v>
      </c>
      <c r="F24" s="110" t="s">
        <v>118</v>
      </c>
      <c r="G24" s="110">
        <v>0.04</v>
      </c>
      <c r="H24" s="110">
        <v>5011</v>
      </c>
      <c r="I24" s="110">
        <f t="shared" si="2"/>
        <v>2.0043999999999999E-2</v>
      </c>
      <c r="J24" s="110">
        <v>4.1666666659999997E-2</v>
      </c>
      <c r="K24" s="110">
        <v>1</v>
      </c>
      <c r="L24" s="111">
        <f t="shared" si="1"/>
        <v>208.79166663325998</v>
      </c>
      <c r="M24" s="110">
        <v>70</v>
      </c>
      <c r="N24" s="110">
        <v>0</v>
      </c>
      <c r="O24" s="110">
        <v>1</v>
      </c>
      <c r="P24" s="110">
        <v>1</v>
      </c>
      <c r="Q24" s="110">
        <v>0</v>
      </c>
      <c r="R24" s="112" t="s">
        <v>127</v>
      </c>
      <c r="S24" s="110" t="s">
        <v>115</v>
      </c>
      <c r="T24" s="113" t="s">
        <v>127</v>
      </c>
    </row>
    <row r="25" spans="1:20" ht="17" customHeight="1">
      <c r="A25" s="71" t="s">
        <v>56</v>
      </c>
      <c r="B25" s="96" t="s">
        <v>129</v>
      </c>
      <c r="C25" s="73">
        <v>2012</v>
      </c>
      <c r="D25" s="93" t="s">
        <v>30</v>
      </c>
      <c r="E25" s="93" t="s">
        <v>130</v>
      </c>
      <c r="F25" s="93" t="s">
        <v>131</v>
      </c>
      <c r="G25" s="93">
        <f>300*100</f>
        <v>30000</v>
      </c>
      <c r="H25" s="93">
        <v>1</v>
      </c>
      <c r="I25" s="97">
        <f>30000/10000</f>
        <v>3</v>
      </c>
      <c r="J25" s="93">
        <v>1</v>
      </c>
      <c r="K25" s="93">
        <v>6.9444443999999998E-4</v>
      </c>
      <c r="L25" s="93">
        <v>1</v>
      </c>
      <c r="M25" s="97">
        <f>14*365</f>
        <v>5110</v>
      </c>
      <c r="N25" s="93">
        <v>1</v>
      </c>
      <c r="O25" s="93">
        <v>1</v>
      </c>
      <c r="P25" s="93">
        <v>0</v>
      </c>
      <c r="Q25" s="93">
        <v>1</v>
      </c>
      <c r="R25" s="97"/>
      <c r="S25" s="93" t="s">
        <v>132</v>
      </c>
      <c r="T25" s="95"/>
    </row>
    <row r="26" spans="1:20" ht="17" customHeight="1">
      <c r="A26" s="117" t="s">
        <v>34</v>
      </c>
      <c r="B26" s="119" t="s">
        <v>139</v>
      </c>
      <c r="C26" s="119">
        <v>2008</v>
      </c>
      <c r="D26" s="119" t="s">
        <v>30</v>
      </c>
      <c r="E26" s="119" t="s">
        <v>140</v>
      </c>
      <c r="F26" s="119" t="s">
        <v>141</v>
      </c>
      <c r="G26" s="119">
        <v>100</v>
      </c>
      <c r="H26" s="119">
        <v>4</v>
      </c>
      <c r="I26" s="119">
        <f>400/10000</f>
        <v>0.04</v>
      </c>
      <c r="J26" s="119">
        <v>0.5</v>
      </c>
      <c r="K26" s="119">
        <v>0</v>
      </c>
      <c r="L26" s="119">
        <v>30</v>
      </c>
      <c r="M26" s="119">
        <v>365</v>
      </c>
      <c r="N26" s="119">
        <v>3</v>
      </c>
      <c r="O26" s="119">
        <v>1</v>
      </c>
      <c r="P26" s="119">
        <v>1</v>
      </c>
      <c r="Q26" s="119">
        <v>1</v>
      </c>
      <c r="R26" s="120"/>
      <c r="S26" s="119" t="s">
        <v>142</v>
      </c>
      <c r="T26" s="121" t="s">
        <v>143</v>
      </c>
    </row>
    <row r="27" spans="1:20" ht="17" customHeight="1">
      <c r="A27" s="122" t="s">
        <v>56</v>
      </c>
      <c r="B27" s="123" t="s">
        <v>144</v>
      </c>
      <c r="C27" s="124">
        <v>2010</v>
      </c>
      <c r="D27" s="123" t="s">
        <v>145</v>
      </c>
      <c r="E27" s="123" t="s">
        <v>146</v>
      </c>
      <c r="F27" s="123" t="s">
        <v>147</v>
      </c>
      <c r="G27" s="125">
        <v>598000</v>
      </c>
      <c r="H27" s="125">
        <v>21186</v>
      </c>
      <c r="I27" s="127">
        <f t="shared" ref="I27:I28" si="3">(G27*H27)/10000</f>
        <v>1266922.8</v>
      </c>
      <c r="J27" s="127">
        <v>1</v>
      </c>
      <c r="K27" s="127">
        <v>0</v>
      </c>
      <c r="L27" s="127">
        <v>21186</v>
      </c>
      <c r="M27" s="128">
        <v>365</v>
      </c>
      <c r="N27" s="127">
        <v>1</v>
      </c>
      <c r="O27" s="127">
        <v>1</v>
      </c>
      <c r="P27" s="127">
        <v>1</v>
      </c>
      <c r="Q27" s="127">
        <v>0</v>
      </c>
      <c r="R27" s="123"/>
      <c r="S27" s="123" t="s">
        <v>148</v>
      </c>
      <c r="T27" s="129"/>
    </row>
    <row r="28" spans="1:20" ht="17" customHeight="1">
      <c r="A28" s="130" t="s">
        <v>56</v>
      </c>
      <c r="B28" s="152" t="s">
        <v>149</v>
      </c>
      <c r="C28" s="132">
        <v>2010</v>
      </c>
      <c r="D28" s="152" t="s">
        <v>145</v>
      </c>
      <c r="E28" s="152" t="s">
        <v>146</v>
      </c>
      <c r="F28" s="152" t="s">
        <v>147</v>
      </c>
      <c r="G28" s="133">
        <v>1079000</v>
      </c>
      <c r="H28" s="133">
        <v>11702</v>
      </c>
      <c r="I28" s="135">
        <f t="shared" si="3"/>
        <v>1262645.8</v>
      </c>
      <c r="J28" s="135">
        <v>1</v>
      </c>
      <c r="K28" s="135">
        <v>0</v>
      </c>
      <c r="L28" s="135">
        <v>11702</v>
      </c>
      <c r="M28" s="135">
        <v>365</v>
      </c>
      <c r="N28" s="135">
        <v>1</v>
      </c>
      <c r="O28" s="135">
        <v>1</v>
      </c>
      <c r="P28" s="135">
        <v>1</v>
      </c>
      <c r="Q28" s="135">
        <v>0</v>
      </c>
      <c r="R28" s="152"/>
      <c r="S28" s="152" t="s">
        <v>148</v>
      </c>
      <c r="T28" s="136"/>
    </row>
    <row r="29" spans="1:20" ht="17" customHeight="1">
      <c r="A29" s="141" t="s">
        <v>136</v>
      </c>
      <c r="B29" s="142" t="s">
        <v>152</v>
      </c>
      <c r="C29" s="145">
        <v>2009</v>
      </c>
      <c r="D29" s="147" t="s">
        <v>82</v>
      </c>
      <c r="E29" s="147" t="s">
        <v>101</v>
      </c>
      <c r="F29" s="147" t="s">
        <v>153</v>
      </c>
      <c r="G29" s="145">
        <v>6093000</v>
      </c>
      <c r="H29" s="145">
        <v>4</v>
      </c>
      <c r="I29" s="145">
        <f t="shared" ref="I29:I30" si="4">(G29*H29)/10000</f>
        <v>2437.1999999999998</v>
      </c>
      <c r="J29" s="145">
        <v>1</v>
      </c>
      <c r="K29" s="145">
        <v>0</v>
      </c>
      <c r="L29" s="145">
        <f t="shared" ref="L29:L30" si="5">J29*H29</f>
        <v>4</v>
      </c>
      <c r="M29" s="145">
        <v>1095</v>
      </c>
      <c r="N29" s="145">
        <v>1</v>
      </c>
      <c r="O29" s="145">
        <v>1</v>
      </c>
      <c r="P29" s="145">
        <v>1</v>
      </c>
      <c r="Q29" s="145">
        <v>1</v>
      </c>
      <c r="R29" s="147"/>
      <c r="S29" s="147" t="s">
        <v>154</v>
      </c>
      <c r="T29" s="146"/>
    </row>
    <row r="30" spans="1:20" ht="17" customHeight="1">
      <c r="A30" s="141" t="s">
        <v>47</v>
      </c>
      <c r="B30" s="147" t="s">
        <v>155</v>
      </c>
      <c r="C30" s="145">
        <v>2011</v>
      </c>
      <c r="D30" s="147" t="s">
        <v>30</v>
      </c>
      <c r="E30" s="147" t="s">
        <v>156</v>
      </c>
      <c r="F30" s="147" t="s">
        <v>157</v>
      </c>
      <c r="G30" s="145">
        <v>0.4536</v>
      </c>
      <c r="H30" s="145">
        <v>12</v>
      </c>
      <c r="I30" s="145">
        <f t="shared" si="4"/>
        <v>5.4432000000000005E-4</v>
      </c>
      <c r="J30" s="145">
        <v>4.1666666659999997E-2</v>
      </c>
      <c r="K30" s="145">
        <v>4.1666666659999997E-2</v>
      </c>
      <c r="L30" s="145">
        <f t="shared" si="5"/>
        <v>0.49999999991999999</v>
      </c>
      <c r="M30" s="145">
        <v>365</v>
      </c>
      <c r="N30" s="145">
        <v>1</v>
      </c>
      <c r="O30" s="145">
        <v>2</v>
      </c>
      <c r="P30" s="145">
        <v>1</v>
      </c>
      <c r="Q30" s="145">
        <v>0</v>
      </c>
      <c r="R30" s="147"/>
      <c r="S30" s="147" t="s">
        <v>158</v>
      </c>
      <c r="T30" s="146"/>
    </row>
    <row r="31" spans="1:20" ht="17" customHeight="1">
      <c r="A31" s="130" t="s">
        <v>168</v>
      </c>
      <c r="B31" s="152" t="s">
        <v>169</v>
      </c>
      <c r="C31" s="135">
        <v>2012</v>
      </c>
      <c r="D31" s="152" t="s">
        <v>30</v>
      </c>
      <c r="E31" s="150" t="s">
        <v>170</v>
      </c>
      <c r="F31" s="151" t="s">
        <v>171</v>
      </c>
      <c r="G31" s="152">
        <v>100</v>
      </c>
      <c r="H31" s="152">
        <v>116</v>
      </c>
      <c r="I31" s="135">
        <f>(G31*H31)/10000</f>
        <v>1.1599999999999999</v>
      </c>
      <c r="J31" s="153">
        <v>4.1666666659999997E-2</v>
      </c>
      <c r="K31" s="153">
        <v>4.1666666659999997E-2</v>
      </c>
      <c r="L31" s="135">
        <f t="shared" ref="L31:L33" si="6">J31*H31</f>
        <v>4.8333333325599996</v>
      </c>
      <c r="M31" s="152">
        <f>365*6</f>
        <v>2190</v>
      </c>
      <c r="N31" s="152">
        <v>1</v>
      </c>
      <c r="O31" s="152">
        <v>1</v>
      </c>
      <c r="P31" s="152">
        <v>1</v>
      </c>
      <c r="Q31" s="152">
        <v>0</v>
      </c>
      <c r="R31" s="152" t="s">
        <v>172</v>
      </c>
      <c r="S31" s="152" t="s">
        <v>173</v>
      </c>
      <c r="T31" s="136"/>
    </row>
    <row r="32" spans="1:20" ht="17" customHeight="1">
      <c r="A32" s="141" t="s">
        <v>174</v>
      </c>
      <c r="B32" s="154" t="s">
        <v>175</v>
      </c>
      <c r="C32" s="145">
        <v>2007</v>
      </c>
      <c r="D32" s="147" t="s">
        <v>30</v>
      </c>
      <c r="E32" s="154" t="s">
        <v>176</v>
      </c>
      <c r="F32" s="155" t="s">
        <v>177</v>
      </c>
      <c r="G32" s="145">
        <v>4.25</v>
      </c>
      <c r="H32" s="145">
        <v>120</v>
      </c>
      <c r="I32" s="145">
        <f>(G32*120)/10000</f>
        <v>5.0999999999999997E-2</v>
      </c>
      <c r="J32" s="145">
        <v>1</v>
      </c>
      <c r="K32" s="145">
        <v>14</v>
      </c>
      <c r="L32" s="145">
        <f t="shared" si="6"/>
        <v>120</v>
      </c>
      <c r="M32" s="145">
        <f>365*3</f>
        <v>1095</v>
      </c>
      <c r="N32" s="145">
        <v>1</v>
      </c>
      <c r="O32" s="145">
        <v>2</v>
      </c>
      <c r="P32" s="145">
        <v>1</v>
      </c>
      <c r="Q32" s="145">
        <v>1</v>
      </c>
      <c r="R32" s="147"/>
      <c r="S32" s="147" t="s">
        <v>14</v>
      </c>
      <c r="T32" s="146"/>
    </row>
    <row r="33" spans="1:20" ht="17" customHeight="1">
      <c r="A33" s="130" t="s">
        <v>178</v>
      </c>
      <c r="B33" s="152" t="s">
        <v>179</v>
      </c>
      <c r="C33" s="135">
        <v>2006</v>
      </c>
      <c r="D33" s="152" t="s">
        <v>30</v>
      </c>
      <c r="E33" s="156" t="s">
        <v>180</v>
      </c>
      <c r="F33" s="157" t="s">
        <v>181</v>
      </c>
      <c r="G33" s="152">
        <v>25</v>
      </c>
      <c r="H33" s="152">
        <f>28*10</f>
        <v>280</v>
      </c>
      <c r="I33" s="135">
        <f>(G33*280)/10000</f>
        <v>0.7</v>
      </c>
      <c r="J33" s="152">
        <v>0.5</v>
      </c>
      <c r="K33" s="152">
        <v>30</v>
      </c>
      <c r="L33" s="135">
        <f t="shared" si="6"/>
        <v>140</v>
      </c>
      <c r="M33" s="152">
        <v>365</v>
      </c>
      <c r="N33" s="152">
        <v>1</v>
      </c>
      <c r="O33" s="152">
        <v>1</v>
      </c>
      <c r="P33" s="152">
        <v>1</v>
      </c>
      <c r="Q33" s="152">
        <v>0</v>
      </c>
      <c r="R33" s="152"/>
      <c r="S33" s="152" t="s">
        <v>182</v>
      </c>
      <c r="T33" s="136"/>
    </row>
    <row r="34" spans="1:20" ht="17" customHeight="1">
      <c r="A34" s="141" t="s">
        <v>104</v>
      </c>
      <c r="B34" s="147" t="s">
        <v>188</v>
      </c>
      <c r="C34" s="145">
        <v>2011</v>
      </c>
      <c r="D34" s="147" t="s">
        <v>30</v>
      </c>
      <c r="E34" s="147" t="s">
        <v>189</v>
      </c>
      <c r="F34" s="147" t="s">
        <v>190</v>
      </c>
      <c r="G34" s="145">
        <v>1.5900000000000001E-2</v>
      </c>
      <c r="H34" s="145">
        <v>6</v>
      </c>
      <c r="I34" s="145">
        <f>(G34*6)/10000</f>
        <v>9.5400000000000018E-6</v>
      </c>
      <c r="J34" s="145">
        <v>0.5</v>
      </c>
      <c r="K34" s="145">
        <v>60</v>
      </c>
      <c r="L34" s="145">
        <f>J34*H34</f>
        <v>3</v>
      </c>
      <c r="M34" s="145">
        <v>365</v>
      </c>
      <c r="N34" s="145">
        <v>1</v>
      </c>
      <c r="O34" s="145">
        <v>2</v>
      </c>
      <c r="P34" s="145">
        <v>1</v>
      </c>
      <c r="Q34" s="145">
        <v>0</v>
      </c>
      <c r="R34" s="147"/>
      <c r="S34" s="147" t="s">
        <v>191</v>
      </c>
      <c r="T34" s="146"/>
    </row>
    <row r="35" spans="1:20" ht="17" customHeight="1">
      <c r="A35" s="164" t="s">
        <v>34</v>
      </c>
      <c r="B35" s="165" t="s">
        <v>193</v>
      </c>
      <c r="C35" s="168">
        <v>2013</v>
      </c>
      <c r="D35" s="169" t="s">
        <v>30</v>
      </c>
      <c r="E35" s="165" t="s">
        <v>194</v>
      </c>
      <c r="F35" s="165" t="s">
        <v>195</v>
      </c>
      <c r="G35" s="168">
        <f t="shared" ref="G35:G37" si="7">250*80</f>
        <v>20000</v>
      </c>
      <c r="H35" s="168">
        <v>139</v>
      </c>
      <c r="I35" s="168">
        <f t="shared" ref="I35:I37" si="8">(G35*H35)/10000</f>
        <v>278</v>
      </c>
      <c r="J35" s="168">
        <f t="shared" ref="J35:J37" si="9">20*I35</f>
        <v>5560</v>
      </c>
      <c r="K35" s="168">
        <v>8</v>
      </c>
      <c r="L35" s="168">
        <f t="shared" ref="L35:L37" si="10">J35*H35</f>
        <v>772840</v>
      </c>
      <c r="M35" s="168">
        <f t="shared" ref="M35:M37" si="11">6*365</f>
        <v>2190</v>
      </c>
      <c r="N35" s="168">
        <v>1</v>
      </c>
      <c r="O35" s="168">
        <v>3</v>
      </c>
      <c r="P35" s="168">
        <v>2</v>
      </c>
      <c r="Q35" s="168">
        <v>1</v>
      </c>
      <c r="R35" s="169"/>
      <c r="S35" s="169"/>
      <c r="T35" s="170" t="s">
        <v>196</v>
      </c>
    </row>
    <row r="36" spans="1:20" ht="17" customHeight="1">
      <c r="A36" s="164" t="s">
        <v>34</v>
      </c>
      <c r="B36" s="165" t="s">
        <v>197</v>
      </c>
      <c r="C36" s="168">
        <v>2013</v>
      </c>
      <c r="D36" s="169" t="s">
        <v>30</v>
      </c>
      <c r="E36" s="165" t="s">
        <v>194</v>
      </c>
      <c r="F36" s="165" t="s">
        <v>195</v>
      </c>
      <c r="G36" s="168">
        <f t="shared" si="7"/>
        <v>20000</v>
      </c>
      <c r="H36" s="168">
        <v>18</v>
      </c>
      <c r="I36" s="168">
        <f t="shared" si="8"/>
        <v>36</v>
      </c>
      <c r="J36" s="168">
        <f t="shared" si="9"/>
        <v>720</v>
      </c>
      <c r="K36" s="168">
        <v>8</v>
      </c>
      <c r="L36" s="168">
        <f t="shared" si="10"/>
        <v>12960</v>
      </c>
      <c r="M36" s="168">
        <f t="shared" si="11"/>
        <v>2190</v>
      </c>
      <c r="N36" s="168">
        <v>1</v>
      </c>
      <c r="O36" s="168">
        <v>3</v>
      </c>
      <c r="P36" s="168">
        <v>2</v>
      </c>
      <c r="Q36" s="168">
        <v>1</v>
      </c>
      <c r="R36" s="169"/>
      <c r="S36" s="169"/>
      <c r="T36" s="170" t="s">
        <v>198</v>
      </c>
    </row>
    <row r="37" spans="1:20" ht="17" customHeight="1">
      <c r="A37" s="141" t="s">
        <v>34</v>
      </c>
      <c r="B37" s="154" t="s">
        <v>199</v>
      </c>
      <c r="C37" s="145">
        <v>2013</v>
      </c>
      <c r="D37" s="147" t="s">
        <v>30</v>
      </c>
      <c r="E37" s="154" t="s">
        <v>194</v>
      </c>
      <c r="F37" s="154" t="s">
        <v>195</v>
      </c>
      <c r="G37" s="145">
        <f t="shared" si="7"/>
        <v>20000</v>
      </c>
      <c r="H37" s="145">
        <v>40</v>
      </c>
      <c r="I37" s="145">
        <f t="shared" si="8"/>
        <v>80</v>
      </c>
      <c r="J37" s="145">
        <f t="shared" si="9"/>
        <v>1600</v>
      </c>
      <c r="K37" s="145">
        <v>8</v>
      </c>
      <c r="L37" s="145">
        <f t="shared" si="10"/>
        <v>64000</v>
      </c>
      <c r="M37" s="145">
        <f t="shared" si="11"/>
        <v>2190</v>
      </c>
      <c r="N37" s="145">
        <v>1</v>
      </c>
      <c r="O37" s="145">
        <v>3</v>
      </c>
      <c r="P37" s="145">
        <v>2</v>
      </c>
      <c r="Q37" s="145">
        <v>1</v>
      </c>
      <c r="R37" s="147"/>
      <c r="S37" s="147"/>
      <c r="T37" s="146" t="s">
        <v>200</v>
      </c>
    </row>
  </sheetData>
  <hyperlinks>
    <hyperlink ref="R3" r:id="rId1"/>
    <hyperlink ref="B4" r:id="rId2"/>
    <hyperlink ref="R4" r:id="rId3"/>
    <hyperlink ref="B5" r:id="rId4"/>
    <hyperlink ref="R5" r:id="rId5"/>
    <hyperlink ref="R21" r:id="rId6"/>
    <hyperlink ref="T21" r:id="rId7"/>
    <hyperlink ref="R24" r:id="rId8"/>
    <hyperlink ref="T24" r:id="rId9"/>
  </hyperlinks>
  <pageMargins left="0.75" right="0.75" top="1" bottom="1" header="0.5" footer="0.5"/>
  <pageSetup orientation="portrait" horizontalDpi="4294967292" verticalDpi="4294967292"/>
  <legacyDrawing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data-bearing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Lyndon Estes</cp:lastModifiedBy>
  <dcterms:modified xsi:type="dcterms:W3CDTF">2015-12-03T22:49:44Z</dcterms:modified>
</cp:coreProperties>
</file>