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4300" windowHeight="10740" activeTab="1"/>
  </bookViews>
  <sheets>
    <sheet name="Data" sheetId="1" r:id="rId1"/>
    <sheet name="Data-bearing" sheetId="4" r:id="rId2"/>
    <sheet name="Raw Draw" sheetId="2" r:id="rId3"/>
    <sheet name="Tossed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67" i="4" l="1"/>
  <c r="K67" i="4"/>
  <c r="M67" i="4"/>
  <c r="J67" i="4"/>
  <c r="K66" i="4"/>
  <c r="M66" i="4"/>
  <c r="J66" i="4"/>
  <c r="N65" i="4"/>
  <c r="K65" i="4"/>
  <c r="I65" i="4"/>
  <c r="M65" i="4"/>
  <c r="L65" i="4"/>
  <c r="H65" i="4"/>
  <c r="J65" i="4"/>
  <c r="N64" i="4"/>
  <c r="K64" i="4"/>
  <c r="M64" i="4"/>
  <c r="H64" i="4"/>
  <c r="J64" i="4"/>
  <c r="N63" i="4"/>
  <c r="K63" i="4"/>
  <c r="M63" i="4"/>
  <c r="H63" i="4"/>
  <c r="J63" i="4"/>
  <c r="N62" i="4"/>
  <c r="K62" i="4"/>
  <c r="M62" i="4"/>
  <c r="H62" i="4"/>
  <c r="J62" i="4"/>
  <c r="N61" i="4"/>
  <c r="K61" i="4"/>
  <c r="M61" i="4"/>
  <c r="J61" i="4"/>
  <c r="N60" i="4"/>
  <c r="K60" i="4"/>
  <c r="I60" i="4"/>
  <c r="M60" i="4"/>
  <c r="H60" i="4"/>
  <c r="J60" i="4"/>
  <c r="N59" i="4"/>
  <c r="K59" i="4"/>
  <c r="M59" i="4"/>
  <c r="H59" i="4"/>
  <c r="J59" i="4"/>
  <c r="N58" i="4"/>
  <c r="K58" i="4"/>
  <c r="M58" i="4"/>
  <c r="J58" i="4"/>
  <c r="N57" i="4"/>
  <c r="K57" i="4"/>
  <c r="M57" i="4"/>
  <c r="J57" i="4"/>
  <c r="N56" i="4"/>
  <c r="K56" i="4"/>
  <c r="M56" i="4"/>
  <c r="J56" i="4"/>
  <c r="K55" i="4"/>
  <c r="M55" i="4"/>
  <c r="H55" i="4"/>
  <c r="J55" i="4"/>
  <c r="N54" i="4"/>
  <c r="M54" i="4"/>
  <c r="K54" i="4"/>
  <c r="H54" i="4"/>
  <c r="J54" i="4"/>
  <c r="N53" i="4"/>
  <c r="K53" i="4"/>
  <c r="I53" i="4"/>
  <c r="M53" i="4"/>
  <c r="H53" i="4"/>
  <c r="J53" i="4"/>
  <c r="N52" i="4"/>
  <c r="K52" i="4"/>
  <c r="M52" i="4"/>
  <c r="H52" i="4"/>
  <c r="J52" i="4"/>
  <c r="N51" i="4"/>
  <c r="K51" i="4"/>
  <c r="I51" i="4"/>
  <c r="M51" i="4"/>
  <c r="H51" i="4"/>
  <c r="J51" i="4"/>
  <c r="N50" i="4"/>
  <c r="K50" i="4"/>
  <c r="M50" i="4"/>
  <c r="L50" i="4"/>
  <c r="H50" i="4"/>
  <c r="J50" i="4"/>
  <c r="N49" i="4"/>
  <c r="K49" i="4"/>
  <c r="M49" i="4"/>
  <c r="H49" i="4"/>
  <c r="I49" i="4"/>
  <c r="J49" i="4"/>
  <c r="N48" i="4"/>
  <c r="K48" i="4"/>
  <c r="M48" i="4"/>
  <c r="H48" i="4"/>
  <c r="J48" i="4"/>
  <c r="N47" i="4"/>
  <c r="K47" i="4"/>
  <c r="M47" i="4"/>
  <c r="H47" i="4"/>
  <c r="J47" i="4"/>
  <c r="N46" i="4"/>
  <c r="K46" i="4"/>
  <c r="M46" i="4"/>
  <c r="L46" i="4"/>
  <c r="H46" i="4"/>
  <c r="J46" i="4"/>
  <c r="N45" i="4"/>
  <c r="K45" i="4"/>
  <c r="M45" i="4"/>
  <c r="H45" i="4"/>
  <c r="J45" i="4"/>
  <c r="N44" i="4"/>
  <c r="K44" i="4"/>
  <c r="M44" i="4"/>
  <c r="L44" i="4"/>
  <c r="J44" i="4"/>
  <c r="N43" i="4"/>
  <c r="K43" i="4"/>
  <c r="I43" i="4"/>
  <c r="M43" i="4"/>
  <c r="H43" i="4"/>
  <c r="J43" i="4"/>
  <c r="K42" i="4"/>
  <c r="M42" i="4"/>
  <c r="J42" i="4"/>
  <c r="K41" i="4"/>
  <c r="M41" i="4"/>
  <c r="H41" i="4"/>
  <c r="J41" i="4"/>
  <c r="N40" i="4"/>
  <c r="K40" i="4"/>
  <c r="M40" i="4"/>
  <c r="L40" i="4"/>
  <c r="H40" i="4"/>
  <c r="J40" i="4"/>
  <c r="N39" i="4"/>
  <c r="K39" i="4"/>
  <c r="M39" i="4"/>
  <c r="H39" i="4"/>
  <c r="J39" i="4"/>
  <c r="K38" i="4"/>
  <c r="M38" i="4"/>
  <c r="H38" i="4"/>
  <c r="J38" i="4"/>
  <c r="N37" i="4"/>
  <c r="K37" i="4"/>
  <c r="M37" i="4"/>
  <c r="H37" i="4"/>
  <c r="J37" i="4"/>
  <c r="N36" i="4"/>
  <c r="K36" i="4"/>
  <c r="M36" i="4"/>
  <c r="L36" i="4"/>
  <c r="H36" i="4"/>
  <c r="J36" i="4"/>
  <c r="N35" i="4"/>
  <c r="K35" i="4"/>
  <c r="I35" i="4"/>
  <c r="M35" i="4"/>
  <c r="H35" i="4"/>
  <c r="J35" i="4"/>
  <c r="N34" i="4"/>
  <c r="K34" i="4"/>
  <c r="M34" i="4"/>
  <c r="L34" i="4"/>
  <c r="H34" i="4"/>
  <c r="J34" i="4"/>
  <c r="N33" i="4"/>
  <c r="I33" i="4"/>
  <c r="K33" i="4"/>
  <c r="M33" i="4"/>
  <c r="H33" i="4"/>
  <c r="J33" i="4"/>
  <c r="N32" i="4"/>
  <c r="I32" i="4"/>
  <c r="K32" i="4"/>
  <c r="M32" i="4"/>
  <c r="H32" i="4"/>
  <c r="J32" i="4"/>
  <c r="N31" i="4"/>
  <c r="K31" i="4"/>
  <c r="I31" i="4"/>
  <c r="M31" i="4"/>
  <c r="J31" i="4"/>
  <c r="N30" i="4"/>
  <c r="K30" i="4"/>
  <c r="I30" i="4"/>
  <c r="M30" i="4"/>
  <c r="J30" i="4"/>
  <c r="N29" i="4"/>
  <c r="M29" i="4"/>
  <c r="K29" i="4"/>
  <c r="J29" i="4"/>
  <c r="N28" i="4"/>
  <c r="M28" i="4"/>
  <c r="K28" i="4"/>
  <c r="J28" i="4"/>
  <c r="K27" i="4"/>
  <c r="M27" i="4"/>
  <c r="H27" i="4"/>
  <c r="J27" i="4"/>
  <c r="K26" i="4"/>
  <c r="M26" i="4"/>
  <c r="H26" i="4"/>
  <c r="J26" i="4"/>
  <c r="K25" i="4"/>
  <c r="M25" i="4"/>
  <c r="H25" i="4"/>
  <c r="J25" i="4"/>
  <c r="N24" i="4"/>
  <c r="K24" i="4"/>
  <c r="M24" i="4"/>
  <c r="I24" i="4"/>
  <c r="J24" i="4"/>
  <c r="N23" i="4"/>
  <c r="K23" i="4"/>
  <c r="M23" i="4"/>
  <c r="H23" i="4"/>
  <c r="I23" i="4"/>
  <c r="J23" i="4"/>
  <c r="N22" i="4"/>
  <c r="K22" i="4"/>
  <c r="M22" i="4"/>
  <c r="H22" i="4"/>
  <c r="J22" i="4"/>
  <c r="N21" i="4"/>
  <c r="K21" i="4"/>
  <c r="M21" i="4"/>
  <c r="L21" i="4"/>
  <c r="J21" i="4"/>
  <c r="K20" i="4"/>
  <c r="M20" i="4"/>
  <c r="L20" i="4"/>
  <c r="H20" i="4"/>
  <c r="J20" i="4"/>
  <c r="N19" i="4"/>
  <c r="K19" i="4"/>
  <c r="M19" i="4"/>
  <c r="L19" i="4"/>
  <c r="H19" i="4"/>
  <c r="J19" i="4"/>
  <c r="K18" i="4"/>
  <c r="M18" i="4"/>
  <c r="L18" i="4"/>
  <c r="H18" i="4"/>
  <c r="J18" i="4"/>
  <c r="N17" i="4"/>
  <c r="K17" i="4"/>
  <c r="M17" i="4"/>
  <c r="L17" i="4"/>
  <c r="H17" i="4"/>
  <c r="J17" i="4"/>
  <c r="N16" i="4"/>
  <c r="K16" i="4"/>
  <c r="M16" i="4"/>
  <c r="L16" i="4"/>
  <c r="H16" i="4"/>
  <c r="J16" i="4"/>
  <c r="N15" i="4"/>
  <c r="K15" i="4"/>
  <c r="M15" i="4"/>
  <c r="L15" i="4"/>
  <c r="J15" i="4"/>
  <c r="N14" i="4"/>
  <c r="K14" i="4"/>
  <c r="M14" i="4"/>
  <c r="L14" i="4"/>
  <c r="J14" i="4"/>
  <c r="K13" i="4"/>
  <c r="I13" i="4"/>
  <c r="M13" i="4"/>
  <c r="H13" i="4"/>
  <c r="J13" i="4"/>
  <c r="K12" i="4"/>
  <c r="I12" i="4"/>
  <c r="M12" i="4"/>
  <c r="H12" i="4"/>
  <c r="J12" i="4"/>
  <c r="K11" i="4"/>
  <c r="M11" i="4"/>
  <c r="H11" i="4"/>
  <c r="J11" i="4"/>
  <c r="K10" i="4"/>
  <c r="M10" i="4"/>
  <c r="H10" i="4"/>
  <c r="J10" i="4"/>
  <c r="K9" i="4"/>
  <c r="M9" i="4"/>
  <c r="H9" i="4"/>
  <c r="J9" i="4"/>
  <c r="K8" i="4"/>
  <c r="M8" i="4"/>
  <c r="H8" i="4"/>
  <c r="J8" i="4"/>
  <c r="K7" i="4"/>
  <c r="M7" i="4"/>
  <c r="H7" i="4"/>
  <c r="J7" i="4"/>
  <c r="M6" i="4"/>
  <c r="K6" i="4"/>
  <c r="H6" i="4"/>
  <c r="J6" i="4"/>
  <c r="N5" i="4"/>
  <c r="M5" i="4"/>
  <c r="K5" i="4"/>
  <c r="H5" i="4"/>
  <c r="J5" i="4"/>
  <c r="N4" i="4"/>
  <c r="M4" i="4"/>
  <c r="K4" i="4"/>
  <c r="H4" i="4"/>
  <c r="J4" i="4"/>
  <c r="M3" i="4"/>
  <c r="L3" i="4"/>
  <c r="K3" i="4"/>
  <c r="H3" i="4"/>
  <c r="J3" i="4"/>
  <c r="K99" i="1"/>
  <c r="H99" i="1"/>
  <c r="H102" i="1"/>
  <c r="H100" i="1"/>
  <c r="I100" i="1"/>
  <c r="H59" i="1"/>
  <c r="H60" i="1"/>
  <c r="H61" i="1"/>
  <c r="H63" i="1"/>
  <c r="H40" i="1"/>
  <c r="H39" i="1"/>
  <c r="H38" i="1"/>
  <c r="N108" i="1"/>
  <c r="K108" i="1"/>
  <c r="M108" i="1"/>
  <c r="K107" i="1"/>
  <c r="M107" i="1"/>
  <c r="K106" i="1"/>
  <c r="I106" i="1"/>
  <c r="M106" i="1"/>
  <c r="N106" i="1"/>
  <c r="L106" i="1"/>
  <c r="H106" i="1"/>
  <c r="H104" i="1"/>
  <c r="J104" i="1"/>
  <c r="K104" i="1"/>
  <c r="N104" i="1"/>
  <c r="M104" i="1"/>
  <c r="N103" i="1"/>
  <c r="K103" i="1"/>
  <c r="M103" i="1"/>
  <c r="H103" i="1"/>
  <c r="J103" i="1"/>
  <c r="K100" i="1"/>
  <c r="M100" i="1"/>
  <c r="K102" i="1"/>
  <c r="M102" i="1"/>
  <c r="N102" i="1"/>
  <c r="J102" i="1"/>
  <c r="K101" i="1"/>
  <c r="M101" i="1"/>
  <c r="N101" i="1"/>
  <c r="N100" i="1"/>
  <c r="J100" i="1"/>
  <c r="J101" i="1"/>
  <c r="M99" i="1"/>
  <c r="N99" i="1"/>
  <c r="K98" i="1"/>
  <c r="M98" i="1"/>
  <c r="K96" i="1"/>
  <c r="M96" i="1"/>
  <c r="K97" i="1"/>
  <c r="M97" i="1"/>
  <c r="N98" i="1"/>
  <c r="N97" i="1"/>
  <c r="N96" i="1"/>
  <c r="K92" i="1"/>
  <c r="M92" i="1"/>
  <c r="J96" i="1"/>
  <c r="J97" i="1"/>
  <c r="J98" i="1"/>
  <c r="J99" i="1"/>
  <c r="J105" i="1"/>
  <c r="J106" i="1"/>
  <c r="J107" i="1"/>
  <c r="J108" i="1"/>
  <c r="H92" i="1"/>
  <c r="J92" i="1"/>
  <c r="J27" i="1"/>
  <c r="K27" i="1"/>
  <c r="M27" i="1"/>
  <c r="L27" i="1"/>
  <c r="N27" i="1"/>
  <c r="N79" i="1"/>
  <c r="K79" i="1"/>
  <c r="M79" i="1"/>
  <c r="H79" i="1"/>
  <c r="J79" i="1"/>
  <c r="I78" i="1"/>
  <c r="H78" i="1"/>
  <c r="J78" i="1"/>
  <c r="K78" i="1"/>
  <c r="N78" i="1"/>
  <c r="K77" i="1"/>
  <c r="M77" i="1"/>
  <c r="N77" i="1"/>
  <c r="H77" i="1"/>
  <c r="J77" i="1"/>
  <c r="H71" i="1"/>
  <c r="I71" i="1"/>
  <c r="K71" i="1"/>
  <c r="M71" i="1"/>
  <c r="N71" i="1"/>
  <c r="H76" i="1"/>
  <c r="L66" i="1"/>
  <c r="L22" i="1"/>
  <c r="N76" i="1"/>
  <c r="K76" i="1"/>
  <c r="I76" i="1"/>
  <c r="M78" i="1"/>
  <c r="J71" i="1"/>
  <c r="M76" i="1"/>
  <c r="J76" i="1"/>
  <c r="N75" i="1"/>
  <c r="L75" i="1"/>
  <c r="K75" i="1"/>
  <c r="M75" i="1"/>
  <c r="H75" i="1"/>
  <c r="J75" i="1"/>
  <c r="N70" i="1"/>
  <c r="K70" i="1"/>
  <c r="M70" i="1"/>
  <c r="H70" i="1"/>
  <c r="J70" i="1"/>
  <c r="N69" i="1"/>
  <c r="H69" i="1"/>
  <c r="J69" i="1"/>
  <c r="K69" i="1"/>
  <c r="H68" i="1"/>
  <c r="L68" i="1"/>
  <c r="K68" i="1"/>
  <c r="M68" i="1"/>
  <c r="N68" i="1"/>
  <c r="N67" i="1"/>
  <c r="K67" i="1"/>
  <c r="M67" i="1"/>
  <c r="H67" i="1"/>
  <c r="K66" i="1"/>
  <c r="M66" i="1"/>
  <c r="N66" i="1"/>
  <c r="N63" i="1"/>
  <c r="K63" i="1"/>
  <c r="I63" i="1"/>
  <c r="K62" i="1"/>
  <c r="M62" i="1"/>
  <c r="K61" i="1"/>
  <c r="M61" i="1"/>
  <c r="M63" i="1"/>
  <c r="J62" i="1"/>
  <c r="J61" i="1"/>
  <c r="K60" i="1"/>
  <c r="M60" i="1"/>
  <c r="L60" i="1"/>
  <c r="N60" i="1"/>
  <c r="J63" i="1"/>
  <c r="J66" i="1"/>
  <c r="J67" i="1"/>
  <c r="J68" i="1"/>
  <c r="N59" i="1"/>
  <c r="K59" i="1"/>
  <c r="M59" i="1"/>
  <c r="K56" i="1"/>
  <c r="M56" i="1"/>
  <c r="H56" i="1"/>
  <c r="N54" i="1"/>
  <c r="K54" i="1"/>
  <c r="H54" i="1"/>
  <c r="J54" i="1"/>
  <c r="N53" i="1"/>
  <c r="L53" i="1"/>
  <c r="K53" i="1"/>
  <c r="M53" i="1"/>
  <c r="H53" i="1"/>
  <c r="J53" i="1"/>
  <c r="N52" i="1"/>
  <c r="K52" i="1"/>
  <c r="H52" i="1"/>
  <c r="N51" i="1"/>
  <c r="L51" i="1"/>
  <c r="K51" i="1"/>
  <c r="M51" i="1"/>
  <c r="J56" i="1"/>
  <c r="J59" i="1"/>
  <c r="J60" i="1"/>
  <c r="H51" i="1"/>
  <c r="J51" i="1"/>
  <c r="I52" i="1"/>
  <c r="M54" i="1"/>
  <c r="M52" i="1"/>
  <c r="J52" i="1"/>
  <c r="N47" i="1"/>
  <c r="K47" i="1"/>
  <c r="H47" i="1"/>
  <c r="I47" i="1"/>
  <c r="N46" i="1"/>
  <c r="K46" i="1"/>
  <c r="H46" i="1"/>
  <c r="I46" i="1"/>
  <c r="N45" i="1"/>
  <c r="K45" i="1"/>
  <c r="I45" i="1"/>
  <c r="N44" i="1"/>
  <c r="K44" i="1"/>
  <c r="I44" i="1"/>
  <c r="K42" i="1"/>
  <c r="M42" i="1"/>
  <c r="M41" i="1"/>
  <c r="N42" i="1"/>
  <c r="N41" i="1"/>
  <c r="K41" i="1"/>
  <c r="M47" i="1"/>
  <c r="M45" i="1"/>
  <c r="M44" i="1"/>
  <c r="M46" i="1"/>
  <c r="J46" i="1"/>
  <c r="J47" i="1"/>
  <c r="K39" i="1"/>
  <c r="M39" i="1"/>
  <c r="K40" i="1"/>
  <c r="M40" i="1"/>
  <c r="K38" i="1"/>
  <c r="M38" i="1"/>
  <c r="N37" i="1"/>
  <c r="N36" i="1"/>
  <c r="K37" i="1"/>
  <c r="M37" i="1"/>
  <c r="K36" i="1"/>
  <c r="M36" i="1"/>
  <c r="I37" i="1"/>
  <c r="H36" i="1"/>
  <c r="I36" i="1"/>
  <c r="N28" i="1"/>
  <c r="K28" i="1"/>
  <c r="M28" i="1"/>
  <c r="J38" i="1"/>
  <c r="J39" i="1"/>
  <c r="J40" i="1"/>
  <c r="J41" i="1"/>
  <c r="J42" i="1"/>
  <c r="J44" i="1"/>
  <c r="J45" i="1"/>
  <c r="H28" i="1"/>
  <c r="H19" i="1"/>
  <c r="J19" i="1"/>
  <c r="L23" i="1"/>
  <c r="K23" i="1"/>
  <c r="M23" i="1"/>
  <c r="K22" i="1"/>
  <c r="M22" i="1"/>
  <c r="N22" i="1"/>
  <c r="H23" i="1"/>
  <c r="J23" i="1"/>
  <c r="H22" i="1"/>
  <c r="J22" i="1"/>
  <c r="H21" i="1"/>
  <c r="J21" i="1"/>
  <c r="H20" i="1"/>
  <c r="J20" i="1"/>
  <c r="N20" i="1"/>
  <c r="K21" i="1"/>
  <c r="M21" i="1"/>
  <c r="L21" i="1"/>
  <c r="L20" i="1"/>
  <c r="K20" i="1"/>
  <c r="M20" i="1"/>
  <c r="N19" i="1"/>
  <c r="L19" i="1"/>
  <c r="K19" i="1"/>
  <c r="M19" i="1"/>
  <c r="N18" i="1"/>
  <c r="L18" i="1"/>
  <c r="K10" i="1"/>
  <c r="K9" i="1"/>
  <c r="K18" i="1"/>
  <c r="M18" i="1"/>
  <c r="N17" i="1"/>
  <c r="L17" i="1"/>
  <c r="K17" i="1"/>
  <c r="M17" i="1"/>
  <c r="J17" i="1"/>
  <c r="J18" i="1"/>
  <c r="J28" i="1"/>
  <c r="J36" i="1"/>
  <c r="J37" i="1"/>
  <c r="K16" i="1"/>
  <c r="I16" i="1"/>
  <c r="H16" i="1"/>
  <c r="K15" i="1"/>
  <c r="I15" i="1"/>
  <c r="H15" i="1"/>
  <c r="J16" i="1"/>
  <c r="M15" i="1"/>
  <c r="J15" i="1"/>
  <c r="M16" i="1"/>
  <c r="M10" i="1"/>
  <c r="K11" i="1"/>
  <c r="M11" i="1"/>
  <c r="K12" i="1"/>
  <c r="M12" i="1"/>
  <c r="K13" i="1"/>
  <c r="M13" i="1"/>
  <c r="M9" i="1"/>
  <c r="H12" i="1"/>
  <c r="J12" i="1"/>
  <c r="H13" i="1"/>
  <c r="J13" i="1"/>
  <c r="H11" i="1"/>
  <c r="J11" i="1"/>
  <c r="H10" i="1"/>
  <c r="J10" i="1"/>
  <c r="H9" i="1"/>
  <c r="J9" i="1"/>
  <c r="M6" i="1"/>
  <c r="K6" i="1"/>
  <c r="H6" i="1"/>
  <c r="J6" i="1"/>
  <c r="N5" i="1"/>
  <c r="K5" i="1"/>
  <c r="M5" i="1"/>
  <c r="H5" i="1"/>
  <c r="J5" i="1"/>
  <c r="N4" i="1"/>
  <c r="M4" i="1"/>
  <c r="H4" i="1"/>
  <c r="J4" i="1"/>
  <c r="K4" i="1"/>
  <c r="K3" i="1"/>
  <c r="M3" i="1"/>
  <c r="L3" i="1"/>
  <c r="H3" i="1"/>
  <c r="J3" i="1"/>
  <c r="M69" i="1"/>
</calcChain>
</file>

<file path=xl/comments1.xml><?xml version="1.0" encoding="utf-8"?>
<comments xmlns="http://schemas.openxmlformats.org/spreadsheetml/2006/main">
  <authors>
    <author/>
    <author>Jonathan</author>
    <author>Jonathan Choi</author>
  </authors>
  <commentList>
    <comment ref="J2" authorId="0">
      <text>
        <r>
          <rPr>
            <sz val="10"/>
            <rFont val="Arial"/>
          </rPr>
          <t xml:space="preserve">Lyndon Estes:
Calculate as (plot resolution * N sites) / 10000
</t>
        </r>
      </text>
    </comment>
    <comment ref="K2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charset val="1"/>
          </rPr>
          <t>amount of time spent sampling per site</t>
        </r>
      </text>
    </comment>
    <comment ref="M2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total time sampling</t>
        </r>
      </text>
    </comment>
    <comment ref="N2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Total timespan of study</t>
        </r>
      </text>
    </comment>
    <comment ref="S2" authorId="0">
      <text>
        <r>
          <rPr>
            <sz val="10"/>
            <rFont val="Arial"/>
          </rPr>
          <t>Lyndon Estes:
separate with semi-colon if more than one</t>
        </r>
      </text>
    </comment>
    <comment ref="H3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Soil datalogger - we'll say 10cm by 10cm</t>
        </r>
      </text>
    </comment>
    <comment ref="I3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5 dataloggers, 2 sites</t>
        </r>
      </text>
    </comment>
    <comment ref="K3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Assume 1 second to take the sample</t>
        </r>
      </text>
    </comment>
    <comment ref="L3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every 4 hours</t>
        </r>
      </text>
    </comment>
    <comment ref="M3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1 second per obs, 6 obs per day (every 4 hrs), 30 days of data per month, 2 months per year, 6 years</t>
        </r>
      </text>
    </comment>
    <comment ref="N3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assume 15 october 2005 to 15 april 2010, because they said they sampled in october and april between 2005 and 2010</t>
        </r>
      </text>
    </comment>
    <comment ref="H4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Photography from a 10m tower
</t>
        </r>
      </text>
    </comment>
    <comment ref="K4" authorId="1">
      <text>
        <r>
          <rPr>
            <b/>
            <sz val="9"/>
            <color indexed="81"/>
            <rFont val="Tahoma"/>
            <charset val="1"/>
          </rPr>
          <t>Jonathan:
Continue to assume 1 second</t>
        </r>
      </text>
    </comment>
    <comment ref="L4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Study says the photos were taken daily at solar noon
</t>
        </r>
      </text>
    </comment>
    <comment ref="M4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1 second per sample, 1 sample per day, 365.25 days per year, 3 years
</t>
        </r>
      </text>
    </comment>
    <comment ref="N4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Only says that it was from spring to fall from 2007 to 2010. I don't know exactly how to interpret that, so I went with 365*3
</t>
        </r>
      </text>
    </comment>
    <comment ref="H5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Animal surveys - they don't say how many traps were deployed. We'll say it's a 8cm by 8 cm opening with 10 traps per site
</t>
        </r>
      </text>
    </comment>
    <comment ref="K5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Assume letting traps stay for 9 hours
</t>
        </r>
      </text>
    </comment>
    <comment ref="L5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Every 9 months averaging 6 and 12
</t>
        </r>
      </text>
    </comment>
    <comment ref="M5" authorId="1">
      <text>
        <r>
          <rPr>
            <b/>
            <sz val="9"/>
            <color indexed="81"/>
            <rFont val="Tahoma"/>
            <charset val="1"/>
          </rPr>
          <t xml:space="preserve">Jonathan:
Early morning to mid afternoon, so we'll assume 6am to 3pm, and this is every 6-12 months (average to 9)  from 1997 to 2010. </t>
        </r>
      </text>
    </comment>
    <comment ref="N5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Went from 1997 to 2010.</t>
        </r>
      </text>
    </comment>
    <comment ref="P5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flag - they measure multiple measures of the squirrels</t>
        </r>
      </text>
    </comment>
    <comment ref="H6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Unit of measure is the individual squirrel, which we'll say is 15 cm by 5 cm
</t>
        </r>
      </text>
    </comment>
    <comment ref="I6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204 loggers installed
</t>
        </r>
      </text>
    </comment>
    <comment ref="K6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20 minutes per sample
</t>
        </r>
      </text>
    </comment>
    <comment ref="M6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They said that these were run for up to 18 months, but they seemed to be taking them out earlier if recpatured (6-12 months). Reassign to 12 month average
</t>
        </r>
      </text>
    </comment>
    <comment ref="N6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Began in Fall 1997, ended in Spring 2010. Calculate as being 1 October 1994 to 1 April 2010.
</t>
        </r>
      </text>
    </comment>
    <comment ref="H9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Tree Core, assume 1cm diameter </t>
        </r>
      </text>
    </comment>
    <comment ref="I9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100 points at 2 locations</t>
        </r>
      </text>
    </comment>
    <comment ref="K9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we’ll say it took 10 minutes
</t>
        </r>
      </text>
    </comment>
    <comment ref="L9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This is hard - they sampled 100 in February and 100 in August in two very different locations. The time between samples was probably less than a day in February and August, but it changes when you try to include everything. I'm going to say it's 181 days, same as study span./
</t>
        </r>
      </text>
    </comment>
    <comment ref="M9" authorId="1">
      <text>
        <r>
          <rPr>
            <b/>
            <sz val="9"/>
            <color indexed="81"/>
            <rFont val="Tahoma"/>
            <charset val="1"/>
          </rPr>
          <t>Jonathan:
multiple samp duration by number of sites</t>
        </r>
      </text>
    </comment>
    <comment ref="N9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Number of days between 15 feb and 15 aug
</t>
        </r>
      </text>
    </comment>
    <comment ref="H10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GPS Point for elevation, we'll say it was a 1m^2 area measurement. </t>
        </r>
      </text>
    </comment>
    <comment ref="K10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We'll say half a minute because they averaged multiple measurements</t>
        </r>
      </text>
    </comment>
    <comment ref="H11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Hemispherical Photography, we'll say the hemisphere goes to 50m</t>
        </r>
      </text>
    </comment>
    <comment ref="K11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One second to press the button
</t>
        </r>
      </text>
    </comment>
    <comment ref="H12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DBH, calling the average tree DBH at 0.2m</t>
        </r>
      </text>
    </comment>
    <comment ref="K12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DBH and DCH are going to take half a minute if moving at a clip</t>
        </r>
      </text>
    </comment>
    <comment ref="H13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"DCH" - diameter at core height. This was taken at 0.2m from the ground, so it's a bit bigger. Assume 0.5 dbh
</t>
        </r>
      </text>
    </comment>
    <comment ref="H15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leaf level LiCOR stuff -assume leaf is 10cm x 12
</t>
        </r>
      </text>
    </comment>
    <comment ref="I15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30 occasions, 3 trees per occasion</t>
        </r>
      </text>
    </comment>
    <comment ref="K15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We'll say a licor measurement takes 1 hour, because they are impossible to use. </t>
        </r>
      </text>
    </comment>
    <comment ref="L15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Says every second week, which I interpret as every other week.</t>
        </r>
      </text>
    </comment>
    <comment ref="N15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Calculate as between May 15 2005 and Oct 15 2006</t>
        </r>
      </text>
    </comment>
    <comment ref="H16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leaf level LiCOR stuff -assume leaf is 10cm x 12
</t>
        </r>
      </text>
    </comment>
    <comment ref="I16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30 occasions, 3 trees per occasion</t>
        </r>
      </text>
    </comment>
    <comment ref="K16" authorId="1">
      <text>
        <r>
          <rPr>
            <b/>
            <sz val="9"/>
            <color indexed="81"/>
            <rFont val="Tahoma"/>
            <charset val="1"/>
          </rPr>
          <t>Jonathan:
was extracting info for enzymatic activity. Hard to say what this is exactly or how long it would take</t>
        </r>
      </text>
    </comment>
    <comment ref="L16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Says every second week, which I interpret as every other week.</t>
        </r>
      </text>
    </comment>
    <comment ref="N16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Calculate as between May 15 2005 and Oct 15 2006</t>
        </r>
      </text>
    </comment>
    <comment ref="H1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seagrassnet protocol</t>
        </r>
      </text>
    </comment>
    <comment ref="K1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0.5 hours to do the entire protocol per site</t>
        </r>
      </text>
    </comment>
    <comment ref="L1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Each individual site was probably sampled every 2 years. So 365 * 2. A transect might only take a day though.
</t>
        </r>
      </text>
    </comment>
    <comment ref="N1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Surveys conducted in 2001, 2003, 2005, so 365 * 4 years between 2001 and 2005.</t>
        </r>
      </text>
    </comment>
    <comment ref="H1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biomass core
</t>
        </r>
      </text>
    </comment>
    <comment ref="K1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15 minutes per site</t>
        </r>
      </text>
    </comment>
    <comment ref="L1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Each individual site was probably sampled every 2 years. So 365 * 2. A transect might only take a day though.
</t>
        </r>
      </text>
    </comment>
    <comment ref="N1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Surveys conducted in 2001, 2003, 2005, so 365 * 4 years between 2001 and 2005.</t>
        </r>
      </text>
    </comment>
    <comment ref="H1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2cm diameter, sediment cores
</t>
        </r>
      </text>
    </comment>
    <comment ref="K1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2 minutes to get the core</t>
        </r>
      </text>
    </comment>
    <comment ref="L1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Each individual site was probably sampled every 2 years. So 365 * 2. A transect might only take a day though.
</t>
        </r>
      </text>
    </comment>
    <comment ref="N1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Surveys conducted in 2001, 2003, 2005, so 365 * 4 years between 2001 and 2005.</t>
        </r>
      </text>
    </comment>
    <comment ref="H2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Temperature logger, so probably very small</t>
        </r>
      </text>
    </comment>
    <comment ref="K20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One second to press the button
</t>
        </r>
      </text>
    </comment>
    <comment ref="L2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samples every 90 minutes</t>
        </r>
      </text>
    </comment>
    <comment ref="N2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first sensor was deployed in 2001</t>
        </r>
      </text>
    </comment>
    <comment ref="H2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Temperature logger, so probably very small. Second site was deployed much later</t>
        </r>
      </text>
    </comment>
    <comment ref="N2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second sensor deployed in 2004. Study end in 2005.</t>
        </r>
      </text>
    </comment>
    <comment ref="H2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Estimate this is the size of the light logger
</t>
        </r>
      </text>
    </comment>
    <comment ref="I2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one set established in 2001
</t>
        </r>
      </text>
    </comment>
    <comment ref="K2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time it takes for sensor to make reading</t>
        </r>
      </text>
    </comment>
    <comment ref="L2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For 2 weeks every quarter.
</t>
        </r>
      </text>
    </comment>
    <comment ref="N2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first sensor was deployed in 2001</t>
        </r>
      </text>
    </comment>
    <comment ref="H2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Estimate this is the size of the light logger
</t>
        </r>
      </text>
    </comment>
    <comment ref="I2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second set established in 2004
</t>
        </r>
      </text>
    </comment>
    <comment ref="N2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second sensor deployed in 2004. Study end in 2005.</t>
        </r>
      </text>
    </comment>
    <comment ref="H2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This is just the process of finding them and then monitoring them. They looked within an area this big. </t>
        </r>
      </text>
    </comment>
    <comment ref="K2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20 nests per site, 0.5 hrs per nest</t>
        </r>
      </text>
    </comment>
    <comment ref="L2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Each nest was surveyed every 2 to 3 days for 3 months for 3 years.
</t>
        </r>
      </text>
    </comment>
    <comment ref="M2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Again this is for observing the success or failure of each individual nest
</t>
        </r>
      </text>
    </comment>
    <comment ref="N2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May 2002 to August 2005.
</t>
        </r>
      </text>
    </comment>
    <comment ref="H28" authorId="2">
      <text>
        <r>
          <rPr>
            <b/>
            <sz val="9"/>
            <color indexed="81"/>
            <rFont val="Tahoma"/>
            <charset val="1"/>
          </rPr>
          <t>Jonathan:
Assessing their characteristics</t>
        </r>
      </text>
    </comment>
    <comment ref="I2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Used 326 independent nests and assessed their characteristics</t>
        </r>
      </text>
    </comment>
    <comment ref="K2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estimate it takes 1 hour to find and analyze each nest</t>
        </r>
      </text>
    </comment>
    <comment ref="L2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There was no resampling of nests</t>
        </r>
      </text>
    </comment>
    <comment ref="N2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May 2002 to August 2005.
</t>
        </r>
      </text>
    </comment>
    <comment ref="E3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Actually a computer program</t>
        </r>
      </text>
    </comment>
    <comment ref="H3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Estimate for the size of a set of roe deer antlers</t>
        </r>
      </text>
    </comment>
    <comment ref="I3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number of deer surveyed</t>
        </r>
      </text>
    </comment>
    <comment ref="K3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Capture, mark, release methods. Assume 1 hour per animal for antlers
</t>
        </r>
      </text>
    </comment>
    <comment ref="L3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Study took data for one animal from january to march. Assuyme january 1 and march 30, then the avg amount of time between 2 days.</t>
        </r>
      </text>
    </comment>
    <comment ref="M3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Take samp duration and multiply by the reported number of observations.</t>
        </r>
      </text>
    </comment>
    <comment ref="N3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Study had 16 years of demographic data</t>
        </r>
      </text>
    </comment>
    <comment ref="H3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Body mass estiamte.
1 m by 1m?</t>
        </r>
      </text>
    </comment>
    <comment ref="I3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number of deer surveyed</t>
        </r>
      </text>
    </comment>
    <comment ref="K3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Capture, mark, release methods. Assume 2 hours per animal
</t>
        </r>
      </text>
    </comment>
    <comment ref="H3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Climatic Data from govt agencies. Not sure how they got climatic data, so we'll assume they took from an instrumentation tower at each park.</t>
        </r>
      </text>
    </comment>
    <comment ref="K38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Assume 1 second to take the sample</t>
        </r>
      </text>
    </comment>
    <comment ref="L38" authorId="2">
      <text>
        <r>
          <rPr>
            <b/>
            <sz val="9"/>
            <color indexed="81"/>
            <rFont val="Tahoma"/>
            <charset val="1"/>
          </rPr>
          <t>Assume its from a monitoring station that takes data once a month?</t>
        </r>
      </text>
    </comment>
    <comment ref="M3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1 second to sample for 90 days
</t>
        </r>
      </text>
    </comment>
    <comment ref="N3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Index was computed from data from june to august. Assume june 1 to august 30.</t>
        </r>
      </text>
    </comment>
    <comment ref="H4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Resource availability. Seemed to have asked a acorn grower for when their mast seasons were. Acorn grower had "multiple sites" in Southern Sweden. Assume 10 500m^2 sites?</t>
        </r>
      </text>
    </comment>
    <comment ref="K4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they went hiking for a couple hours in each spot to determine resource availability?</t>
        </r>
      </text>
    </comment>
    <comment ref="L4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this was a once per year deal</t>
        </r>
      </text>
    </comment>
    <comment ref="M4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Multiply by 16 because 16 years</t>
        </r>
      </text>
    </comment>
    <comment ref="N4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Study had 16 years of demographic data</t>
        </r>
      </text>
    </comment>
    <comment ref="H4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Resource availability in Sweden. Very ambiguous, left to "various locations in Sweden"</t>
        </r>
      </text>
    </comment>
    <comment ref="K4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they went hiking for a couple hours in each spot to determine resource availability?</t>
        </r>
      </text>
    </comment>
    <comment ref="L4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this was a once per year deal</t>
        </r>
      </text>
    </comment>
    <comment ref="M4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Multiply by 16 because 16 years</t>
        </r>
      </text>
    </comment>
    <comment ref="N4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Study had 16 years of demographic data</t>
        </r>
      </text>
    </comment>
    <comment ref="H4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said transects were between 10 and 100 m with no info on width. Assume 5m width, 55m length</t>
        </r>
      </text>
    </comment>
    <comment ref="I4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36 sites, 6 transects per site, 60 quadrats per transect</t>
        </r>
      </text>
    </comment>
    <comment ref="K4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15 minutes per 0.5 m^2 quadrat
</t>
        </r>
      </text>
    </comment>
    <comment ref="L4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No repeat sampling</t>
        </r>
      </text>
    </comment>
    <comment ref="H4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agb and litter</t>
        </r>
      </text>
    </comment>
    <comment ref="I4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36 sites, 6 transects, 2 samplings per transecyt</t>
        </r>
      </text>
    </comment>
    <comment ref="K4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15 minutes per 0.5 m^2 quadrat
</t>
        </r>
      </text>
    </comment>
    <comment ref="L4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No repeat sampling</t>
        </r>
      </text>
    </comment>
    <comment ref="H4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bulk density. Assume 0.05m radius corer
</t>
        </r>
      </text>
    </comment>
    <comment ref="K4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15 minutes to take the core. Soil was pretty boggy in the wetlands.</t>
        </r>
      </text>
    </comment>
    <comment ref="L4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No repeat sampling</t>
        </r>
      </text>
    </comment>
    <comment ref="H4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Percent cover at each of the corners to the veg quadrat. Assume 0.01m radius corer
</t>
        </r>
      </text>
    </comment>
    <comment ref="I4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36 sites, 6 transects per site, 60 quadrats per transect, 4 corners per transect</t>
        </r>
      </text>
    </comment>
    <comment ref="K4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4 seconds to look at the 4 corners?</t>
        </r>
      </text>
    </comment>
    <comment ref="L4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No repeat sampling</t>
        </r>
      </text>
    </comment>
    <comment ref="H5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Actual collection of shells. 10x10m sampling area
</t>
        </r>
      </text>
    </comment>
    <comment ref="I5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 1967 sampling was described as being in an area 7x8 km, but I assume the actual area sampled was similar.</t>
        </r>
      </text>
    </comment>
    <comment ref="K5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it took 1 hour to sample each 10x10 area</t>
        </r>
      </text>
    </comment>
    <comment ref="L5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sampled once in 1967 and again in 2010.
</t>
        </r>
      </text>
    </comment>
    <comment ref="M5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that they sampled the sdame number of sites twice. Once uin 1967, again in 2010.</t>
        </r>
      </text>
    </comment>
    <comment ref="N5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sampled once in 1967 and again in 2010.
</t>
        </r>
      </text>
    </comment>
    <comment ref="H5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Scoring for color. Assume 2 cm long, 1 cm wide</t>
        </r>
      </text>
    </comment>
    <comment ref="I5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2722 in 2010 and the rest are from the 1967 archives</t>
        </r>
      </text>
    </comment>
    <comment ref="K5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it took 1 minute per snail</t>
        </r>
      </text>
    </comment>
    <comment ref="L5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No resampling of the snails</t>
        </r>
      </text>
    </comment>
    <comment ref="N5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sampled once in 1967 and again in 2010.
</t>
        </r>
      </text>
    </comment>
    <comment ref="Q5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We're saying that color is a functional trait of the snails</t>
        </r>
      </text>
    </comment>
    <comment ref="H5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habitat change with aerial photos. Randomly guess, 5km * 5km </t>
        </r>
      </text>
    </comment>
    <comment ref="K5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it took 5 hours to do the full fly over</t>
        </r>
      </text>
    </comment>
    <comment ref="L5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sampled once in 1968 and again in 2010.
</t>
        </r>
      </text>
    </comment>
    <comment ref="N5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sampled once in 1968 and again in 2010.
</t>
        </r>
      </text>
    </comment>
    <comment ref="H5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Weather station. 10 cm by 10cm sensor?</t>
        </r>
      </text>
    </comment>
    <comment ref="K5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 second for measurement to occur</t>
        </r>
      </text>
    </comment>
    <comment ref="L5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it was actually once a day (based in 1968 tech?)</t>
        </r>
      </text>
    </comment>
    <comment ref="N5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sampled once in 1967 and again in 2010.
</t>
        </r>
      </text>
    </comment>
    <comment ref="H5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5cm diameter auger? This is approx. This is the only field collection done - all of the lab test were based on this sample.</t>
        </r>
      </text>
    </comment>
    <comment ref="I5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23 samples collected</t>
        </r>
      </text>
    </comment>
    <comment ref="K5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We'll say 15 min to take the sample because augers can be hard to use in peat soils
</t>
        </r>
      </text>
    </comment>
    <comment ref="L5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that each site was only sampled once. No indication otherwise.</t>
        </r>
      </text>
    </comment>
    <comment ref="N5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All the sampling was done in one day?</t>
        </r>
      </text>
    </comment>
    <comment ref="H5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size of individual animal</t>
        </r>
      </text>
    </comment>
    <comment ref="I5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Use baseline populations</t>
        </r>
      </text>
    </comment>
    <comment ref="K5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it takes 5, 8 hour days to get enough visual estimates to create this age structured moel</t>
        </r>
      </text>
    </comment>
    <comment ref="L5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annual survey</t>
        </r>
      </text>
    </comment>
    <comment ref="M5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Studied ongoing for 14 years</t>
        </r>
      </text>
    </comment>
    <comment ref="N5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Variable length study depending on where the survey occurred. </t>
        </r>
      </text>
    </comment>
    <comment ref="H6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4 satellite images. No exact size of area was given, so estimate the size of "Chorotega region" as roughly equivalent to size of Guanacaste province</t>
        </r>
      </text>
    </comment>
    <comment ref="I6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One site that was sampled approx 4 times. They don't provide enough info on the army flights that were conducted between 1955 and 1965.</t>
        </r>
      </text>
    </comment>
    <comment ref="K6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it took 2 hours for either all the aerial photos to be taken or for the satellites to be moved into place to take photos</t>
        </r>
      </text>
    </comment>
    <comment ref="L6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Took all of the years of the different images and averaged the amount of time elapsed between different photos</t>
        </r>
      </text>
    </comment>
    <comment ref="N6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4 images between 1960 and 2000</t>
        </r>
      </text>
    </comment>
    <comment ref="H6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Used 24 12L bottles per sampling site. Say roughly each 12L bottle is equivalent to a 25m^2 area?
</t>
        </r>
      </text>
    </comment>
    <comment ref="K6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1 hour to drop all 24 12 L bottles, fill them, and hbaul them back up</t>
        </r>
      </text>
    </comment>
    <comment ref="L6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There were 10 samples used in the analysis across a roughly 60 day period</t>
        </r>
      </text>
    </comment>
    <comment ref="N6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Cruise was june-july 2008</t>
        </r>
      </text>
    </comment>
    <comment ref="O6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did a fairly rigorous analysis for species</t>
        </r>
      </text>
    </comment>
    <comment ref="P6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used various instruments to get a conductivity, depth, temperature, and flourescence</t>
        </r>
      </text>
    </comment>
    <comment ref="Q61" authorId="2">
      <text>
        <r>
          <rPr>
            <b/>
            <sz val="9"/>
            <color indexed="81"/>
            <rFont val="Tahoma"/>
            <charset val="1"/>
          </rPr>
          <t>Jonathan Choi:
looked at predator/prey rltns</t>
        </r>
      </text>
    </comment>
    <comment ref="H6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Mesh tow. Looked at images, estimate about 1 m2
</t>
        </r>
      </text>
    </comment>
    <comment ref="I6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only net sampled at 3 locations</t>
        </r>
      </text>
    </comment>
    <comment ref="K6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No discussion of how long the plankton nets were out for. Assume 1 hour?</t>
        </r>
      </text>
    </comment>
    <comment ref="H6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microscopy to determine actual parasitism. Rough estimate for 1/3 of a microscope slide</t>
        </r>
      </text>
    </comment>
    <comment ref="I6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Sampled 20 random microscope fields for 106 samples. Not sure if this should actually be number of cells counted, but this seems like a more conservative estimate anyway for what we're trying to answer. 
</t>
        </r>
      </text>
    </comment>
    <comment ref="K6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five minutes to look at each field?</t>
        </r>
      </text>
    </comment>
    <comment ref="L6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didn't resample the microscope fields again</t>
        </r>
      </text>
    </comment>
    <comment ref="H6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one nest box. </t>
        </r>
      </text>
    </comment>
    <comment ref="K6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15 min per nest box to get there, check, and band
</t>
        </r>
      </text>
    </comment>
    <comment ref="L6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Surveyed multiple times per week during breeding season. 
</t>
        </r>
      </text>
    </comment>
    <comment ref="M6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samp duration * number of nest boxes * 24 visits per year (see t_btwn_samp note) * 17 years</t>
        </r>
      </text>
    </comment>
    <comment ref="N6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17 year study</t>
        </r>
      </text>
    </comment>
    <comment ref="P6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Not very easy to classify - multigenerational demography seems to matter more than a single species demography.</t>
        </r>
      </text>
    </comment>
    <comment ref="H6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Male forehead patch measurement. 3cm by 1cm?
</t>
        </r>
      </text>
    </comment>
    <comment ref="I6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Says they have data from 683 males, presumably measured multiple times?</t>
        </r>
      </text>
    </comment>
    <comment ref="K6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5 minutes per animal?</t>
        </r>
      </text>
    </comment>
    <comment ref="L6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Surveyed multiple times per week during breeding season. 
</t>
        </r>
      </text>
    </comment>
    <comment ref="T6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In general this study is tricky.</t>
        </r>
      </text>
    </comment>
    <comment ref="H6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Used either gillnets or longlines. Guesttimate at being 10*20 area for net, dragged for 2km. I worry that this is an underestimate.</t>
        </r>
      </text>
    </comment>
    <comment ref="I6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66 trips observed.</t>
        </r>
      </text>
    </comment>
    <comment ref="K6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Each fishing trip was around 6.65 days on average. Assume monitoring occurred for 8 waking hours. This is probably an understimate.
</t>
        </r>
      </text>
    </comment>
    <comment ref="L6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29 months / 66 trips. Produce average time assuming all trips were evenly spaced. Probably less clustered than reality.
</t>
        </r>
      </text>
    </comment>
    <comment ref="N6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29 month study
</t>
        </r>
      </text>
    </comment>
    <comment ref="H6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shorebased obs. 800 m^2 wharf for small fisheries?</t>
        </r>
      </text>
    </comment>
    <comment ref="K6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2 hours at beginning of day and at end of day to interview</t>
        </r>
      </text>
    </comment>
    <comment ref="L6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daily surveys</t>
        </r>
      </text>
    </comment>
    <comment ref="N6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7.5 years of data collecting from Sept 2001 to March 2008.
</t>
        </r>
      </text>
    </comment>
    <comment ref="H7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Interpolation of growing season data. From a different study; unavailable electronically from Princeton. Assume each monitoring site captured the area within 1m^2 of it directly.</t>
        </r>
      </text>
    </comment>
    <comment ref="I7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there are 500 stations??</t>
        </r>
      </text>
    </comment>
    <comment ref="K7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1 second to take measurement.</t>
        </r>
      </text>
    </comment>
    <comment ref="L7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sampling everyday</t>
        </r>
      </text>
    </comment>
    <comment ref="M7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data collection for 10 years.</t>
        </r>
      </text>
    </comment>
    <comment ref="N7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10 year study, with 3 years in between 5year periods. </t>
        </r>
      </text>
    </comment>
    <comment ref="G7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Survey methodology found in other paper
</t>
        </r>
      </text>
    </comment>
    <comment ref="H7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10km^2 quadrats.</t>
        </r>
      </text>
    </comment>
    <comment ref="I7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Average number of quadrats sampled per year</t>
        </r>
      </text>
    </comment>
    <comment ref="K7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10 days, 2 hrs per day, I believe in quick succession per year. I counted this as one observation each.</t>
        </r>
      </text>
    </comment>
    <comment ref="L7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Annual surveys</t>
        </r>
      </text>
    </comment>
    <comment ref="M7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So it's 20 hrs per year, for 10 years of obs, for on average 239 sites</t>
        </r>
      </text>
    </comment>
    <comment ref="O7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Basic survey for all Lepidopterans in a quadrat
</t>
        </r>
      </text>
    </comment>
    <comment ref="H7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1km diameter plots</t>
        </r>
      </text>
    </comment>
    <comment ref="K7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it took 8 hours to either take aerial photos or to position satelite</t>
        </r>
      </text>
    </comment>
    <comment ref="L7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Compared photos and grazing pressure from 1960s to 2002.
</t>
        </r>
      </text>
    </comment>
    <comment ref="N7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1960-2002</t>
        </r>
      </text>
    </comment>
    <comment ref="G7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Treating individual birds as a sample. Study took blood sample, tagged, took length of tail feathers, massed, weighed.
</t>
        </r>
      </text>
    </comment>
    <comment ref="H7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Guess at the body size of a barn swallow
</t>
        </r>
      </text>
    </comment>
    <comment ref="I7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These were caught the first time and sampled intensively</t>
        </r>
      </text>
    </comment>
    <comment ref="K7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30 minutes per bird?</t>
        </r>
      </text>
    </comment>
    <comment ref="L7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Sampled everyone once. Came back and did surviving males later.</t>
        </r>
      </text>
    </comment>
    <comment ref="N7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April to August 2010
</t>
        </r>
      </text>
    </comment>
    <comment ref="G7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22 Males were recaptured. Blood and mass only.</t>
        </r>
      </text>
    </comment>
    <comment ref="H7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Guess at the body size of a barn swallow
</t>
        </r>
      </text>
    </comment>
    <comment ref="K7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30 minutes per bird?</t>
        </r>
      </text>
    </comment>
    <comment ref="N7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April to August 2010
</t>
        </r>
      </text>
    </comment>
    <comment ref="G7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Observing clutches</t>
        </r>
      </text>
    </comment>
    <comment ref="H7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estimate size for a chick</t>
        </r>
      </text>
    </comment>
    <comment ref="I7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number of clutches. Did not state number of chicks. </t>
        </r>
      </text>
    </comment>
    <comment ref="L7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sampled every 2 days</t>
        </r>
      </text>
    </comment>
    <comment ref="M7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only did this blood sampling once. Assume that checking for chicks took a negligible amount of time.</t>
        </r>
      </text>
    </comment>
    <comment ref="P7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took blood/tissue samples from chicks/unhatched embryo to determine parents
</t>
        </r>
      </text>
    </comment>
    <comment ref="G7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Observing clutches</t>
        </r>
      </text>
    </comment>
    <comment ref="H7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size of nest?</t>
        </r>
      </text>
    </comment>
    <comment ref="K7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measured 5 hours on three different occasions
</t>
        </r>
      </text>
    </comment>
    <comment ref="M7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said that they spent 5 hours video taping each nest
</t>
        </r>
      </text>
    </comment>
    <comment ref="G9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took blood samples, other measurements. Assume all of these measurements were the same res and the same number of lines as a result.</t>
        </r>
      </text>
    </comment>
    <comment ref="H9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individual bird</t>
        </r>
      </text>
    </comment>
    <comment ref="N9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study states 12 days</t>
        </r>
      </text>
    </comment>
    <comment ref="G9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"Observations were made in two study areas 100 km apart, each about 60 km2 in extent."</t>
        </r>
      </text>
    </comment>
    <comment ref="K9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said they surveyed sometimes over the course of two months or over one month. Assume 15 days per season per site, 5 hours per day
</t>
        </r>
      </text>
    </comment>
    <comment ref="L9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Annual census</t>
        </r>
      </text>
    </comment>
    <comment ref="M9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15 days per site per season
</t>
        </r>
      </text>
    </comment>
    <comment ref="N9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10 year study</t>
        </r>
      </text>
    </comment>
    <comment ref="H9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sampled 18 areas of kruger, driving 11,500km over three months. </t>
        </r>
      </text>
    </comment>
    <comment ref="K9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say it was 11 hours per day in the paper</t>
        </r>
      </text>
    </comment>
    <comment ref="L9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annual survey</t>
        </r>
      </text>
    </comment>
    <comment ref="M9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11 hours per day, 60 days per year, 13 years</t>
        </r>
      </text>
    </comment>
    <comment ref="N9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observations for 13 years</t>
        </r>
      </text>
    </comment>
    <comment ref="H9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sampled 18 areas of kruger, driving 11,500km over three months. </t>
        </r>
      </text>
    </comment>
    <comment ref="K9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say it was 11 hours per day in the paper</t>
        </r>
      </text>
    </comment>
    <comment ref="L9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4 times per annum</t>
        </r>
      </text>
    </comment>
    <comment ref="M9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only 40 days instead of 60 because I think this study was wildebeast only (previous was almost all large herbivores). Cannot access original study. 
</t>
        </r>
      </text>
    </comment>
    <comment ref="N9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1978-1983 observations</t>
        </r>
      </text>
    </comment>
    <comment ref="H9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aerial surveys. We knew they were 800m in width. Visual estimate of around 10k long</t>
        </r>
      </text>
    </comment>
    <comment ref="I9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don't say and the only documents detailing this were published locally in S Africa</t>
        </r>
      </text>
    </comment>
    <comment ref="L9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annual</t>
        </r>
      </text>
    </comment>
    <comment ref="G10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this is age &amp; sex ratio</t>
        </r>
      </text>
    </comment>
    <comment ref="H10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21 km transect, stopping every 1km, surveying a circle 100m in radius</t>
        </r>
      </text>
    </comment>
    <comment ref="N10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very unclear when this car based survey began</t>
        </r>
      </text>
    </comment>
    <comment ref="H10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Sample size as individual animals?</t>
        </r>
      </text>
    </comment>
    <comment ref="I10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no specification of how many samples they collected. Guess at 100 per season?</t>
        </r>
      </text>
    </comment>
    <comment ref="K10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drove around and watched wildebeest until they pooped, and then collected the fecal samples. They don't indicate how long this took.</t>
        </r>
      </text>
    </comment>
    <comment ref="L10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they didn't try to collect from them multiple times?</t>
        </r>
      </text>
    </comment>
    <comment ref="N10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1992-94
</t>
        </r>
      </text>
    </comment>
    <comment ref="G10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this is carcass cxounts</t>
        </r>
      </text>
    </comment>
    <comment ref="H10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21 km transect, stopping every 1km, surveying a circle 100m in radius</t>
        </r>
      </text>
    </comment>
    <comment ref="K10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this probably took less time</t>
        </r>
      </text>
    </comment>
    <comment ref="N10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very unclear when this car based survey began</t>
        </r>
      </text>
    </comment>
    <comment ref="H10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rain gauge. Assume a half meter diameter bucket</t>
        </r>
      </text>
    </comment>
    <comment ref="N10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0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gravity core
</t>
        </r>
      </text>
    </comment>
    <comment ref="H10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mini-Glew corer. Assume 5cm diameter?</t>
        </r>
      </text>
    </comment>
    <comment ref="I10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took between 51 and 87 samples from 6 different lakes</t>
        </r>
      </text>
    </comment>
    <comment ref="L10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"paleo"reconstruction of about 1000 years. Estimated resolution "varies from 12 to 16 years"</t>
        </r>
      </text>
    </comment>
    <comment ref="N10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looked at data from the past 2000 years
</t>
        </r>
      </text>
    </comment>
    <comment ref="G10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seismic profiling by driving around a lake.</t>
        </r>
      </text>
    </comment>
    <comment ref="H10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each surveyed lake was between 17 and 78 ha. </t>
        </r>
      </text>
    </comment>
    <comment ref="K10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they were able to map underwater ridges in a day on the water.</t>
        </r>
      </text>
    </comment>
    <comment ref="N10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each sample period was just once</t>
        </r>
      </text>
    </comment>
    <comment ref="G10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Weather stations</t>
        </r>
      </text>
    </comment>
    <comment ref="K10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15 minutes to take the data?</t>
        </r>
      </text>
    </comment>
    <comment ref="N10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used a bunch of old climate data</t>
        </r>
      </text>
    </comment>
  </commentList>
</comments>
</file>

<file path=xl/comments2.xml><?xml version="1.0" encoding="utf-8"?>
<comments xmlns="http://schemas.openxmlformats.org/spreadsheetml/2006/main">
  <authors>
    <author/>
    <author>Jonathan</author>
    <author>Jonathan Choi</author>
  </authors>
  <commentList>
    <comment ref="J2" authorId="0">
      <text>
        <r>
          <rPr>
            <sz val="10"/>
            <rFont val="Arial"/>
          </rPr>
          <t xml:space="preserve">Lyndon Estes:
Calculate as (plot resolution * N sites) / 10000
</t>
        </r>
      </text>
    </comment>
    <comment ref="K2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charset val="1"/>
          </rPr>
          <t>amount of time spent sampling per site</t>
        </r>
      </text>
    </comment>
    <comment ref="M2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total time sampling</t>
        </r>
      </text>
    </comment>
    <comment ref="N2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Total timespan of study</t>
        </r>
      </text>
    </comment>
    <comment ref="S2" authorId="0">
      <text>
        <r>
          <rPr>
            <sz val="10"/>
            <rFont val="Arial"/>
          </rPr>
          <t>Lyndon Estes:
separate with semi-colon if more than one</t>
        </r>
      </text>
    </comment>
    <comment ref="H3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Soil datalogger - we'll say 10cm by 10cm</t>
        </r>
      </text>
    </comment>
    <comment ref="I3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5 dataloggers, 2 sites</t>
        </r>
      </text>
    </comment>
    <comment ref="K3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Assume 1 second to take the sample</t>
        </r>
      </text>
    </comment>
    <comment ref="L3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every 4 hours</t>
        </r>
      </text>
    </comment>
    <comment ref="M3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1 second per obs, 6 obs per day (every 4 hrs), 30 days of data per month, 2 months per year, 6 years</t>
        </r>
      </text>
    </comment>
    <comment ref="N3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assume 15 october 2005 to 15 april 2010, because they said they sampled in october and april between 2005 and 2010</t>
        </r>
      </text>
    </comment>
    <comment ref="H4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Photography from a 10m tower
</t>
        </r>
      </text>
    </comment>
    <comment ref="K4" authorId="1">
      <text>
        <r>
          <rPr>
            <b/>
            <sz val="9"/>
            <color indexed="81"/>
            <rFont val="Tahoma"/>
            <charset val="1"/>
          </rPr>
          <t>Jonathan:
Continue to assume 1 second</t>
        </r>
      </text>
    </comment>
    <comment ref="L4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Study says the photos were taken daily at solar noon
</t>
        </r>
      </text>
    </comment>
    <comment ref="M4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1 second per sample, 1 sample per day, 365.25 days per year, 3 years
</t>
        </r>
      </text>
    </comment>
    <comment ref="N4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Only says that it was from spring to fall from 2007 to 2010. I don't know exactly how to interpret that, so I went with 365*3
</t>
        </r>
      </text>
    </comment>
    <comment ref="H5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Animal surveys - they don't say how many traps were deployed. We'll say it's a 8cm by 8 cm opening with 10 traps per site
</t>
        </r>
      </text>
    </comment>
    <comment ref="K5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Assume letting traps stay for 9 hours
</t>
        </r>
      </text>
    </comment>
    <comment ref="L5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Every 9 months averaging 6 and 12
</t>
        </r>
      </text>
    </comment>
    <comment ref="M5" authorId="1">
      <text>
        <r>
          <rPr>
            <b/>
            <sz val="9"/>
            <color indexed="81"/>
            <rFont val="Tahoma"/>
            <charset val="1"/>
          </rPr>
          <t xml:space="preserve">Jonathan:
Early morning to mid afternoon, so we'll assume 6am to 3pm, and this is every 6-12 months (average to 9)  from 1997 to 2010. </t>
        </r>
      </text>
    </comment>
    <comment ref="N5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Went from 1997 to 2010.</t>
        </r>
      </text>
    </comment>
    <comment ref="P5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flag - they measure multiple measures of the squirrels</t>
        </r>
      </text>
    </comment>
    <comment ref="H6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Unit of measure is the individual squirrel, which we'll say is 15 cm by 5 cm
</t>
        </r>
      </text>
    </comment>
    <comment ref="I6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204 loggers installed
</t>
        </r>
      </text>
    </comment>
    <comment ref="K6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20 minutes per sample
</t>
        </r>
      </text>
    </comment>
    <comment ref="M6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They said that these were run for up to 18 months, but they seemed to be taking them out earlier if recpatured (6-12 months). Reassign to 12 month average
</t>
        </r>
      </text>
    </comment>
    <comment ref="N6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Began in Fall 1997, ended in Spring 2010. Calculate as being 1 October 1994 to 1 April 2010.
</t>
        </r>
      </text>
    </comment>
    <comment ref="H7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Tree Core, assume 1cm diameter </t>
        </r>
      </text>
    </comment>
    <comment ref="I7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100 points at 2 locations</t>
        </r>
      </text>
    </comment>
    <comment ref="K7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we’ll say it took 10 minutes
</t>
        </r>
      </text>
    </comment>
    <comment ref="L7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This is hard - they sampled 100 in February and 100 in August in two very different locations. The time between samples was probably less than a day in February and August, but it changes when you try to include everything. I'm going to say it's 181 days, same as study span./
</t>
        </r>
      </text>
    </comment>
    <comment ref="M7" authorId="1">
      <text>
        <r>
          <rPr>
            <b/>
            <sz val="9"/>
            <color indexed="81"/>
            <rFont val="Tahoma"/>
            <charset val="1"/>
          </rPr>
          <t>Jonathan:
multiple samp duration by number of sites</t>
        </r>
      </text>
    </comment>
    <comment ref="N7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Number of days between 15 feb and 15 aug
</t>
        </r>
      </text>
    </comment>
    <comment ref="H8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GPS Point for elevation, we'll say it was a 1m^2 area measurement. </t>
        </r>
      </text>
    </comment>
    <comment ref="K8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We'll say half a minute because they averaged multiple measurements</t>
        </r>
      </text>
    </comment>
    <comment ref="H9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Hemispherical Photography, we'll say the hemisphere goes to 50m</t>
        </r>
      </text>
    </comment>
    <comment ref="K9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One second to press the button
</t>
        </r>
      </text>
    </comment>
    <comment ref="H10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DBH, calling the average tree DBH at 0.2m</t>
        </r>
      </text>
    </comment>
    <comment ref="K10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DBH and DCH are going to take half a minute if moving at a clip</t>
        </r>
      </text>
    </comment>
    <comment ref="H11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"DCH" - diameter at core height. This was taken at 0.2m from the ground, so it's a bit bigger. Assume 0.5 dbh
</t>
        </r>
      </text>
    </comment>
    <comment ref="H12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leaf level LiCOR stuff -assume leaf is 10cm x 12
</t>
        </r>
      </text>
    </comment>
    <comment ref="I12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30 occasions, 3 trees per occasion</t>
        </r>
      </text>
    </comment>
    <comment ref="K12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We'll say a licor measurement takes 1 hour, because they are impossible to use. </t>
        </r>
      </text>
    </comment>
    <comment ref="L12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Says every second week, which I interpret as every other week.</t>
        </r>
      </text>
    </comment>
    <comment ref="N12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Calculate as between May 15 2005 and Oct 15 2006</t>
        </r>
      </text>
    </comment>
    <comment ref="H13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leaf level LiCOR stuff -assume leaf is 10cm x 12
</t>
        </r>
      </text>
    </comment>
    <comment ref="I13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30 occasions, 3 trees per occasion</t>
        </r>
      </text>
    </comment>
    <comment ref="K13" authorId="1">
      <text>
        <r>
          <rPr>
            <b/>
            <sz val="9"/>
            <color indexed="81"/>
            <rFont val="Tahoma"/>
            <charset val="1"/>
          </rPr>
          <t>Jonathan:
was extracting info for enzymatic activity. Hard to say what this is exactly or how long it would take</t>
        </r>
      </text>
    </comment>
    <comment ref="L13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Says every second week, which I interpret as every other week.</t>
        </r>
      </text>
    </comment>
    <comment ref="N13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Calculate as between May 15 2005 and Oct 15 2006</t>
        </r>
      </text>
    </comment>
    <comment ref="H1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seagrassnet protocol</t>
        </r>
      </text>
    </comment>
    <comment ref="K1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0.5 hours to do the entire protocol per site</t>
        </r>
      </text>
    </comment>
    <comment ref="L1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Each individual site was probably sampled every 2 years. So 365 * 2. A transect might only take a day though.
</t>
        </r>
      </text>
    </comment>
    <comment ref="N1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Surveys conducted in 2001, 2003, 2005, so 365 * 4 years between 2001 and 2005.</t>
        </r>
      </text>
    </comment>
    <comment ref="H1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biomass core
</t>
        </r>
      </text>
    </comment>
    <comment ref="K1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15 minutes per site</t>
        </r>
      </text>
    </comment>
    <comment ref="L1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Each individual site was probably sampled every 2 years. So 365 * 2. A transect might only take a day though.
</t>
        </r>
      </text>
    </comment>
    <comment ref="N1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Surveys conducted in 2001, 2003, 2005, so 365 * 4 years between 2001 and 2005.</t>
        </r>
      </text>
    </comment>
    <comment ref="H1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2cm diameter, sediment cores
</t>
        </r>
      </text>
    </comment>
    <comment ref="K1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2 minutes to get the core</t>
        </r>
      </text>
    </comment>
    <comment ref="L1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Each individual site was probably sampled every 2 years. So 365 * 2. A transect might only take a day though.
</t>
        </r>
      </text>
    </comment>
    <comment ref="N1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Surveys conducted in 2001, 2003, 2005, so 365 * 4 years between 2001 and 2005.</t>
        </r>
      </text>
    </comment>
    <comment ref="H1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Temperature logger, so probably very small</t>
        </r>
      </text>
    </comment>
    <comment ref="K17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One second to press the button
</t>
        </r>
      </text>
    </comment>
    <comment ref="L1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samples every 90 minutes</t>
        </r>
      </text>
    </comment>
    <comment ref="N1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first sensor was deployed in 2001</t>
        </r>
      </text>
    </comment>
    <comment ref="H1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Temperature logger, so probably very small. Second site was deployed much later</t>
        </r>
      </text>
    </comment>
    <comment ref="N1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second sensor deployed in 2004. Study end in 2005.</t>
        </r>
      </text>
    </comment>
    <comment ref="H1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Estimate this is the size of the light logger
</t>
        </r>
      </text>
    </comment>
    <comment ref="I1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one set established in 2001
</t>
        </r>
      </text>
    </comment>
    <comment ref="K1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time it takes for sensor to make reading</t>
        </r>
      </text>
    </comment>
    <comment ref="L1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For 2 weeks every quarter.
</t>
        </r>
      </text>
    </comment>
    <comment ref="N1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first sensor was deployed in 2001</t>
        </r>
      </text>
    </comment>
    <comment ref="H2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Estimate this is the size of the light logger
</t>
        </r>
      </text>
    </comment>
    <comment ref="I2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second set established in 2004
</t>
        </r>
      </text>
    </comment>
    <comment ref="N2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second sensor deployed in 2004. Study end in 2005.</t>
        </r>
      </text>
    </comment>
    <comment ref="H2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This is just the process of finding them and then monitoring them. They looked within an area this big. </t>
        </r>
      </text>
    </comment>
    <comment ref="K2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20 nests per site, 0.5 hrs per nest</t>
        </r>
      </text>
    </comment>
    <comment ref="L2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Each nest was surveyed every 2 to 3 days for 3 months for 3 years.
</t>
        </r>
      </text>
    </comment>
    <comment ref="M2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Again this is for observing the success or failure of each individual nest
</t>
        </r>
      </text>
    </comment>
    <comment ref="N2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May 2002 to August 2005.
</t>
        </r>
      </text>
    </comment>
    <comment ref="H22" authorId="2">
      <text>
        <r>
          <rPr>
            <b/>
            <sz val="9"/>
            <color indexed="81"/>
            <rFont val="Tahoma"/>
            <charset val="1"/>
          </rPr>
          <t>Jonathan:
Assessing their characteristics</t>
        </r>
      </text>
    </comment>
    <comment ref="I2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Used 326 independent nests and assessed their characteristics</t>
        </r>
      </text>
    </comment>
    <comment ref="K2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estimate it takes 1 hour to find and analyze each nest</t>
        </r>
      </text>
    </comment>
    <comment ref="L2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There was no resampling of nests</t>
        </r>
      </text>
    </comment>
    <comment ref="N2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May 2002 to August 2005.
</t>
        </r>
      </text>
    </comment>
    <comment ref="H2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Estimate for the size of a set of roe deer antlers</t>
        </r>
      </text>
    </comment>
    <comment ref="I2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number of deer surveyed</t>
        </r>
      </text>
    </comment>
    <comment ref="K2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Capture, mark, release methods. Assume 1 hour per animal for antlers
</t>
        </r>
      </text>
    </comment>
    <comment ref="L2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Study took data for one animal from january to march. Assuyme january 1 and march 30, then the avg amount of time between 2 days.</t>
        </r>
      </text>
    </comment>
    <comment ref="M2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Take samp duration and multiply by the reported number of observations.</t>
        </r>
      </text>
    </comment>
    <comment ref="N2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Study had 16 years of demographic data</t>
        </r>
      </text>
    </comment>
    <comment ref="H2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Body mass estiamte.
1 m by 1m?</t>
        </r>
      </text>
    </comment>
    <comment ref="I2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number of deer surveyed</t>
        </r>
      </text>
    </comment>
    <comment ref="K2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Capture, mark, release methods. Assume 2 hours per animal
</t>
        </r>
      </text>
    </comment>
    <comment ref="H2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Climatic Data from govt agencies. Not sure how they got climatic data, so we'll assume they took from an instrumentation tower at each park.</t>
        </r>
      </text>
    </comment>
    <comment ref="K25" authorId="1">
      <text>
        <r>
          <rPr>
            <b/>
            <sz val="9"/>
            <color indexed="81"/>
            <rFont val="Tahoma"/>
            <charset val="1"/>
          </rPr>
          <t>Jonathan:</t>
        </r>
        <r>
          <rPr>
            <sz val="9"/>
            <color indexed="81"/>
            <rFont val="Tahoma"/>
            <charset val="1"/>
          </rPr>
          <t xml:space="preserve">
Assume 1 second to take the sample</t>
        </r>
      </text>
    </comment>
    <comment ref="L25" authorId="2">
      <text>
        <r>
          <rPr>
            <b/>
            <sz val="9"/>
            <color indexed="81"/>
            <rFont val="Tahoma"/>
            <charset val="1"/>
          </rPr>
          <t>Assume its from a monitoring station that takes data once a month?</t>
        </r>
      </text>
    </comment>
    <comment ref="M2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1 second to sample for 90 days
</t>
        </r>
      </text>
    </comment>
    <comment ref="N2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Index was computed from data from june to august. Assume june 1 to august 30.</t>
        </r>
      </text>
    </comment>
    <comment ref="H2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Resource availability. Seemed to have asked a acorn grower for when their mast seasons were. Acorn grower had "multiple sites" in Southern Sweden. Assume 10 500m^2 sites?</t>
        </r>
      </text>
    </comment>
    <comment ref="K2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they went hiking for a couple hours in each spot to determine resource availability?</t>
        </r>
      </text>
    </comment>
    <comment ref="L2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this was a once per year deal</t>
        </r>
      </text>
    </comment>
    <comment ref="M2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Multiply by 16 because 16 years</t>
        </r>
      </text>
    </comment>
    <comment ref="N2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Study had 16 years of demographic data</t>
        </r>
      </text>
    </comment>
    <comment ref="H2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Resource availability in Sweden. Very ambiguous, left to "various locations in Sweden"</t>
        </r>
      </text>
    </comment>
    <comment ref="K2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they went hiking for a couple hours in each spot to determine resource availability?</t>
        </r>
      </text>
    </comment>
    <comment ref="L2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this was a once per year deal</t>
        </r>
      </text>
    </comment>
    <comment ref="M2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Multiply by 16 because 16 years</t>
        </r>
      </text>
    </comment>
    <comment ref="N2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Study had 16 years of demographic data</t>
        </r>
      </text>
    </comment>
    <comment ref="H3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said transects were between 10 and 100 m with no info on width. Assume 5m width, 55m length</t>
        </r>
      </text>
    </comment>
    <comment ref="I3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36 sites, 6 transects per site, 60 quadrats per transect</t>
        </r>
      </text>
    </comment>
    <comment ref="K3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15 minutes per 0.5 m^2 quadrat
</t>
        </r>
      </text>
    </comment>
    <comment ref="L3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No repeat sampling</t>
        </r>
      </text>
    </comment>
    <comment ref="H3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agb and litter</t>
        </r>
      </text>
    </comment>
    <comment ref="I3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36 sites, 6 transects, 2 samplings per transecyt</t>
        </r>
      </text>
    </comment>
    <comment ref="K3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15 minutes per 0.5 m^2 quadrat
</t>
        </r>
      </text>
    </comment>
    <comment ref="L3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No repeat sampling</t>
        </r>
      </text>
    </comment>
    <comment ref="H3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bulk density. Assume 0.05m radius corer
</t>
        </r>
      </text>
    </comment>
    <comment ref="K3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15 minutes to take the core. Soil was pretty boggy in the wetlands.</t>
        </r>
      </text>
    </comment>
    <comment ref="L3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No repeat sampling</t>
        </r>
      </text>
    </comment>
    <comment ref="H3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Percent cover at each of the corners to the veg quadrat. Assume 0.01m radius corer
</t>
        </r>
      </text>
    </comment>
    <comment ref="I3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36 sites, 6 transects per site, 60 quadrats per transect, 4 corners per transect</t>
        </r>
      </text>
    </comment>
    <comment ref="K3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4 seconds to look at the 4 corners?</t>
        </r>
      </text>
    </comment>
    <comment ref="L3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No repeat sampling</t>
        </r>
      </text>
    </comment>
    <comment ref="H3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Actual collection of shells. 10x10m sampling area
</t>
        </r>
      </text>
    </comment>
    <comment ref="I3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 1967 sampling was described as being in an area 7x8 km, but I assume the actual area sampled was similar.</t>
        </r>
      </text>
    </comment>
    <comment ref="K3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it took 1 hour to sample each 10x10 area</t>
        </r>
      </text>
    </comment>
    <comment ref="L3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sampled once in 1967 and again in 2010.
</t>
        </r>
      </text>
    </comment>
    <comment ref="M3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that they sampled the sdame number of sites twice. Once uin 1967, again in 2010.</t>
        </r>
      </text>
    </comment>
    <comment ref="N3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sampled once in 1967 and again in 2010.
</t>
        </r>
      </text>
    </comment>
    <comment ref="H3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Scoring for color. Assume 2 cm long, 1 cm wide</t>
        </r>
      </text>
    </comment>
    <comment ref="I3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2722 in 2010 and the rest are from the 1967 archives</t>
        </r>
      </text>
    </comment>
    <comment ref="K3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it took 1 minute per snail</t>
        </r>
      </text>
    </comment>
    <comment ref="L3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No resampling of the snails</t>
        </r>
      </text>
    </comment>
    <comment ref="N3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sampled once in 1967 and again in 2010.
</t>
        </r>
      </text>
    </comment>
    <comment ref="Q3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We're saying that color is a functional trait of the snails</t>
        </r>
      </text>
    </comment>
    <comment ref="H3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habitat change with aerial photos. Randomly guess, 5km * 5km </t>
        </r>
      </text>
    </comment>
    <comment ref="K3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it took 5 hours to do the full fly over</t>
        </r>
      </text>
    </comment>
    <comment ref="L3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sampled once in 1968 and again in 2010.
</t>
        </r>
      </text>
    </comment>
    <comment ref="N3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sampled once in 1968 and again in 2010.
</t>
        </r>
      </text>
    </comment>
    <comment ref="H3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Weather station. 10 cm by 10cm sensor?</t>
        </r>
      </text>
    </comment>
    <comment ref="K3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 second for measurement to occur</t>
        </r>
      </text>
    </comment>
    <comment ref="L3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it was actually once a day (based in 1968 tech?)</t>
        </r>
      </text>
    </comment>
    <comment ref="N3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sampled once in 1967 and again in 2010.
</t>
        </r>
      </text>
    </comment>
    <comment ref="H3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5cm diameter auger? This is approx. This is the only field collection done - all of the lab test were based on this sample.</t>
        </r>
      </text>
    </comment>
    <comment ref="I3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23 samples collected</t>
        </r>
      </text>
    </comment>
    <comment ref="K3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We'll say 15 min to take the sample because augers can be hard to use in peat soils
</t>
        </r>
      </text>
    </comment>
    <comment ref="L3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that each site was only sampled once. No indication otherwise.</t>
        </r>
      </text>
    </comment>
    <comment ref="N3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All the sampling was done in one day?</t>
        </r>
      </text>
    </comment>
    <comment ref="H3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size of individual animal</t>
        </r>
      </text>
    </comment>
    <comment ref="I3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Use baseline populations</t>
        </r>
      </text>
    </comment>
    <comment ref="K3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it takes 5, 8 hour days to get enough visual estimates to create this age structured moel</t>
        </r>
      </text>
    </comment>
    <comment ref="L3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annual survey</t>
        </r>
      </text>
    </comment>
    <comment ref="M3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Studied ongoing for 14 years</t>
        </r>
      </text>
    </comment>
    <comment ref="N3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Variable length study depending on where the survey occurred. </t>
        </r>
      </text>
    </comment>
    <comment ref="H4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4 satellite images. No exact size of area was given, so estimate the size of "Chorotega region" as roughly equivalent to size of Guanacaste province</t>
        </r>
      </text>
    </comment>
    <comment ref="I4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One site that was sampled approx 4 times. They don't provide enough info on the army flights that were conducted between 1955 and 1965.</t>
        </r>
      </text>
    </comment>
    <comment ref="K4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it took 2 hours for either all the aerial photos to be taken or for the satellites to be moved into place to take photos</t>
        </r>
      </text>
    </comment>
    <comment ref="L4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Took all of the years of the different images and averaged the amount of time elapsed between different photos</t>
        </r>
      </text>
    </comment>
    <comment ref="N4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4 images between 1960 and 2000</t>
        </r>
      </text>
    </comment>
    <comment ref="H4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Used 24 12L bottles per sampling site. Say roughly each 12L bottle is equivalent to a 25m^2 area?
</t>
        </r>
      </text>
    </comment>
    <comment ref="K4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1 hour to drop all 24 12 L bottles, fill them, and hbaul them back up</t>
        </r>
      </text>
    </comment>
    <comment ref="L4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There were 10 samples used in the analysis across a roughly 60 day period</t>
        </r>
      </text>
    </comment>
    <comment ref="N4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Cruise was june-july 2008</t>
        </r>
      </text>
    </comment>
    <comment ref="O4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did a fairly rigorous analysis for species</t>
        </r>
      </text>
    </comment>
    <comment ref="P4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used various instruments to get a conductivity, depth, temperature, and flourescence</t>
        </r>
      </text>
    </comment>
    <comment ref="Q41" authorId="2">
      <text>
        <r>
          <rPr>
            <b/>
            <sz val="9"/>
            <color indexed="81"/>
            <rFont val="Tahoma"/>
            <charset val="1"/>
          </rPr>
          <t>Jonathan Choi:
looked at predator/prey rltns</t>
        </r>
      </text>
    </comment>
    <comment ref="H4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Mesh tow. Looked at images, estimate about 1 m2
</t>
        </r>
      </text>
    </comment>
    <comment ref="I4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only net sampled at 3 locations</t>
        </r>
      </text>
    </comment>
    <comment ref="K4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No discussion of how long the plankton nets were out for. Assume 1 hour?</t>
        </r>
      </text>
    </comment>
    <comment ref="H4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microscopy to determine actual parasitism. Rough estimate for 1/3 of a microscope slide</t>
        </r>
      </text>
    </comment>
    <comment ref="I4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Sampled 20 random microscope fields for 106 samples. Not sure if this should actually be number of cells counted, but this seems like a more conservative estimate anyway for what we're trying to answer. 
</t>
        </r>
      </text>
    </comment>
    <comment ref="K4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five minutes to look at each field?</t>
        </r>
      </text>
    </comment>
    <comment ref="L4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didn't resample the microscope fields again</t>
        </r>
      </text>
    </comment>
    <comment ref="H4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one nest box. </t>
        </r>
      </text>
    </comment>
    <comment ref="K4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15 min per nest box to get there, check, and band
</t>
        </r>
      </text>
    </comment>
    <comment ref="L4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Surveyed multiple times per week during breeding season. 
</t>
        </r>
      </text>
    </comment>
    <comment ref="M4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samp duration * number of nest boxes * 24 visits per year (see t_btwn_samp note) * 17 years</t>
        </r>
      </text>
    </comment>
    <comment ref="N4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17 year study</t>
        </r>
      </text>
    </comment>
    <comment ref="P4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Not very easy to classify - multigenerational demography seems to matter more than a single species demography.</t>
        </r>
      </text>
    </comment>
    <comment ref="H4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Male forehead patch measurement. 3cm by 1cm?
</t>
        </r>
      </text>
    </comment>
    <comment ref="I4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Says they have data from 683 males, presumably measured multiple times?</t>
        </r>
      </text>
    </comment>
    <comment ref="K4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5 minutes per animal?</t>
        </r>
      </text>
    </comment>
    <comment ref="L4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Surveyed multiple times per week during breeding season. 
</t>
        </r>
      </text>
    </comment>
    <comment ref="T4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In general this study is tricky.</t>
        </r>
      </text>
    </comment>
    <comment ref="H4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Used either gillnets or longlines. Guesttimate at being 10*20 area for net, dragged for 2km. I worry that this is an underestimate.</t>
        </r>
      </text>
    </comment>
    <comment ref="I4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66 trips observed.</t>
        </r>
      </text>
    </comment>
    <comment ref="K4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Each fishing trip was around 6.65 days on average. Assume monitoring occurred for 8 waking hours. This is probably an understimate.
</t>
        </r>
      </text>
    </comment>
    <comment ref="L4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29 months / 66 trips. Produce average time assuming all trips were evenly spaced. Probably less clustered than reality.
</t>
        </r>
      </text>
    </comment>
    <comment ref="N4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29 month study
</t>
        </r>
      </text>
    </comment>
    <comment ref="H4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shorebased obs. 800 m^2 wharf for small fisheries?</t>
        </r>
      </text>
    </comment>
    <comment ref="K4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2 hours at beginning of day and at end of day to interview</t>
        </r>
      </text>
    </comment>
    <comment ref="L4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daily surveys</t>
        </r>
      </text>
    </comment>
    <comment ref="N4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7.5 years of data collecting from Sept 2001 to March 2008.
</t>
        </r>
      </text>
    </comment>
    <comment ref="H4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Interpolation of growing season data. From a different study; unavailable electronically from Princeton. Assume each monitoring site captured the area within 1m^2 of it directly.</t>
        </r>
      </text>
    </comment>
    <comment ref="I4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there are 500 stations??</t>
        </r>
      </text>
    </comment>
    <comment ref="K4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1 second to take measurement.</t>
        </r>
      </text>
    </comment>
    <comment ref="L4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sampling everyday</t>
        </r>
      </text>
    </comment>
    <comment ref="M4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data collection for 10 years.</t>
        </r>
      </text>
    </comment>
    <comment ref="N4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10 year study, with 3 years in between 5year periods. </t>
        </r>
      </text>
    </comment>
    <comment ref="G4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Survey methodology found in other paper
</t>
        </r>
      </text>
    </comment>
    <comment ref="H4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10km^2 quadrats.</t>
        </r>
      </text>
    </comment>
    <comment ref="I4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Average number of quadrats sampled per year</t>
        </r>
      </text>
    </comment>
    <comment ref="K4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10 days, 2 hrs per day, I believe in quick succession per year. I counted this as one observation each.</t>
        </r>
      </text>
    </comment>
    <comment ref="L4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Annual surveys</t>
        </r>
      </text>
    </comment>
    <comment ref="M4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So it's 20 hrs per year, for 10 years of obs, for on average 239 sites</t>
        </r>
      </text>
    </comment>
    <comment ref="O4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Basic survey for all Lepidopterans in a quadrat
</t>
        </r>
      </text>
    </comment>
    <comment ref="H5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1km diameter plots</t>
        </r>
      </text>
    </comment>
    <comment ref="K5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it took 8 hours to either take aerial photos or to position satelite</t>
        </r>
      </text>
    </comment>
    <comment ref="L5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Compared photos and grazing pressure from 1960s to 2002.
</t>
        </r>
      </text>
    </comment>
    <comment ref="N5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1960-2002</t>
        </r>
      </text>
    </comment>
    <comment ref="G5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Treating individual birds as a sample. Study took blood sample, tagged, took length of tail feathers, massed, weighed.
</t>
        </r>
      </text>
    </comment>
    <comment ref="H5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Guess at the body size of a barn swallow
</t>
        </r>
      </text>
    </comment>
    <comment ref="I5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These were caught the first time and sampled intensively</t>
        </r>
      </text>
    </comment>
    <comment ref="K5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30 minutes per bird?</t>
        </r>
      </text>
    </comment>
    <comment ref="L5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Sampled everyone once. Came back and did surviving males later.</t>
        </r>
      </text>
    </comment>
    <comment ref="N5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April to August 2010
</t>
        </r>
      </text>
    </comment>
    <comment ref="G5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22 Males were recaptured. Blood and mass only.</t>
        </r>
      </text>
    </comment>
    <comment ref="H5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Guess at the body size of a barn swallow
</t>
        </r>
      </text>
    </comment>
    <comment ref="K5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30 minutes per bird?</t>
        </r>
      </text>
    </comment>
    <comment ref="N5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April to August 2010
</t>
        </r>
      </text>
    </comment>
    <comment ref="G5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Observing clutches</t>
        </r>
      </text>
    </comment>
    <comment ref="H5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estimate size for a chick</t>
        </r>
      </text>
    </comment>
    <comment ref="I5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number of clutches. Did not state number of chicks. </t>
        </r>
      </text>
    </comment>
    <comment ref="L5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sampled every 2 days</t>
        </r>
      </text>
    </comment>
    <comment ref="M5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only did this blood sampling once. Assume that checking for chicks took a negligible amount of time.</t>
        </r>
      </text>
    </comment>
    <comment ref="P5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took blood/tissue samples from chicks/unhatched embryo to determine parents
</t>
        </r>
      </text>
    </comment>
    <comment ref="G5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Observing clutches</t>
        </r>
      </text>
    </comment>
    <comment ref="H5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size of nest?</t>
        </r>
      </text>
    </comment>
    <comment ref="K5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measured 5 hours on three different occasions
</t>
        </r>
      </text>
    </comment>
    <comment ref="M54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said that they spent 5 hours video taping each nest
</t>
        </r>
      </text>
    </comment>
    <comment ref="G5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took blood samples, other measurements. Assume all of these measurements were the same res and the same number of lines as a result.</t>
        </r>
      </text>
    </comment>
    <comment ref="H5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individual bird</t>
        </r>
      </text>
    </comment>
    <comment ref="N5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study states 12 days</t>
        </r>
      </text>
    </comment>
    <comment ref="G5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"Observations were made in two study areas 100 km apart, each about 60 km2 in extent."</t>
        </r>
      </text>
    </comment>
    <comment ref="K5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said they surveyed sometimes over the course of two months or over one month. Assume 15 days per season per site, 5 hours per day
</t>
        </r>
      </text>
    </comment>
    <comment ref="L5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Annual census</t>
        </r>
      </text>
    </comment>
    <comment ref="M5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15 days per site per season
</t>
        </r>
      </text>
    </comment>
    <comment ref="N5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10 year study</t>
        </r>
      </text>
    </comment>
    <comment ref="H5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sampled 18 areas of kruger, driving 11,500km over three months. </t>
        </r>
      </text>
    </comment>
    <comment ref="K5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say it was 11 hours per day in the paper</t>
        </r>
      </text>
    </comment>
    <comment ref="L5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annual survey</t>
        </r>
      </text>
    </comment>
    <comment ref="M5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11 hours per day, 60 days per year, 13 years</t>
        </r>
      </text>
    </comment>
    <comment ref="N5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observations for 13 years</t>
        </r>
      </text>
    </comment>
    <comment ref="H5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sampled 18 areas of kruger, driving 11,500km over three months. </t>
        </r>
      </text>
    </comment>
    <comment ref="K5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say it was 11 hours per day in the paper</t>
        </r>
      </text>
    </comment>
    <comment ref="L5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4 times per annum</t>
        </r>
      </text>
    </comment>
    <comment ref="M5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only 40 days instead of 60 because I think this study was wildebeast only (previous was almost all large herbivores). Cannot access original study. 
</t>
        </r>
      </text>
    </comment>
    <comment ref="N58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1978-1983 observations</t>
        </r>
      </text>
    </comment>
    <comment ref="H5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aerial surveys. We knew they were 800m in width. Visual estimate of around 10k long</t>
        </r>
      </text>
    </comment>
    <comment ref="I5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don't say and the only documents detailing this were published locally in S Africa</t>
        </r>
      </text>
    </comment>
    <comment ref="L59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annual</t>
        </r>
      </text>
    </comment>
    <comment ref="G6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this is age &amp; sex ratio</t>
        </r>
      </text>
    </comment>
    <comment ref="H6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21 km transect, stopping every 1km, surveying a circle 100m in radius</t>
        </r>
      </text>
    </comment>
    <comment ref="N60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very unclear when this car based survey began</t>
        </r>
      </text>
    </comment>
    <comment ref="H6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Sample size as individual animals?</t>
        </r>
      </text>
    </comment>
    <comment ref="I6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no specification of how many samples they collected. Guess at 100 per season?</t>
        </r>
      </text>
    </comment>
    <comment ref="K6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drove around and watched wildebeest until they pooped, and then collected the fecal samples. They don't indicate how long this took.</t>
        </r>
      </text>
    </comment>
    <comment ref="L6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they didn't try to collect from them multiple times?</t>
        </r>
      </text>
    </comment>
    <comment ref="N61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1992-94
</t>
        </r>
      </text>
    </comment>
    <comment ref="G6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this is carcass cxounts</t>
        </r>
      </text>
    </comment>
    <comment ref="H6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21 km transect, stopping every 1km, surveying a circle 100m in radius</t>
        </r>
      </text>
    </comment>
    <comment ref="K6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this probably took less time</t>
        </r>
      </text>
    </comment>
    <comment ref="N62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very unclear when this car based survey began</t>
        </r>
      </text>
    </comment>
    <comment ref="H6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rain gauge. Assume a half meter diameter bucket</t>
        </r>
      </text>
    </comment>
    <comment ref="N63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6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gravity core
</t>
        </r>
      </text>
    </comment>
    <comment ref="H6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mini-Glew corer. Assume 5cm diameter?</t>
        </r>
      </text>
    </comment>
    <comment ref="I6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took between 51 and 87 samples from 6 different lakes</t>
        </r>
      </text>
    </comment>
    <comment ref="L6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"paleo"reconstruction of about 1000 years. Estimated resolution "varies from 12 to 16 years"</t>
        </r>
      </text>
    </comment>
    <comment ref="N65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looked at data from the past 2000 years
</t>
        </r>
      </text>
    </comment>
    <comment ref="G6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seismic profiling by driving around a lake.</t>
        </r>
      </text>
    </comment>
    <comment ref="H6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each surveyed lake was between 17 and 78 ha. </t>
        </r>
      </text>
    </comment>
    <comment ref="K6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assume they were able to map underwater ridges in a day on the water.</t>
        </r>
      </text>
    </comment>
    <comment ref="N66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each sample period was just once</t>
        </r>
      </text>
    </comment>
    <comment ref="G6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Weather stations</t>
        </r>
      </text>
    </comment>
    <comment ref="K6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15 minutes to take the data?</t>
        </r>
      </text>
    </comment>
    <comment ref="N67" authorId="2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used a bunch of old climate data</t>
        </r>
      </text>
    </comment>
  </commentList>
</comments>
</file>

<file path=xl/comments3.xml><?xml version="1.0" encoding="utf-8"?>
<comments xmlns="http://schemas.openxmlformats.org/spreadsheetml/2006/main">
  <authors>
    <author>Jonathan Choi</author>
  </authors>
  <commentList>
    <comment ref="F26" authorId="0">
      <text>
        <r>
          <rPr>
            <b/>
            <sz val="9"/>
            <color indexed="81"/>
            <rFont val="Tahoma"/>
            <charset val="1"/>
          </rPr>
          <t>Jonathan Choi:</t>
        </r>
        <r>
          <rPr>
            <sz val="9"/>
            <color indexed="81"/>
            <rFont val="Tahoma"/>
            <charset val="1"/>
          </rPr>
          <t xml:space="preserve">
They went around and asked questions about their opinions of wolves.</t>
        </r>
      </text>
    </comment>
  </commentList>
</comments>
</file>

<file path=xl/sharedStrings.xml><?xml version="1.0" encoding="utf-8"?>
<sst xmlns="http://schemas.openxmlformats.org/spreadsheetml/2006/main" count="2707" uniqueCount="1411">
  <si>
    <t>m^2</t>
  </si>
  <si>
    <t>n</t>
  </si>
  <si>
    <t>ha</t>
  </si>
  <si>
    <t>days</t>
  </si>
  <si>
    <t>days</t>
  </si>
  <si>
    <t>days</t>
  </si>
  <si>
    <t>days</t>
  </si>
  <si>
    <t>journal</t>
  </si>
  <si>
    <t>DOI</t>
  </si>
  <si>
    <t>study_year</t>
  </si>
  <si>
    <t>study_type</t>
  </si>
  <si>
    <t>country_region</t>
  </si>
  <si>
    <t>subject_matter</t>
  </si>
  <si>
    <t>plot_res</t>
  </si>
  <si>
    <t>n_sites</t>
  </si>
  <si>
    <t>sampled_area</t>
  </si>
  <si>
    <t>samp_duration</t>
  </si>
  <si>
    <t>t_btwn_samp</t>
  </si>
  <si>
    <t>study_duration</t>
  </si>
  <si>
    <t>study_span</t>
  </si>
  <si>
    <t>composition</t>
  </si>
  <si>
    <t>structure</t>
  </si>
  <si>
    <t>function</t>
  </si>
  <si>
    <t>tax_breadth</t>
  </si>
  <si>
    <t>DOI_data_source</t>
  </si>
  <si>
    <t>sensitivity</t>
  </si>
  <si>
    <t>notes</t>
  </si>
  <si>
    <t>Proceedings of the Royal Society B-Biological Sciences</t>
  </si>
  <si>
    <t>10.1098/rspb.2010.2482</t>
  </si>
  <si>
    <t>Field Study</t>
  </si>
  <si>
    <t>USA, Alaska</t>
  </si>
  <si>
    <t>Phenology in Arctic Ground Squirrels</t>
  </si>
  <si>
    <t>plot_res\study_span</t>
  </si>
  <si>
    <t>Biological Conservation</t>
  </si>
  <si>
    <t>10.1016/j.biocon.2007.11.007</t>
  </si>
  <si>
    <t>Author</t>
  </si>
  <si>
    <t>Year</t>
  </si>
  <si>
    <t>Title</t>
  </si>
  <si>
    <t>Journal</t>
  </si>
  <si>
    <t>Volume</t>
  </si>
  <si>
    <t>Issue</t>
  </si>
  <si>
    <t>Pages</t>
  </si>
  <si>
    <t>Sheriff, M. J., Kenagy, G. J., Richter, M., Lee, T., Toien, O., Kohl, F., Buck, C. L. and Barnes, B. M.</t>
  </si>
  <si>
    <t>Phenological variation in annual timing of hibernation and breeding in nearby populations of Arctic ground squirrels</t>
  </si>
  <si>
    <t>2369-2375</t>
  </si>
  <si>
    <t>Jule, K. R., Leaver, L. A. and Lea, S. E. G.</t>
  </si>
  <si>
    <t>The effects of captive experience on reintroduction survival in carnivores: A review and analysis</t>
  </si>
  <si>
    <t>355-363</t>
  </si>
  <si>
    <t>Rohr, J. R., Swan, A., Raffel, T. R. and Hudson, P. J.</t>
  </si>
  <si>
    <t>Parasites, info-disruption, and the ecology of fear</t>
  </si>
  <si>
    <t>Oecologia</t>
  </si>
  <si>
    <t>447-454</t>
  </si>
  <si>
    <t>Fajardo, A. and McIntire, E. J. B.</t>
  </si>
  <si>
    <t>Reversal of multicentury tree growth improvements and loss of synchrony at mountain tree lines point to changes in key drivers</t>
  </si>
  <si>
    <t>Journal of Ecology</t>
  </si>
  <si>
    <t>782-794</t>
  </si>
  <si>
    <t>Ohashi, K., Leslie, A. and Thomson, J. D.</t>
  </si>
  <si>
    <t>Trapline foraging by bumble bees: VII. Adjustments for foraging success following competitor removal</t>
  </si>
  <si>
    <t>Behavioral Ecology</t>
  </si>
  <si>
    <t>768-778</t>
  </si>
  <si>
    <t>Grote, R., Keenan, T., Lavoir, A. V. and Staudt, M.</t>
  </si>
  <si>
    <t>Process-based simulation of seasonality and drought stress in monoterpene emission models</t>
  </si>
  <si>
    <t>Biogeosciences</t>
  </si>
  <si>
    <t>257-274</t>
  </si>
  <si>
    <t>Freeman, A. S., Short, F. T., Isnain, I., Razak, F. A. and Coles, R. G.</t>
  </si>
  <si>
    <t>Seagrass on the edge: Land-use practices threaten coastal seagrass communities in Sabah, Malaysia</t>
  </si>
  <si>
    <t>2993-3005</t>
  </si>
  <si>
    <t>Yarrow, M. M. and Marin, V. H.</t>
  </si>
  <si>
    <t>Toward conceptual cohesiveness: A historical analysis of the theory and utility of ecological boundaries and transition zones</t>
  </si>
  <si>
    <t>Ecosystems</t>
  </si>
  <si>
    <t>462-476</t>
  </si>
  <si>
    <t>Stone, E. L., Jones, G. and Harris, S.</t>
  </si>
  <si>
    <t>Conserving energy at a cost to biodiversity? Impacts of LED lighting on bats</t>
  </si>
  <si>
    <t>Global Change Biology</t>
  </si>
  <si>
    <t>2458-2465</t>
  </si>
  <si>
    <t>Fitzgerald, E. M. G.</t>
  </si>
  <si>
    <t>A bizarre new toothed mysticete (Cetacea) from Australia and the early evolution of baleen whales</t>
  </si>
  <si>
    <t>2955-2963</t>
  </si>
  <si>
    <t>Chalfoun, A. D. and Martin, T. E.</t>
  </si>
  <si>
    <t>Facultative nest patch shifts in response to nest predation risk in the Brewer's sparrow: a "win-stay, lose-switch" strategy?</t>
  </si>
  <si>
    <t>885-892</t>
  </si>
  <si>
    <t>Dehnen-Schmutz, K., Touza, J., Perrings, C. and Williamson, M.</t>
  </si>
  <si>
    <t>A century of the ornamental plant trade and its impact on invasion success</t>
  </si>
  <si>
    <t>Diversity and Distributions</t>
  </si>
  <si>
    <t>527-534</t>
  </si>
  <si>
    <t>Antoci, A., Russu, P. and Ticci, E.</t>
  </si>
  <si>
    <t>Environmental externalities and immiserizing structural changes in an economy with heterogeneous agents</t>
  </si>
  <si>
    <t>Ecological Economics</t>
  </si>
  <si>
    <t xml:space="preserve"> </t>
  </si>
  <si>
    <t>80-91</t>
  </si>
  <si>
    <t>Gorman, H. E. and Nager, R. G.</t>
  </si>
  <si>
    <t>Prenatal developmental conditions have long-term effects on offspring fecundity</t>
  </si>
  <si>
    <t>1923-1928</t>
  </si>
  <si>
    <t>Kirwan, M. L. and Guntenspergen, G. R.</t>
  </si>
  <si>
    <t>Feedbacks between inundation, root production, and shoot growth in a rapidly submerging brackish marsh</t>
  </si>
  <si>
    <t>764-770</t>
  </si>
  <si>
    <t>Boessenkool, S., Austin, J. J., Worthy, T. H., Scofield, P., Cooper, A., Seddon, P. J. and Waters, J. M.</t>
  </si>
  <si>
    <t>Relict or colonizer? Extinction and range expansion of penguins in southern New Zealand</t>
  </si>
  <si>
    <t>815-821</t>
  </si>
  <si>
    <t>Farine, D. R.</t>
  </si>
  <si>
    <t>Animal social network inference and permutations for ecologists in R using asnipe</t>
  </si>
  <si>
    <t>Methods in Ecology and Evolution</t>
  </si>
  <si>
    <t>1187-1194</t>
  </si>
  <si>
    <t>Holland, J. M.</t>
  </si>
  <si>
    <t>The environmental consequences of adopting conservation tillage in Europe: reviewing the evidence</t>
  </si>
  <si>
    <t>Agriculture Ecosystems &amp; Environment</t>
  </si>
  <si>
    <t>Vanpe, C., Gaillard, J. M., Kjellander, P., Mysterud, A., Magnien, P., Delorme, D., Van Laere, G., Klein, F., Liberg, O. and Hewison, A. J. M.</t>
  </si>
  <si>
    <t>Antler size provides an honest signal of male phenotypic quality in roe deer</t>
  </si>
  <si>
    <t>American Naturalist</t>
  </si>
  <si>
    <t>481-493</t>
  </si>
  <si>
    <t>Ardia, D. R. and Clotfelter, E. D.</t>
  </si>
  <si>
    <t>Individual quality and age affect responses to an energetic constraint in a cavity-nesting bird</t>
  </si>
  <si>
    <t>259-266</t>
  </si>
  <si>
    <t>Jones, W. M., Fraser, L. H. and Curtis, P. J.</t>
  </si>
  <si>
    <t>Plant community functional shifts in response to livestock grazing in intermountain depressional wetlands in British Columbia, Canada</t>
  </si>
  <si>
    <t>511-517</t>
  </si>
  <si>
    <t>Whittaker, J.</t>
  </si>
  <si>
    <t>The evolution of environmentally responsible investment: An Adam Smith perspective</t>
  </si>
  <si>
    <t>33-41</t>
  </si>
  <si>
    <t>Bond-Lamberty, B., Wang, C. K. and Gower, S. T.</t>
  </si>
  <si>
    <t>A global relationship between the heterotrophic and autotrophic components of soil respiration?</t>
  </si>
  <si>
    <t>1756-1766</t>
  </si>
  <si>
    <t>Prince, E. K., Lettieri, L., McCurdy, K. J. and Kubanek, J.</t>
  </si>
  <si>
    <t>Fitness consequences for copepods feeding on a red tide dinoflagellate: deciphering the effects of nutritional value, toxicity, and feeding behavior</t>
  </si>
  <si>
    <t>479-488</t>
  </si>
  <si>
    <t>Ozgo, M. and Schilthuizen, M.</t>
  </si>
  <si>
    <t>Evolutionary change in Cepaea nemoralis shell colour over 43 years</t>
  </si>
  <si>
    <t>74-81</t>
  </si>
  <si>
    <t>Chakraborty, S., Pangga, I. B. and Roper, M. M.</t>
  </si>
  <si>
    <t>Climate change and multitrophic interactions in soil: the primacy of plants and functional domains</t>
  </si>
  <si>
    <t>2111-2125</t>
  </si>
  <si>
    <t>Oquist, M. G., Sparrman, T., Klemedtsson, L., Drotz, S. H., Grip, H., Schleucher, J. and Nilsson, M.</t>
  </si>
  <si>
    <t>Water availability controls microbial temperature responses in frozen soil CO2 production</t>
  </si>
  <si>
    <t>2715-2722</t>
  </si>
  <si>
    <t>Daleo, P., Alberti, J., Pascual, J., Canepuccia, A. and Iribarne, O.</t>
  </si>
  <si>
    <t>Herbivory affects salt marsh succession dynamics by suppressing the recovery of dominant species</t>
  </si>
  <si>
    <t>335-343</t>
  </si>
  <si>
    <t>Kasparian, K., Geissler, E. and Trillmich, F.</t>
  </si>
  <si>
    <t>Optimal offspring size in a small mammal: an exception to the tradeoff invariant life-history rule</t>
  </si>
  <si>
    <t>Oikos</t>
  </si>
  <si>
    <t>271-278</t>
  </si>
  <si>
    <t>Johnson, H. E., Mills, L. S., Stephenson, T. R. and Wehausen, J. D.</t>
  </si>
  <si>
    <t>Population-specific vital rate contributions influence management of an endangered ungulate</t>
  </si>
  <si>
    <t>Ecological Applications</t>
  </si>
  <si>
    <t>1753-1765</t>
  </si>
  <si>
    <t>Arroyo-Mora, J. P., Sanchez-Azofeifa, G. A., Rivard, B., Calvo, J. C. and Janzen, D. H.</t>
  </si>
  <si>
    <t>Dynamics in landscape structure and composition for the Chorotega region, Costa Rica from 1960 to 2000</t>
  </si>
  <si>
    <t>27-39</t>
  </si>
  <si>
    <t>Siano, R., Alves-de-Souza, C., Foulon, E., Bendif, E. M., Simon, N., Guillou, L. and Not, F.</t>
  </si>
  <si>
    <t>Distribution and host diversity of Amoebophryidae parasites across oligotrophic waters of the Mediterranean Sea</t>
  </si>
  <si>
    <t>267-278</t>
  </si>
  <si>
    <t>Sherratt, T. N. and Franks, D. W.</t>
  </si>
  <si>
    <t>Do unprofitable prey evolve traits that profitable prey find difficult to exploit?</t>
  </si>
  <si>
    <t>2441-2447</t>
  </si>
  <si>
    <t>Bina, O. and La Camera, F.</t>
  </si>
  <si>
    <t>Promise and shortcomings of a green turn in recent policy responses to the "double crisis"</t>
  </si>
  <si>
    <t>2308-2316</t>
  </si>
  <si>
    <t>Herenyi, M., Hegyi, G., Garamszegi, L. Z., Hargitai, R., Michl, G., Rosivall, B. and Torok, J.</t>
  </si>
  <si>
    <t>Lifetime offspring production in relation to breeding lifespan, attractiveness, and mating status in male collared flycatchers</t>
  </si>
  <si>
    <t>935-942</t>
  </si>
  <si>
    <t>Mangel, J. C., Alfaro-Shigueto, J., Van Waerebeek, K., Caceres, C., Bearhop, S., Witt, M. J. and Godley, B. J.</t>
  </si>
  <si>
    <t>Small cetacean captures in Peruvian artisanal fisheries: High despite protective legislation</t>
  </si>
  <si>
    <t>136-143</t>
  </si>
  <si>
    <t>Poyry, J., Luoto, M., Heikkinen, R. K., Kuussaari, M. and Saarinen, K.</t>
  </si>
  <si>
    <t>Species traits explain recent range shifts of Finnish butterflies</t>
  </si>
  <si>
    <t>732-743</t>
  </si>
  <si>
    <t>Rehfeldt, G. E., Crookston, N. L., Saenz-Romero, C. and Campbell, E. M.</t>
  </si>
  <si>
    <t>North American vegetation model for land-use planning in a changing climate: a solution to large classification problems</t>
  </si>
  <si>
    <t>119-141</t>
  </si>
  <si>
    <t>Hamilton, I. M., Haesler, M. P. and Taborsky, M.</t>
  </si>
  <si>
    <t>Predators, reproductive parasites, and the persistence of poor males on leks</t>
  </si>
  <si>
    <t>97-107</t>
  </si>
  <si>
    <t>Lang'at, J. K. S., Kirui, B. K. Y., Skov, M. W., Kairo, J. G., Mencuccini, M. and Huxham, M.</t>
  </si>
  <si>
    <t>Species mixing boosts root yield in mangrove trees</t>
  </si>
  <si>
    <t>Wehn, S.</t>
  </si>
  <si>
    <t>A map-based method for exploring responses to different levels of grazing pressure at the landscape scale</t>
  </si>
  <si>
    <t xml:space="preserve"> 1-3 </t>
  </si>
  <si>
    <t>177-181</t>
  </si>
  <si>
    <t>Eikenaar, C., Whitham, M., Komdeur, J., van der Velde, M. and Moore, I. T.</t>
  </si>
  <si>
    <t>Endogenous testosterone is not associated with the trade-off between paternal and mating effort</t>
  </si>
  <si>
    <t>601-608</t>
  </si>
  <si>
    <t>Majic, A. and Bath, A. J.</t>
  </si>
  <si>
    <t>Changes in attitudes toward wolves in Croatia</t>
  </si>
  <si>
    <t>255-260</t>
  </si>
  <si>
    <t>Peck, J. E. and Frelich, L. E.</t>
  </si>
  <si>
    <t>Moss harvest truncates the successional development of epiphytic bryophytes in the Pacific Northwest</t>
  </si>
  <si>
    <t>146-158</t>
  </si>
  <si>
    <t>Royle, N. J., Lindstrom, J. and Metcalfe, N. B.</t>
  </si>
  <si>
    <t>A poor start in life negatively affects dominance status in adulthood independent of body size in green swordtails Xiphophorus helleri</t>
  </si>
  <si>
    <t>1917-1922</t>
  </si>
  <si>
    <t>Kraemer, S. A. and Velicer, G. J.</t>
  </si>
  <si>
    <t>Social complementation and growth advantages promote socially defective bacterial isolates</t>
  </si>
  <si>
    <t>Vogel, J. G., Bond-Lamberty, B. P., Schuur, E. A. G., Gower, S. T., Mack, M. C., O'Connell, K. E. B., Valentine, D. W. and Ruess, R. W.</t>
  </si>
  <si>
    <t>Carbon allocation in boreal black spruce forests across regions varying in soil temperature and precipitation</t>
  </si>
  <si>
    <t>1503-1516</t>
  </si>
  <si>
    <t>Jousselin, E., Desdevises, Y. and Coeur d'Acier, A.</t>
  </si>
  <si>
    <t>Fine-scale cospeciation between Brachycaudus and Buchnera aphidicola: bacterial genome helps define species and evolutionary relationships in aphids</t>
  </si>
  <si>
    <t>187-196</t>
  </si>
  <si>
    <t>Bronstein, J. L.</t>
  </si>
  <si>
    <t>The evolution of facilitation and mutualism</t>
  </si>
  <si>
    <t>1160-1170</t>
  </si>
  <si>
    <t>Middleton, A. D., Morrison, T. A., Fortin, J. K., Robbins, C. T., Proffitt, K. M., White, P. J., McWhirter, D. E., Koel, T. M., Brimeyer, D. G., Fairbanks, W. S. and Kauffman, M. J.</t>
  </si>
  <si>
    <t>Grizzly bear predation links the loss of native trout to the demography of migratory elk in Yellowstone</t>
  </si>
  <si>
    <t>Brunner, A., Ammann, C., Neftel, A. and Spirig, C.</t>
  </si>
  <si>
    <t>Methanol exchange between grassland and the atmosphere</t>
  </si>
  <si>
    <t>395-410</t>
  </si>
  <si>
    <t>Hiraki, T., Takeuchi, A., Tsumaki, T., Zempo, B., Kanda, S., Oka, Y., Nagahama, Y. and Okubo, K.</t>
  </si>
  <si>
    <t>Female-specific target sites for both oestrogen and androgen in the teleost brain</t>
  </si>
  <si>
    <t>5014-5023</t>
  </si>
  <si>
    <t>Penuelas, J., Sardans, J., Rivas-Ubach, A. and Janssens, I. A.</t>
  </si>
  <si>
    <t>The human-induced imbalance between C, N and P in Earth's life system</t>
  </si>
  <si>
    <t>Manning, D. T. and Taylor, J. E.</t>
  </si>
  <si>
    <t>Migration and fuel use in rural Mexico</t>
  </si>
  <si>
    <t>126-136</t>
  </si>
  <si>
    <t>Perez, C., Munilla, I., Lopez-Alonso, M. and Velando, A.</t>
  </si>
  <si>
    <t>Sublethal effects on seabirds after the Prestige oil-spill are mirrored in sexual signals</t>
  </si>
  <si>
    <t>Biology Letters</t>
  </si>
  <si>
    <t>33-35</t>
  </si>
  <si>
    <t>Turesson, H. and Bronmark, C.</t>
  </si>
  <si>
    <t>Predator-prey encounter rates in freshwater piscivores: effects of prey density and water transparency</t>
  </si>
  <si>
    <t>281-290</t>
  </si>
  <si>
    <t>Hossain, M. F.</t>
  </si>
  <si>
    <t>Arsenic contamination in Bangladesh - An overview</t>
  </si>
  <si>
    <t xml:space="preserve"> 1-4 </t>
  </si>
  <si>
    <t>Morales, J. M. and Vazquez, D. P.</t>
  </si>
  <si>
    <t>The effect of space in plant-animal mutualistic networks: insights from a simulation study</t>
  </si>
  <si>
    <t>1362-1370</t>
  </si>
  <si>
    <t>Owen-Smith, N.</t>
  </si>
  <si>
    <t>Demographic determination of the shape of density dependence for three African ungulate populations</t>
  </si>
  <si>
    <t>Ecological Monographs</t>
  </si>
  <si>
    <t>93-109</t>
  </si>
  <si>
    <t>Peig, J. and Green, A. J.</t>
  </si>
  <si>
    <t>New perspectives for estimating body condition from mass/length data: the scaled mass index as an alternative method</t>
  </si>
  <si>
    <t>1883-1891</t>
  </si>
  <si>
    <t>Laird, K. R., Haig, H. A., Ma, S., Kingsbury, M. V., Brown, T. A., Lewis, C. F. M., Oglesby, R. J. and Cumming, B. F.</t>
  </si>
  <si>
    <t>Expanded spatial extent of the Medieval Climate Anomaly revealed in lake-sediment records across the boreal region in northwest Ontario</t>
  </si>
  <si>
    <t>2869-2881</t>
  </si>
  <si>
    <t>Gil-Sanchez, J. M., Moleon, M., Bautista, J. and Otero, M.</t>
  </si>
  <si>
    <t>Differential composition in the age of mates in Bonelli's eagle populations: The role of spatial scale, non-natural mortality reduction, and the age classes definition</t>
  </si>
  <si>
    <t>149-152</t>
  </si>
  <si>
    <t>Myers, J. A. and Kitajima, K.</t>
  </si>
  <si>
    <t>Carbohydrate storage enhances seedling shade and stress tolerance in a neotropical forest</t>
  </si>
  <si>
    <t>383-395</t>
  </si>
  <si>
    <t>Sulkava, R. T., Sulkava, P. O. and Sulkava, P. E.</t>
  </si>
  <si>
    <t>Source and sink dynamics of density-dependent otter (Lutra lutra) populations in rivers of central Finland</t>
  </si>
  <si>
    <t>579-588</t>
  </si>
  <si>
    <t>Mahurin, E. J. and Freeberg, T. M.</t>
  </si>
  <si>
    <t>Chick-a-dee call variation in Carolina chickadees and recruiting flockmates to food</t>
  </si>
  <si>
    <t>111-116</t>
  </si>
  <si>
    <t>Macreadie, P. I., Fowler, A. M. and Booth, D. J.</t>
  </si>
  <si>
    <t>Rigs-to-reefs: will the deep sea benefit from artificial habitat?</t>
  </si>
  <si>
    <t>Frontiers in Ecology and the Environment</t>
  </si>
  <si>
    <t>455-461</t>
  </si>
  <si>
    <t>Thum, R. A.</t>
  </si>
  <si>
    <t>Reproductive interference, priority effects and the maintenance of parapatry in Skistodiaptomus copepods</t>
  </si>
  <si>
    <t>759-768</t>
  </si>
  <si>
    <t>Jarnevich, C. S., Esaias, W. E., Ma, P. L. A., Morisette, J. T., Nickeson, J. E., Stohlgren, T. J., Holcombe, T. R., Nightingale, J. M., Wolfe, R. E. and Tan, B.</t>
  </si>
  <si>
    <t>Regional distribution models with lack of proximate predictors: Africanized honeybees expanding north</t>
  </si>
  <si>
    <t>193-201</t>
  </si>
  <si>
    <t>Deel, L.</t>
  </si>
  <si>
    <t>Woodpeckers dine out on EABs</t>
  </si>
  <si>
    <t>401-401</t>
  </si>
  <si>
    <t>Knaepkens, G., Bervoets, L., Verheyen, E. and Eens, M.</t>
  </si>
  <si>
    <t>Relationship between population size and genetic diversity in endangered populations of the European bullhead (Cottus gobio): implications for conservation</t>
  </si>
  <si>
    <t>403-410</t>
  </si>
  <si>
    <t>Senior, K.</t>
  </si>
  <si>
    <t>China in trouble over illegal timber</t>
  </si>
  <si>
    <t>176-176</t>
  </si>
  <si>
    <t>Filipe, A. F., Markovic, D., Pletterbauer, F., Tisseuil, C., De Wever, A., Schmutz, S., Bonada, N. and Freyhof, O.</t>
  </si>
  <si>
    <t>Forecasting fish distribution along stream networks: brown trout (Salmo trutta) in Europe</t>
  </si>
  <si>
    <t>1059-1071</t>
  </si>
  <si>
    <t>Cerrato, R. M., LoCicero, P. V. and Goodbred, S. L.</t>
  </si>
  <si>
    <t>Response of mollusc assemblages to climate variability and anthropogenic activities: a 4000-year record from a shallow bar-built lagoon system</t>
  </si>
  <si>
    <t>3024-3036</t>
  </si>
  <si>
    <t>Mehner, T., Holker, F. and Kasprzak, P.</t>
  </si>
  <si>
    <t>Spatial and temporal heterogeneity of trophic variables in a deep lake as reflected by repeated singular samplings</t>
  </si>
  <si>
    <t>401-409</t>
  </si>
  <si>
    <t>Hamilton, A. J., Basset, Y., Benke, K. K., Grimbacher, P. S., Miller, S. E., Novotny, V., Samuelson, G. A., Stork, N. E., Weiblen, G. D. and Yen, J. D. L.</t>
  </si>
  <si>
    <t>Quantifying uncertainty in estimation of tropical arthropod species richness (vol 176, pg 90, 2010)</t>
  </si>
  <si>
    <t>544-545</t>
  </si>
  <si>
    <t>Schmerler, S. B., Clement, W. L., Beaulieu, J. M., Chatelet, D. S., Sack, L., Donoghue, M. J. and Edwards, E. J.</t>
  </si>
  <si>
    <t>Evolution of leaf form correlates with tropical-temperate transitions in Viburnum (Adoxaceae)</t>
  </si>
  <si>
    <t>3905-3913</t>
  </si>
  <si>
    <t>Bonisoli-Alquati, A., Boncoraglio, G., Caprioli, M. and Saino, N.</t>
  </si>
  <si>
    <t>Birth order, individual sex and sex of competitors determine the outcome of conflict among siblings over parental care</t>
  </si>
  <si>
    <t>1273-1279</t>
  </si>
  <si>
    <t>de Mendonca, M. J. C., Diaz, M. D. V., Nepstad, D., da Motta, R. S., Alencar, A., Gomes, J. C. and Ortiz, R. A.</t>
  </si>
  <si>
    <t>The economic cost of the use of fire in the Amazon</t>
  </si>
  <si>
    <t>89-105</t>
  </si>
  <si>
    <t>Gedir, J. V. and Michener, G. R.</t>
  </si>
  <si>
    <t>Litter sex ratios in Richardson's ground squirrels: long-term data support random sex allocation and homeostasis</t>
  </si>
  <si>
    <t>1225-1239</t>
  </si>
  <si>
    <t>Wenger, S. J.</t>
  </si>
  <si>
    <t>Use of Surrogates to Predict the Stressor Response of Imperiled Species</t>
  </si>
  <si>
    <t>Conservation Biology</t>
  </si>
  <si>
    <t>1564-1571</t>
  </si>
  <si>
    <t>Szabo, Z.</t>
  </si>
  <si>
    <t>Reducing protest responses by deliberative monetary valuation: Improving the validity of biodiversity valuation</t>
  </si>
  <si>
    <t>37-44</t>
  </si>
  <si>
    <t>White, D. J., King, A. P., West, M. J., Gros-Louis, J. and Tuttle, E. M.</t>
  </si>
  <si>
    <t>Effects of singing on copulation success and egg production in brown-headed cowbirds, Molothrus ater</t>
  </si>
  <si>
    <t>211-218</t>
  </si>
  <si>
    <t>Wu, C. Y., Chen, J. M., Black, T. A., Price, D. T., Kurz, W. A., Desai, A. R., Gonsamo, A., Jassal, R. S., Gough, C. M., Bohrer, G., Dragoni, D., Herbst, M., Gielen, B., Berninger, F., Vesala, T., Mammarella, I., Pilegaard, K. and Blanken, P. D.</t>
  </si>
  <si>
    <t>Interannual variability of net ecosystem productivity in forests is explained by carbon flux phenology in autumn</t>
  </si>
  <si>
    <t>Global Ecology and Biogeography</t>
  </si>
  <si>
    <t>994-1006</t>
  </si>
  <si>
    <t>Bugnyar, T., Stowe, M. and Heinrich, B.</t>
  </si>
  <si>
    <t>Ravens, Corvus corax, follow gaze direction of humans around obstacles</t>
  </si>
  <si>
    <t>1331-1336</t>
  </si>
  <si>
    <t>Phelps, S. M., Rand, A. S. and Ryan, M. J.</t>
  </si>
  <si>
    <t>A cognitive framework for mate choice and species recognition</t>
  </si>
  <si>
    <t>28-42</t>
  </si>
  <si>
    <t>Close, J.</t>
  </si>
  <si>
    <t>Are stress responses to geomagnetic storms mediated by the cryptochrome compass system?</t>
  </si>
  <si>
    <t>2081-2090</t>
  </si>
  <si>
    <t>Caplat, P., Lepart, J. and Marty, P.</t>
  </si>
  <si>
    <t>Landscape patterns and agriculture: modelling the long-term effects of human practices on Pinus sylvestris spatial dynamics (Causse Mejean, France)</t>
  </si>
  <si>
    <t>Landscape Ecology</t>
  </si>
  <si>
    <t>657-670</t>
  </si>
  <si>
    <t>Jeppesen, E., Sondergaard, M., Pedersen, A. R., Jurgens, K., Strzelczak, A., Lauridsen, T. L. and Johansson, L. S.</t>
  </si>
  <si>
    <t>Salinity induced regime shift in shallow brackish lagoons</t>
  </si>
  <si>
    <t>47-57</t>
  </si>
  <si>
    <t>Muukkonen, P., Hartikainen, H., Lahti, K., Sarkela, A., Puustinen, M. and Alakukku, L.</t>
  </si>
  <si>
    <t>Influence of no-tillage on the distribution and lability of phosphorus in Finnish clay soils</t>
  </si>
  <si>
    <t xml:space="preserve"> 2-4 </t>
  </si>
  <si>
    <t>299-306</t>
  </si>
  <si>
    <t>Wei, Y. P., Davidson, B., Chen, D. L. and White, R.</t>
  </si>
  <si>
    <t>Balancing the economic, social and environmental dimensions of agro-ecosystems: An integrated modeling approach</t>
  </si>
  <si>
    <t xml:space="preserve"> 3-4 </t>
  </si>
  <si>
    <t>263-273</t>
  </si>
  <si>
    <t>Pickup, M., Field, D. L., Rowell, D. M. and Young, A. G.</t>
  </si>
  <si>
    <t>Source population characteristics affect heterosis following genetic rescue of fragmented plant populations</t>
  </si>
  <si>
    <t>Burton, A.</t>
  </si>
  <si>
    <t>Wordsworth frostbitten</t>
  </si>
  <si>
    <t>560-560</t>
  </si>
  <si>
    <t>Martinez-Vilalta, J., Lloret, F. and Breshears, D. D.</t>
  </si>
  <si>
    <t>Drought-induced forest decline: causes, scope and implications</t>
  </si>
  <si>
    <t>689-691</t>
  </si>
  <si>
    <t>Oksanen, L.</t>
  </si>
  <si>
    <t>The devil lies in details: reply to Stuart Hurlbert</t>
  </si>
  <si>
    <t>598-605</t>
  </si>
  <si>
    <t>Ma, S. and Swinton, S. M.</t>
  </si>
  <si>
    <t>Valuation of ecosystem services from rural landscapes using agricultural land prices</t>
  </si>
  <si>
    <t>1649-1659</t>
  </si>
  <si>
    <t>Huang, W. S.</t>
  </si>
  <si>
    <t>Predation risk of whole-clutch filial cannibalism in a tropical skink with maternal care</t>
  </si>
  <si>
    <t>1069-1074</t>
  </si>
  <si>
    <t>Zelenitsky, D. K., Therrien, F. and Kobayashi, Y.</t>
  </si>
  <si>
    <t>Olfactory acuity in theropods: palaeobiological and evolutionary implications</t>
  </si>
  <si>
    <t>667-673</t>
  </si>
  <si>
    <t>Berg, M. P., Kiers, E. T., Driessen, G., van der Heijden, M., Kooi, B. W., Kuenen, F., Liefting, M., Verhoef, H. A. and Ellers, J.</t>
  </si>
  <si>
    <t>Adapt or disperse: understanding species persistence in a changing world</t>
  </si>
  <si>
    <t>587-598</t>
  </si>
  <si>
    <t>Vermeij, M. J. A., van der Heijden, R. A., Olthuis, J. G., Marhaver, K. L., Smith, J. E. and Visser, P. M.</t>
  </si>
  <si>
    <t>Survival and dispersal of turf algae and macroalgae consumed by herbivorous coral reef fishes</t>
  </si>
  <si>
    <t>417-425</t>
  </si>
  <si>
    <t>Jones, G. and Holderied, M. W.</t>
  </si>
  <si>
    <t>Bat echolocation calls: adaptation and convergent evolution</t>
  </si>
  <si>
    <t>905-912</t>
  </si>
  <si>
    <t>Reader, H. E. and Miller, W. L.</t>
  </si>
  <si>
    <t>Variability of carbon monoxide and carbon dioxide apparent quantum yield spectra in three coastal estuaries of the South Atlantic Bight</t>
  </si>
  <si>
    <t>4279-4294</t>
  </si>
  <si>
    <t>Williams, A. P., Still, C. J., Fischer, D. T. and Leavitt, S. W.</t>
  </si>
  <si>
    <t>The influence of summertime fog and overcast clouds on the growth of a coastal Californian pine: a tree-ring study</t>
  </si>
  <si>
    <t>601-611</t>
  </si>
  <si>
    <t>Fela, J.</t>
  </si>
  <si>
    <t>Ecuador's innovation for conservation</t>
  </si>
  <si>
    <t>228-228</t>
  </si>
  <si>
    <t>Van Wilgen, B. W., Govender, N., Biggs, H. C., Ntsala, D. and Funda, X. N.</t>
  </si>
  <si>
    <t>Response of Savanna fire regimes to changing fire-management policies in a large African National Park</t>
  </si>
  <si>
    <t>1533-1540</t>
  </si>
  <si>
    <t>Maxwell, S. K., Wood, E. C. and Janus, A.</t>
  </si>
  <si>
    <t>Comparison of the USGS 2001 NLCD to the 2002 USDA Census of Agriculture for the Upper Midwest United States</t>
  </si>
  <si>
    <t xml:space="preserve"> 1-2 </t>
  </si>
  <si>
    <t>141-145</t>
  </si>
  <si>
    <t>Greve, M., Gaston, K. J., van Rensburg, B. J. and Chown, S. L.</t>
  </si>
  <si>
    <t>Environmental factors, regional body size distributions and spatial variation in body size of local avian assemblages</t>
  </si>
  <si>
    <t>514-523</t>
  </si>
  <si>
    <t>Kopp, K. and Jokela, J.</t>
  </si>
  <si>
    <t>Resistant invaders can convey benefits to native species</t>
  </si>
  <si>
    <t>295-301</t>
  </si>
  <si>
    <t>Jones, C. M. and Healy, S. D.</t>
  </si>
  <si>
    <t>Differences in cue use and spatial memory in men and women</t>
  </si>
  <si>
    <t>2241-2247</t>
  </si>
  <si>
    <t>Rooney, N., McCann, K. S. and Moore, J. C.</t>
  </si>
  <si>
    <t>A landscape theory for food web architecture</t>
  </si>
  <si>
    <t>Ecology Letters</t>
  </si>
  <si>
    <t>867-881</t>
  </si>
  <si>
    <t>Kearney, M. and Porter, W.</t>
  </si>
  <si>
    <t>Mechanistic niche modelling: combining physiological and spatial data to predict species' ranges</t>
  </si>
  <si>
    <t>334-350</t>
  </si>
  <si>
    <t>Moore, T. R., De Young, A., Bubier, J. L., Humphreys, E. R., Lafleur, P. M. and Roulet, N. T.</t>
  </si>
  <si>
    <t>A Multi-Year Record of Methane Flux at the Mer Bleue Bog, Southern Canada</t>
  </si>
  <si>
    <t>646-657</t>
  </si>
  <si>
    <t>Becken, S. and Simmons, D.</t>
  </si>
  <si>
    <t>Using the concept of yield to assess the sustainability of different tourist types</t>
  </si>
  <si>
    <t>420-429</t>
  </si>
  <si>
    <t>Lee, S. L., Ng, K. K. S., Saw, L. G., Lee, C. T., Muhammad, N., Tani, N., Tsumura, Y. and Koskela, J.</t>
  </si>
  <si>
    <t>Linking the gaps between conservation research and conservation management of rare dipterocarps: A case study of Shorea lumutensis</t>
  </si>
  <si>
    <t>72-92</t>
  </si>
  <si>
    <t>Hice, L. A., Duffy, T. A., Munch, S. B. and Conover, D. O.</t>
  </si>
  <si>
    <t>Spatial scale and divergent patterns of variation in adapted traits in the ocean</t>
  </si>
  <si>
    <t>568-575</t>
  </si>
  <si>
    <t>Jiang, H., Deng, Q., Zhou, G., Hui, D., Zhang, D., Liu, S., Chu, G. and Li, J.</t>
  </si>
  <si>
    <t>Responses of soil respiration and its temperature/moisture sensitivity to precipitation in three subtropical forests in southern China</t>
  </si>
  <si>
    <t>3963-3982</t>
  </si>
  <si>
    <t>Cottingham, K. L., Lennon, J. T. and Brown, B. L.</t>
  </si>
  <si>
    <t>Knowing when to draw the line: designing more informative ecological experiments</t>
  </si>
  <si>
    <t>145-152</t>
  </si>
  <si>
    <t>Paine, R. T. and Comm, A. E.</t>
  </si>
  <si>
    <t>American Society of Naturalists Honorary Lifetime Membership Awards</t>
  </si>
  <si>
    <t>Ii-Iii</t>
  </si>
  <si>
    <t>Glover, A. G., Wiklund, H., Taboada, S., Avila, C., Cristobo, J., Smith, C. R., Kemp, K. M., Jamieson, A. J. and Dahlgren, T. G.</t>
  </si>
  <si>
    <t>Bone-eating worms from the Antarctic: the contrasting fate of whale and wood remains on the Southern Ocean seafloor</t>
  </si>
  <si>
    <t>Geedey, C. K. and Dudycha, J. L.</t>
  </si>
  <si>
    <t>The stats guy</t>
  </si>
  <si>
    <t>49-50</t>
  </si>
  <si>
    <t>Pino-Del-Carpio, A., Arino, A. H., Villarroya, A., Puig, J. and Miranda, R.</t>
  </si>
  <si>
    <t>The biodiversity data knowledge gap: Assessing information loss in the management of Biosphere Reserves</t>
  </si>
  <si>
    <t>74-79</t>
  </si>
  <si>
    <t>Jenouvrier, S., Barbraud, C., Cazelles, B. and Weimerskirch, H.</t>
  </si>
  <si>
    <t>Modelling population dynamics of seabirds: importance of the effects of climate fluctuations on breeding proportions</t>
  </si>
  <si>
    <t>511-522</t>
  </si>
  <si>
    <t>Kluen, E. and Brommer, J. E.</t>
  </si>
  <si>
    <t>Context-specific repeatability of personality traits in a wild bird: a reaction-norm perspective</t>
  </si>
  <si>
    <t>650-658</t>
  </si>
  <si>
    <t>Lebreton, J. D., Nichols, J. D., Barker, R. J., Pradel, R. and Spendelow, J. A.</t>
  </si>
  <si>
    <t>Modeling Individual Animal Histories with Multistate Capture-Recapture Models</t>
  </si>
  <si>
    <t>Advances in Ecological Research, Vol 41</t>
  </si>
  <si>
    <t>87-173</t>
  </si>
  <si>
    <t>Connor, K., Schaefer, G., Donahoo, J., Devall, M., Gardiner, E., Hawkins, T., Wilson, D., Schiff, N., Hamel, P. and Leininger, T.</t>
  </si>
  <si>
    <t>Development, fatty acid composition, and storage of drupes and seeds from the endangered pondberry (Lindeya melissifolia)</t>
  </si>
  <si>
    <t>489-496</t>
  </si>
  <si>
    <t>Retana, J., Pico, F. X. and Rodrigo, A.</t>
  </si>
  <si>
    <t>Dual role of harvesting ants as seed predators and dispersers of a non-myrmechorous Mediterranean perennial herb</t>
  </si>
  <si>
    <t>377-385</t>
  </si>
  <si>
    <t>Bernard-Verdier, M., Navas, M. L., Vellend, M., Violle, C., Fayolle, A. and Garnier, E.</t>
  </si>
  <si>
    <t>Community assembly along a soil depth gradient: contrasting patterns of plant trait convergence and divergence in a Mediterranean rangeland</t>
  </si>
  <si>
    <t>1422-1433</t>
  </si>
  <si>
    <t>Eilertsen, E. M., Bardsen, B. J., Liljedal, S., Rudolfsen, G. and Folstad, I.</t>
  </si>
  <si>
    <t>Experimental evidence for paternal effects on offspring growth rate in Arctic charr (Salvelinus alpinus)</t>
  </si>
  <si>
    <t>129-136</t>
  </si>
  <si>
    <t>De Ornellas, P., Milner-Gulland, E. J. and Nicholson, E.</t>
  </si>
  <si>
    <t>The impact of data realities on conservation planning</t>
  </si>
  <si>
    <t>1980-1988</t>
  </si>
  <si>
    <t>Parlato, E. H. and Armstrong, D. P.</t>
  </si>
  <si>
    <t>Predicting post-release establishment using data from multiple reintroductions</t>
  </si>
  <si>
    <t>97-104</t>
  </si>
  <si>
    <t>Szymkowiak, J., Skierczynski, M. and Kuczynski, L.</t>
  </si>
  <si>
    <t>Are buntings good indicators of agricultural intensity?</t>
  </si>
  <si>
    <t>192-197</t>
  </si>
  <si>
    <t>Yoshioka, S. and Kinoshita, S.</t>
  </si>
  <si>
    <t>Wavelength-selective and anisotropic light-diffusing scale on the wing of the Morpho butterfly</t>
  </si>
  <si>
    <t>581-587</t>
  </si>
  <si>
    <t>Trichard, A., Ricci, B., Ducourtieux, C. and Petit, S.</t>
  </si>
  <si>
    <t>The spatio-temporal distribution of weed seed predation differs between conservation agriculture and conventional tillage</t>
  </si>
  <si>
    <t>40-47</t>
  </si>
  <si>
    <t>Kattan, G. H. and Franco, P.</t>
  </si>
  <si>
    <t>Bird diversity along elevational gradients in the Andes of Colombia: area and mass effects</t>
  </si>
  <si>
    <t>451-458</t>
  </si>
  <si>
    <t>Vale, P. F., Wilson, A. J., Best, A., Boots, M. and Little, T. J.</t>
  </si>
  <si>
    <t>Epidemiological, Evolutionary, and Coevolutionary Implications of Context-Dependent Parasitism</t>
  </si>
  <si>
    <t>510-521</t>
  </si>
  <si>
    <t>Nussey, D. H., Kruuk, L. E. B., Morris, A., Clements, M. N., Pemberton, J. M. and Clutton-Brock, T. H.</t>
  </si>
  <si>
    <t>Inter- and Intrasexual Variation in Aging Patterns across Reproductive Traits in a Wild Red Deer Population</t>
  </si>
  <si>
    <t>342-357</t>
  </si>
  <si>
    <t>Henry, H. A. L., Brizgys, K. and Field, C. B.</t>
  </si>
  <si>
    <t>Litter decomposition in a california annual grassland: Interactions between photodegradation and litter layer thickness</t>
  </si>
  <si>
    <t>545-554</t>
  </si>
  <si>
    <t>Berg, A., Ahrne, K., Ockinger, E., Svensson, R. and Soderstrom, B.</t>
  </si>
  <si>
    <t>Butterfly distribution and abundance is affected by variation in the Swedish forest-farmland landscape</t>
  </si>
  <si>
    <t>2819-2831</t>
  </si>
  <si>
    <t>Wu, D. X., Wang, G. X., Bai, Y. F. and Liao, J. X.</t>
  </si>
  <si>
    <t>Effects of elevated CO2 concentration on growth, water use, yield and grain quality of wheat under two soil water levels</t>
  </si>
  <si>
    <t>493-507</t>
  </si>
  <si>
    <t>Miller, C.</t>
  </si>
  <si>
    <t>New climate partnership makes little difference</t>
  </si>
  <si>
    <t>60-60</t>
  </si>
  <si>
    <t>Schmidt, V., Schaefer, H. M. and Winkler, H.</t>
  </si>
  <si>
    <t>Conspicuousness, not colour as foraging cue in plant-animal signalling</t>
  </si>
  <si>
    <t>551-557</t>
  </si>
  <si>
    <t>Rowhani, P., Lepczyk, C. A., Linderman, M. A., Pidgeon, A. M., Radeloff, V. C., Culbert, P. D. and Lambin, E. F.</t>
  </si>
  <si>
    <t>Variability in energy influences avian distribution patterns across the USA</t>
  </si>
  <si>
    <t>854-867</t>
  </si>
  <si>
    <t>Clifford, D. L., Mazet, J. A. K., Dubovi, E. J., Garcelon, D. K., Coonan, T. J., Conrad, P. A. and Munson, L.</t>
  </si>
  <si>
    <t>Pathogen exposure in endangered island fox (Urocyon littoralis) populations: Implications for conservation management</t>
  </si>
  <si>
    <t>230-243</t>
  </si>
  <si>
    <t>Channon, A. J., Usherwood, J. R., Crompton, R. H., Gunther, M. M. and Vereecke, E. E.</t>
  </si>
  <si>
    <t>The extraordinary athletic performance of leaping gibbons</t>
  </si>
  <si>
    <t>46-49</t>
  </si>
  <si>
    <t>Cornell, S. J., Isham, V. S. and Grenfell, B. T.</t>
  </si>
  <si>
    <t>Stochastic and spatial dynamics of nematode parasites in farmed ruminants</t>
  </si>
  <si>
    <t>1243-1250</t>
  </si>
  <si>
    <t>Critchley, C. N. R., Fowbert, J. A. and Sherwood, A. J.</t>
  </si>
  <si>
    <t>The effects of annual cultivation on plant community composition of uncropped arable field boundary strips</t>
  </si>
  <si>
    <t>196-205</t>
  </si>
  <si>
    <t>Smith, W. N., Grant, B. B., Desjardins, R. L., Kroebel, R., Li, C., Qian, B., Worth, D. E., McConkey, B. G. and Drury, C. F.</t>
  </si>
  <si>
    <t>Assessing the effects of climate change on crop production and GHG emissions in Canada</t>
  </si>
  <si>
    <t>139-150</t>
  </si>
  <si>
    <t>Polishchuk, L. V. and Vijverberg, J.</t>
  </si>
  <si>
    <t>Contribution analysis of body mass dynamics in Daphnia (vol 144, pg 268, 2005)</t>
  </si>
  <si>
    <t>671-671</t>
  </si>
  <si>
    <t>Shaw, J. C., Korzan, W. J., Carpenter, R. E., Kuris, A. M., Lafferty, K. D., Summers, C. H. and Overli, O.</t>
  </si>
  <si>
    <t>Parasite manipulation of brain monoamines in California killifish (Fundulus parvipinnis) by the trematode Euhaplorchis californiensis</t>
  </si>
  <si>
    <t>1137-1146</t>
  </si>
  <si>
    <t>Watson, D. M. and Tack, E. J.</t>
  </si>
  <si>
    <t>Vocal diversity patterns</t>
  </si>
  <si>
    <t>406-406</t>
  </si>
  <si>
    <t>Karban, R.</t>
  </si>
  <si>
    <t>Experimental clipping of sagebrush inhibits seed germination of neighbours</t>
  </si>
  <si>
    <t>791-797</t>
  </si>
  <si>
    <t>Brenes-Arguedas, T. and Coley, P. D.</t>
  </si>
  <si>
    <t>Phenotypic variation and spatial structure of secondary chemistry in a natural population of a tropical tree species</t>
  </si>
  <si>
    <t>410-420</t>
  </si>
  <si>
    <t>Wakita, M., Watanabe, S., Honda, M., Nagano, A., Kimoto, K., Matsumoto, K., Kitamura, M., Sasaki, K., Kawakami, H., Fujiki, T., Sasaoka, K., Nakano, Y. and Murata, A.</t>
  </si>
  <si>
    <t>Ocean acidification from 1997 to 2011 in the subarctic western North Pacific Ocean</t>
  </si>
  <si>
    <t>7817-7827</t>
  </si>
  <si>
    <t>Casey, J. F., Kahn, J. R. and Rivas, A. A. F.</t>
  </si>
  <si>
    <t>Willingness to accept compensation for the environmental risks of oil transport on the Amazon: A choice modeling experiment</t>
  </si>
  <si>
    <t>552-559</t>
  </si>
  <si>
    <t>Kraus, C., Mueller, B., Meise, K., Piedrahita, P., Porschmann, U. and Trillmich, F.</t>
  </si>
  <si>
    <t>Mama's boy: sex differences in juvenile survival in a highly dimorphic large mammal, the Galapagos sea lion</t>
  </si>
  <si>
    <t>893-903</t>
  </si>
  <si>
    <t>Halpern, C. B., Halaj, J., Evans, S. A. and Dovciak, M.</t>
  </si>
  <si>
    <t>Level and pattern of overstory retention interact to shape long-term responses of understories to timber harvest</t>
  </si>
  <si>
    <t>2049-2064</t>
  </si>
  <si>
    <t>Alonzo, S. H.</t>
  </si>
  <si>
    <t>Sexual selection favours male parental care, when females can choose</t>
  </si>
  <si>
    <t>1784-1790</t>
  </si>
  <si>
    <t>Aragon, C. F., Escudero, A. and Valladares, F.</t>
  </si>
  <si>
    <t>Stress-induced dynamic adjustments of reproduction differentially affect fitness components of a semi-arid plant</t>
  </si>
  <si>
    <t>222-229</t>
  </si>
  <si>
    <t>Chen, H. H., Li, X. C., Hu, F. and Shi, W.</t>
  </si>
  <si>
    <t>Soil nitrous oxide emissions following crop residue addition: a meta-analysis</t>
  </si>
  <si>
    <t>2956-2964</t>
  </si>
  <si>
    <t>Vezza, P., Parasiewicz, P., Spairani, M. and Comoglio, C.</t>
  </si>
  <si>
    <t>Habitat modeling in high-gradient streams: the mesoscale approach and application</t>
  </si>
  <si>
    <t>844-861</t>
  </si>
  <si>
    <t>Levin</t>
  </si>
  <si>
    <t>Multiple Lineages of Avian Malaria Parasites (Plasmodium) in the Galapagos Islands and Evidence for Arrival via Migratory Birds (vol 27, pg 1366, 2013)</t>
  </si>
  <si>
    <t>298-298</t>
  </si>
  <si>
    <t>Hansen, R. D. E., Trees, A. J., Bah, G. S., Hetzel, U., Martin, C., Bain, O., Tanya, V. N. and Makepeace, B. L.</t>
  </si>
  <si>
    <t>A worm's best friend: recruitment of neutrophils by Wolbachia confounds eosinophil degranulation against the filarial nematode Onchocerca ochengi</t>
  </si>
  <si>
    <t>2293-2302</t>
  </si>
  <si>
    <t>Hawkes, C. V., Wren, I. F., Herman, D. J. and Firestone, M. K.</t>
  </si>
  <si>
    <t>Plant invasion alters nitrogen cycling by modifying the soil nitrifying community</t>
  </si>
  <si>
    <t>976-985</t>
  </si>
  <si>
    <t>Xiao, S., Zobel, M., Szava-Kovats, R. and Partel, M.</t>
  </si>
  <si>
    <t>The effects of species pool, dispersal and competition on the diversity-productivity relationship</t>
  </si>
  <si>
    <t>343-351</t>
  </si>
  <si>
    <t>Immler, S. and Otto, S. P.</t>
  </si>
  <si>
    <t>Driven Apart: The Evolution of Ploidy Differences between the Sexes under Antagonistic Selection</t>
  </si>
  <si>
    <t>96-107</t>
  </si>
  <si>
    <t>Taylor, E. N., Malawy, M. A., Browning, D. M., Lemar, S. V. and DeNardo, D. F.</t>
  </si>
  <si>
    <t>Effects of food supplementation on the physiological ecology of female Western diamond-backed rattlesnakes (Crotalus atrox)</t>
  </si>
  <si>
    <t>206-213</t>
  </si>
  <si>
    <t>Shanahan, D. F., Miller, C., Possingham, H. P. and Fuller, R. A.</t>
  </si>
  <si>
    <t>The influence of patch area and connectivity on avian communities in urban revegetation</t>
  </si>
  <si>
    <t>722-729</t>
  </si>
  <si>
    <t>Hudiburg, T., Law, B., Turner, D. P., Campbell, J., Donato, D. C. and Duane, M.</t>
  </si>
  <si>
    <t>Carbon dynamics of Oregon and Northern California forests and potential land-based carbon storage</t>
  </si>
  <si>
    <t>163-180</t>
  </si>
  <si>
    <t>Cramer, J. M., Mesquita, R. C. G. and Williamson, G. B.</t>
  </si>
  <si>
    <t>Forest fragmentation differentially affects seed dispersal of large and small-seeded tropical trees</t>
  </si>
  <si>
    <t>415-423</t>
  </si>
  <si>
    <t>Kerr, J. T., Perring, M. and Currie, D. J.</t>
  </si>
  <si>
    <t>The missing Madagascan mid-domain effect</t>
  </si>
  <si>
    <t>149-159</t>
  </si>
  <si>
    <t>Wintle, B. A., Bekessy, S. A., Venier, L. A., Pearce, J. L. and Chisholm, R. A.</t>
  </si>
  <si>
    <t>Utility of dynamic-landscape metapopulation models for sustainable forest management</t>
  </si>
  <si>
    <t>1930-1943</t>
  </si>
  <si>
    <t>Monteiro, T., Vasconcelos, M. and Kacelnik, A.</t>
  </si>
  <si>
    <t>Starlings uphold principles of economic rationality for delay and probability of reward</t>
  </si>
  <si>
    <t>Byers, B. E.</t>
  </si>
  <si>
    <t>Extrapair paternity in chestnut-sided warblers is correlated with consistent vocal performance</t>
  </si>
  <si>
    <t>130-136</t>
  </si>
  <si>
    <t>Pysek, P., Jarosik, V., Mullerova, J., Pergl, J. and Wild, J.</t>
  </si>
  <si>
    <t>Comparing the rate of invasion by Heracleum mantegazzianum at continental, regional, and local scales</t>
  </si>
  <si>
    <t>Teste, F. P., Simard, S. W., Durall, D. M., Guy, R. D. and Berch, S. M.</t>
  </si>
  <si>
    <t>Net carbon transfer between Pseudotsuga menziesii var. glauca seedlings in the field is influenced by soil disturbance</t>
  </si>
  <si>
    <t>429-439</t>
  </si>
  <si>
    <t>Giffard, B., Corcket, E., Barbaro, L. and Jactel, H.</t>
  </si>
  <si>
    <t>Bird predation enhances tree seedling resistance to insect herbivores in contrasting forest habitats</t>
  </si>
  <si>
    <t>415-424</t>
  </si>
  <si>
    <t>Marquard, E., Weigelt, A., Roscher, C., Gubsch, M., Lipowsky, A. and Schmid, B.</t>
  </si>
  <si>
    <t>Positive biodiversity-productivity relationship due to increased plant density</t>
  </si>
  <si>
    <t>696-704</t>
  </si>
  <si>
    <t>Eriksson, S. and Skanes, H.</t>
  </si>
  <si>
    <t>Addressing semantics and historical data heterogeneities in cross-temporal landscape analyses</t>
  </si>
  <si>
    <t>516-521</t>
  </si>
  <si>
    <t>Knight, A. T., Grantham, H. S., Smith, R. J., McGregor, G. K., Possingham, H. P. and Cowling, R. M.</t>
  </si>
  <si>
    <t>Land managers' willingness-to-sell defines conservation opportunity for protected area expansion</t>
  </si>
  <si>
    <t>2623-2630</t>
  </si>
  <si>
    <t>Burgess, S. C., Osborne, K. and Caley, M. J.</t>
  </si>
  <si>
    <t>Similar regional effects among local habitats on the structure of tropical reef fish and coral communities</t>
  </si>
  <si>
    <t>363-375</t>
  </si>
  <si>
    <t>Foley, C., Pettorelli, N. and Foley, L.</t>
  </si>
  <si>
    <t>Severe drought and calf survival in elephants</t>
  </si>
  <si>
    <t>541-544</t>
  </si>
  <si>
    <t>Olsson, O. and Brown, J. S.</t>
  </si>
  <si>
    <t>Smart, smarter, smartest: foraging information states and coexistence</t>
  </si>
  <si>
    <t>292-303</t>
  </si>
  <si>
    <t>Mazor, T., Possingham, H. P. and Kark, S.</t>
  </si>
  <si>
    <t>Collaboration among countries in marine conservation can achieve substantial efficiencies</t>
  </si>
  <si>
    <t>1380-1393</t>
  </si>
  <si>
    <t>Pringault, O., Tassas, V. and Rochelle-Newall, E.</t>
  </si>
  <si>
    <t>Consequences of respiration in the light on the determination of production in pelagic systems</t>
  </si>
  <si>
    <t>105-114</t>
  </si>
  <si>
    <t>Kimirei, I. A., Nagelkerken, I., Trommelen, M., Blankers, P., van Hoytema, N., Hoeijmakers, D., Huijbers, C. M., Mgaya, Y. D. and Rypel, A. L.</t>
  </si>
  <si>
    <t>What Drives Ontogenetic Niche Shifts of Fishes in Coral Reef Ecosystems?</t>
  </si>
  <si>
    <t>783-796</t>
  </si>
  <si>
    <t>Edwards, F. N. and Gibeau, M. L.</t>
  </si>
  <si>
    <t>Engaging People in Meaningful Problem Solving</t>
  </si>
  <si>
    <t>239-241</t>
  </si>
  <si>
    <t>Proffitt, W. T.</t>
  </si>
  <si>
    <t>Legitimacy and adoption of a scientific biological control program: an institutional analysis of Hoddle</t>
  </si>
  <si>
    <t>58-60</t>
  </si>
  <si>
    <t>Bischof, R., Loe, L. E., Meisingset, E. L., Zimmermann, B., Van Moorter, B. and Mysterud, A.</t>
  </si>
  <si>
    <t>A Migratory Northern Ungulate in the Pursuit of Spring: Jumping or Surfing the Green Wave?</t>
  </si>
  <si>
    <t>407-424</t>
  </si>
  <si>
    <t>Moran, V. C., Hoffmann, J. H. and Zimmermann, H. G.</t>
  </si>
  <si>
    <t>Biological control of invasive alien plants in South Africa: necessity, circumspection, and success</t>
  </si>
  <si>
    <t>77-83</t>
  </si>
  <si>
    <t>Jazdzewski, K., Konopacka, A. and Grabowski, M.</t>
  </si>
  <si>
    <t>Recent drastic changes in the gammarid fauna (Crustacea, Amphipoda) of the Vistula River deltaic system in Poland caused by alien invaders</t>
  </si>
  <si>
    <t>81-87</t>
  </si>
  <si>
    <t>Hemery, G., D'Amico, F., Castege, I., Dupont, B., D'Elbee, J., Lalanne, Y. and Mouches, C.</t>
  </si>
  <si>
    <t>Detecting the impact of oceano-climatic changes on marine ecosystems using a multivariate index: The case of the Bay of Biscay (North Atlantic-European Ocean)</t>
  </si>
  <si>
    <t>27-38</t>
  </si>
  <si>
    <t>Buckley, R.</t>
  </si>
  <si>
    <t>Next steps in recreation ecology</t>
  </si>
  <si>
    <t>399-399</t>
  </si>
  <si>
    <t>Kittle, A. M., Fryxell, J. M., Desy, G. E. and Hamr, J.</t>
  </si>
  <si>
    <t>The scale-dependent impact of wolf predation risk on resource selection by three sympatric ungulates</t>
  </si>
  <si>
    <t>163-175</t>
  </si>
  <si>
    <t>McCain, C. M.</t>
  </si>
  <si>
    <t>Global analysis of bird elevational diversity</t>
  </si>
  <si>
    <t>346-360</t>
  </si>
  <si>
    <t>Habit, E., Piedra, P., Ruzzante, D. E., Walde, S. J., Belk, M. C., Cussac, V. E., Gonzalez, J. and Colin, N.</t>
  </si>
  <si>
    <t>Changes in the distribution of native fishes in response to introduced species and other anthropogenic effects</t>
  </si>
  <si>
    <t>697-710</t>
  </si>
  <si>
    <t>Cezilly, F. and Perrot-Minnot, M. J.</t>
  </si>
  <si>
    <t>Interpreting multidimensionality in parasite-induced phenotypic alterations: panselectionism versus parsimony</t>
  </si>
  <si>
    <t>1224-1229</t>
  </si>
  <si>
    <t>Rohrman, D. F.</t>
  </si>
  <si>
    <t>States are feeling the heat</t>
  </si>
  <si>
    <t>444-444</t>
  </si>
  <si>
    <t>Jansson, M., Hickler, T., Jonsson, A. and Karlsson, J.</t>
  </si>
  <si>
    <t>Links between terrestrial primary production and bacterial production and respiration in lakes in a climate gradient in subarctic Sweden</t>
  </si>
  <si>
    <t>367-376</t>
  </si>
  <si>
    <t>Kocacinar, F. and Sage, R. F.</t>
  </si>
  <si>
    <t>Photosynthetic pathway alters hydraulic structure and function in woody plants</t>
  </si>
  <si>
    <t>214-223</t>
  </si>
  <si>
    <t>Rubenson, J., Heliams, D. B., Lloyd, D. G. and Fournier, P. A.</t>
  </si>
  <si>
    <t>Gait selection in the ostrich: mechanical and metabolic characteristics of walking and running with and without an aerial phase</t>
  </si>
  <si>
    <t>1091-1099</t>
  </si>
  <si>
    <t>Isbell, F. I. and Wilsey, B. J.</t>
  </si>
  <si>
    <t>Increasing native, but not exotic, biodiversity increases aboveground productivity in ungrazed and intensely grazed grasslands</t>
  </si>
  <si>
    <t>771-781</t>
  </si>
  <si>
    <t>van Kleunen, M., Stephan, M. A. and Schmid, B.</t>
  </si>
  <si>
    <t>[CO2]- and density-dependent competition between grassland species</t>
  </si>
  <si>
    <t>2175-2186</t>
  </si>
  <si>
    <t>Johannesen, A. B., Nielsen, A. and Skonhoft, A.</t>
  </si>
  <si>
    <t>Livestock management at northern latitudes Potential economic effects of climate change in sheep farming</t>
  </si>
  <si>
    <t>239-248</t>
  </si>
  <si>
    <t>Franks, D. W. and Noble, J.</t>
  </si>
  <si>
    <t>Warning signals and predator-prey coevolution</t>
  </si>
  <si>
    <t>1859-1865</t>
  </si>
  <si>
    <t>Reynolds, J. A. and Lowman, M. D.</t>
  </si>
  <si>
    <t>Promoting ecoliteracy through research service-learning and citizen science</t>
  </si>
  <si>
    <t>565-566</t>
  </si>
  <si>
    <t>Gardmark, A. and Dieckmann, U.</t>
  </si>
  <si>
    <t>Disparate maturation adaptations to size-dependent mortality</t>
  </si>
  <si>
    <t>2185-2192</t>
  </si>
  <si>
    <t>Nelson, D. M., Verschuren, D., Urban, M. A. and Hu, F. S.</t>
  </si>
  <si>
    <t>Long-term variability and rainfall control of savanna fire regimes in equatorial East Africa</t>
  </si>
  <si>
    <t>3160-3170</t>
  </si>
  <si>
    <t>Scotti, M., Bondavalli, C., Bodini, A. and Allesina, S.</t>
  </si>
  <si>
    <t>Using trophic hierarchy to understand food web structure</t>
  </si>
  <si>
    <t>1695-1702</t>
  </si>
  <si>
    <t>Ledgard, S. F., Menneer, J. C., Dexter, M. M., Kear, M. J., Lindsey, S., Peters, J. S. and Pacheco, D.</t>
  </si>
  <si>
    <t>A novel concept to reduce nitrogen losses from grazed pastures by administering soil nitrogen process inhibitors to ruminant animals: A study with sheep</t>
  </si>
  <si>
    <t>148-158</t>
  </si>
  <si>
    <t>Milon, J. W. and Scrogin, D.</t>
  </si>
  <si>
    <t>Latent preferences and valuation of wetland ecosystem restoration</t>
  </si>
  <si>
    <t>162-175</t>
  </si>
  <si>
    <t>Greene, M. J. and Gordon, D. M.</t>
  </si>
  <si>
    <t>How patrollers set foraging direction in harvester ants</t>
  </si>
  <si>
    <t>943-948</t>
  </si>
  <si>
    <t>Bresee, M. K., Le Moine, J., Mather, S., Brosofske, K. D., Chen, J. Q., Crow, T. R. and Rademacher, J.</t>
  </si>
  <si>
    <t>Disturbance and landscape dynamics in the Chequamegon National Forest Wisconsin, USA, from 1972 to 2001</t>
  </si>
  <si>
    <t>291-309</t>
  </si>
  <si>
    <t>Hoset, K. S., Le Galliard, J. F., Gundersen, G. and Steen, H.</t>
  </si>
  <si>
    <t>Home range size and overlap in female root voles: effects of season and density</t>
  </si>
  <si>
    <t>139-145</t>
  </si>
  <si>
    <t>Gjini, E., Haydon, D. T., Barry, J. D. and Cobbold, C. A.</t>
  </si>
  <si>
    <t>Critical Interplay between Parasite Differentiation, Host Immunity, and Antigenic Variation in Trypanosome Infections</t>
  </si>
  <si>
    <t>424-439</t>
  </si>
  <si>
    <t>Maloney, S. K., Fuller, A. and Mitchell, D.</t>
  </si>
  <si>
    <t>Climate change: is the dark Soay sheep endangered?</t>
  </si>
  <si>
    <t>826-829</t>
  </si>
  <si>
    <t>Fitzpatrick, M. C., Weltzin, J. F., Sanders, N. J. and Dunn, R. R.</t>
  </si>
  <si>
    <t>The biogeography of prediction error: why does the introduced range of the fire ant over-predict its native range?</t>
  </si>
  <si>
    <t>24-33</t>
  </si>
  <si>
    <t>Brooks, T., da Fonseca, G. A. B. and Rodrigues, A. S. L.</t>
  </si>
  <si>
    <t>Species, data, and conservation planning</t>
  </si>
  <si>
    <t>1682-1688</t>
  </si>
  <si>
    <t>Mitchell, G. and Lust, A.</t>
  </si>
  <si>
    <t>Artiodactyl success and the carotid rete Reply</t>
  </si>
  <si>
    <t>99-100</t>
  </si>
  <si>
    <t>Malcolm, J. R., Liu, C. R., Neilson, R. P., Hansen, L. and Hannah, L.</t>
  </si>
  <si>
    <t>Global warming and extinctions of endemic species from biodiversity hotspots</t>
  </si>
  <si>
    <t>538-548</t>
  </si>
  <si>
    <t>Kottke, I., Suarez, J. P., Herrera, P., Cruz, D., Bauer, R., Haug, I. and Garnica, S.</t>
  </si>
  <si>
    <t>Atractiellomycetes belonging to the 'rust' lineage (Pucciniomycotina) form mycorrhizae with terrestrial and epiphytic neotropical orchids</t>
  </si>
  <si>
    <t>1289-1298</t>
  </si>
  <si>
    <t>Takami, Y.</t>
  </si>
  <si>
    <t>Spermatophore displacement and male fertilization success in the ground beetle Carabus insulicola</t>
  </si>
  <si>
    <t>628-634</t>
  </si>
  <si>
    <t>Martinez-Vilalta, J., Vanderklein, D. and Mencuccini, M.</t>
  </si>
  <si>
    <t>Tree height and age-related decline in growth in Scots pine (Pinus sylvestris L.)</t>
  </si>
  <si>
    <t>529-544</t>
  </si>
  <si>
    <t>Nicholson, E., Westphal, M. I., Frank, K., Rochester, W. A., Pressey, R. L., Lindenmayer, D. B. and Possingham, H. P.</t>
  </si>
  <si>
    <t>A new method for conservation planning for the persistence of multiple species</t>
  </si>
  <si>
    <t>1049-1060</t>
  </si>
  <si>
    <t>Yamaura, Y., Amano, T., Kusumoto, Y., Nagata, H. and Okabe, K.</t>
  </si>
  <si>
    <t>Climate and topography drives macroscale biodiversity through land-use change in a human-dominated world</t>
  </si>
  <si>
    <t>427-451</t>
  </si>
  <si>
    <t>Liu, D. W., Wang, Z. M., Zhang, B., Song, K. S., Li, X. Y., Li, J. P., Li, F. and Duan, H. T.</t>
  </si>
  <si>
    <t>Spatial distribution of soil organic carbon and analysis of related factors in croplands of the black soil region, Northeast China</t>
  </si>
  <si>
    <t>73-81</t>
  </si>
  <si>
    <t>Padin, X. A., Vazquez-Rodriguez, M., Castano, M., Velo, A., Alonso-Perez, F., Gago, J., Gilcoto, M., Alvarez, M., Pardo, P. C., de la Paz, M., Rios, A. F. and Perez, F. F.</t>
  </si>
  <si>
    <t>Air-Sea CO2 fluxes in the Atlantic as measured during boreal spring and autumn</t>
  </si>
  <si>
    <t>1587-1606</t>
  </si>
  <si>
    <t>Fripiat, F., Cavagna, A. J., Dehairs, F., de Brauwere, A., Andre, L. and Cardinal, D.</t>
  </si>
  <si>
    <t>Processes controlling the Si-isotopic composition in the Southern Ocean and application for paleoceanography</t>
  </si>
  <si>
    <t>2443-2457</t>
  </si>
  <si>
    <t>Fires leave rare possums hanging by a thread</t>
  </si>
  <si>
    <t>80-80</t>
  </si>
  <si>
    <t>Wolkovich, E. M., Bolger, D. T. and Holway, D. A.</t>
  </si>
  <si>
    <t>Complex responses to invasive grass litter by ground arthropods in a Mediterranean scrub ecosystem</t>
  </si>
  <si>
    <t>697-708</t>
  </si>
  <si>
    <t>Cermeno, P.</t>
  </si>
  <si>
    <t>Marine planktonic microbes survived climatic instabilities in the past</t>
  </si>
  <si>
    <t>474-479</t>
  </si>
  <si>
    <t>Joy, J. B.</t>
  </si>
  <si>
    <t>Symbiosis catalyses niche expansion and diversification</t>
  </si>
  <si>
    <t>Tolhurst, T. J., Chapman, M. G., Underwood, A. J. and Cruz, J. J.</t>
  </si>
  <si>
    <t>Technical Note: The effects of five different defaunation methods on biogeochemical properties of intertidal sediment</t>
  </si>
  <si>
    <t>3647-3661</t>
  </si>
  <si>
    <t>Pelley, J.</t>
  </si>
  <si>
    <t>Do invasive mussels drive Cladophora blooms?</t>
  </si>
  <si>
    <t>174-174</t>
  </si>
  <si>
    <t>Bonkowski, M. and Roy, J.</t>
  </si>
  <si>
    <t>Soil microbial diversity and soil functioning affect competition among grasses in experimental microcosms</t>
  </si>
  <si>
    <t>232-240</t>
  </si>
  <si>
    <t>Guerin, G. R., Wen, H. X. and Lowe, A. J.</t>
  </si>
  <si>
    <t>Leaf morphology shift linked to climate change</t>
  </si>
  <si>
    <t>882-886</t>
  </si>
  <si>
    <t>Williams, J. C., ReVelle, C. S. and Levin, S. A.</t>
  </si>
  <si>
    <t>Using mathematical optimization models to design nature reserves</t>
  </si>
  <si>
    <t>98-105</t>
  </si>
  <si>
    <t>Svanback, R. and Schluter, D.</t>
  </si>
  <si>
    <t>Niche Specialization Influences Adaptive Phenotypic Plasticity in the Threespine Stickleback</t>
  </si>
  <si>
    <t>50-59</t>
  </si>
  <si>
    <t>Savage, W. K. and Mullen, S. P.</t>
  </si>
  <si>
    <t>A single origin of Batesian mimicry among hybridizing populations of admiral butterflies (Limenitis arthemis) rejects an evolutionary reversion to the ancestral phenotype</t>
  </si>
  <si>
    <t>2557-2565</t>
  </si>
  <si>
    <t>Collins, R. A., Boykin, L. M., Cruickshank, R. H. and Armstrong, K. F.</t>
  </si>
  <si>
    <t>Barcoding's next top model: an evaluation of nucleotide substitution models for specimen identification</t>
  </si>
  <si>
    <t>457-465</t>
  </si>
  <si>
    <t>Demes, K. W., Harley, C. D. G., Anderson, L. M. and Carrington, E.</t>
  </si>
  <si>
    <t>Shifts in morphological and mechanical traits compensate for performance costs of reproduction in a wave-swept seaweed</t>
  </si>
  <si>
    <t>963-970</t>
  </si>
  <si>
    <t>Faith, D. P.</t>
  </si>
  <si>
    <t>Threatened Species and the Potential Loss of Phylogenetic Diversity: Conservation Scenarios Based on Estimated Extinction Probabilities and Phylogenetic Risk Analysis</t>
  </si>
  <si>
    <t>1461-1470</t>
  </si>
  <si>
    <t>Sada, D. W., Fleishman, E. and Murphy, D. D.</t>
  </si>
  <si>
    <t>Associations among spring-dependent aquatic assemblages and environmental and land use gradients in a Mojave Desert mountain range</t>
  </si>
  <si>
    <t>91-99</t>
  </si>
  <si>
    <t>Rio, R. V. M., Wu, Y. N., Filardo, G. and Aksoy, S.</t>
  </si>
  <si>
    <t>Dynamics of multiple symbiont density regulation during host development: tsetse fly and its microbial flora</t>
  </si>
  <si>
    <t>805-814</t>
  </si>
  <si>
    <t>Peters, S. L., Malcolm, J. R. and Zimmerman, B. L.</t>
  </si>
  <si>
    <t>Effects of selective logging on bat communities in the southeastern Amazon</t>
  </si>
  <si>
    <t>1410-1421</t>
  </si>
  <si>
    <t>Watanabe, T., Yokozawa, M., Emori, S., Takata, K., Sumida, A. and Hara, T.</t>
  </si>
  <si>
    <t>Developing a Multilayered Integrated Numerical Model of Surface Physics - Growing Plants Interaction (MINoSGI)</t>
  </si>
  <si>
    <t>963-982</t>
  </si>
  <si>
    <t>Behm, J. E. and Kiers, E. T.</t>
  </si>
  <si>
    <t>A phenotypic plasticity framework for assessing intraspecific variation in arbuscular mycorrhizal fungal traits</t>
  </si>
  <si>
    <t>315-327</t>
  </si>
  <si>
    <t>Bewick, S., Brosi, B. J. and Armsworth, P. R.</t>
  </si>
  <si>
    <t>Predicting the effect of competition on secondary plant extinctions in plant-pollinator networks</t>
  </si>
  <si>
    <t>1710-1719</t>
  </si>
  <si>
    <t>Hiedanpaa, J.</t>
  </si>
  <si>
    <t>The edges of conflict and consensus: a case for creativity in regional forest policy in Southwest Finland</t>
  </si>
  <si>
    <t>485-498</t>
  </si>
  <si>
    <t>Juutinen, A., Monkkonen, M. and Sippola, A. L.</t>
  </si>
  <si>
    <t>Cost-efficiency of decaying wood as a surrogate for overall species richness in boreal forests</t>
  </si>
  <si>
    <t>74-84</t>
  </si>
  <si>
    <t>Cheng, Q., Xia, Q., Li, W., Zhang, S., Chen, Z., Zuo, R. and Wang, W.</t>
  </si>
  <si>
    <t>Density/area power-law models for separating multi-scale anomalies of ore and toxic elements in stream sediments in Gejiu mineral district, Yunnan Province, China</t>
  </si>
  <si>
    <t>3019-3025</t>
  </si>
  <si>
    <t>Thomsen, I. K., Pedersen, A. R., Nyord, T. and Petersen, S. O.</t>
  </si>
  <si>
    <t>Effects of slurry pre-treatment and application technique on short-term N2O emissions as determined by a new non-linear approach</t>
  </si>
  <si>
    <t>227-235</t>
  </si>
  <si>
    <t>Kupfer, J. A., Malanson, G. P. and Franklin, S. B.</t>
  </si>
  <si>
    <t>Not seeing the ocean for the islands: the mediating influence of matrix-based processes on forest fragmentation effects</t>
  </si>
  <si>
    <t>Michel, P., Burritt, D. J. and Lee, W. G.</t>
  </si>
  <si>
    <t>Bryophytes display allelopathic interactions with tree species in native forest ecosystems</t>
  </si>
  <si>
    <t>1272-1280</t>
  </si>
  <si>
    <t>Thum, T., Aalto, T., Laurila, T., Aurela, M., Lindroth, A. and Vesala, T.</t>
  </si>
  <si>
    <t>Assessing seasonality of biochemical CO2 exchange model parameters from micrometeorological flux observations at boreal coniferous forest</t>
  </si>
  <si>
    <t>1625-1639</t>
  </si>
  <si>
    <t>Chiron, F., Shirley, S. and Kark, S.</t>
  </si>
  <si>
    <t>Human-related processes drive the richness of exotic birds in Europe</t>
  </si>
  <si>
    <t>47-53</t>
  </si>
  <si>
    <t>Jones, D., Evans, A. R., Siu, K. K. W., Rayfield, E. J. and Donoghue, P. C. J.</t>
  </si>
  <si>
    <t>The sharpest tools in the box? Quantitative analysis of conodont element functional morphology</t>
  </si>
  <si>
    <t>2849-2854</t>
  </si>
  <si>
    <t>Weinzettel, J., Steen-Olsen, K., Hertwich, E. G., Borucke, M. and Galli, A.</t>
  </si>
  <si>
    <t>Ecological footprint of nations: Comparison of process analysis, and standard and hybrid multiregional input-output analysis</t>
  </si>
  <si>
    <t>115-126</t>
  </si>
  <si>
    <t>Svanback, R., Eklov, P., Fransson, R. and Holmgren, K.</t>
  </si>
  <si>
    <t>Intraspecific competition drives multiple species resource polymorphism in fish communities</t>
  </si>
  <si>
    <t>114-124</t>
  </si>
  <si>
    <t>Bilodeau, F., Gauthier, G. and Berteaux, D.</t>
  </si>
  <si>
    <t>The effect of snow cover on lemming population cycles in the Canadian High Arctic</t>
  </si>
  <si>
    <t>1007-1016</t>
  </si>
  <si>
    <t>Mattisson, J., Odden, J., Nilsen, E. B., Linnell, J. D. C., Persson, J. and Andren, H.</t>
  </si>
  <si>
    <t>Factors affecting Eurasian lynx kill rates on semi-domestic reindeer in northern Scandinavia: Can ecological research contribute to the development of a fair compensation system?</t>
  </si>
  <si>
    <t>3009-3017</t>
  </si>
  <si>
    <t>Demery, Z. P., Chappell, J. and Martin, G. R.</t>
  </si>
  <si>
    <t>Vision, touch and object manipulation in Senegal parrots Poicephalus senegalus</t>
  </si>
  <si>
    <t>3687-3693</t>
  </si>
  <si>
    <t>Mason, N. W. H., Richardson, S. J., Peltzer, D. A., de Bello, F., Wardle, D. A. and Allen, R. B.</t>
  </si>
  <si>
    <t>Changes in coexistence mechanisms along a long-term soil chronosequence revealed by functional trait diversity</t>
  </si>
  <si>
    <t>678-689</t>
  </si>
  <si>
    <t>Welsch, H. and Kuhling, J.</t>
  </si>
  <si>
    <t>Determinants of pro-environmental consumption: The role of reference groups and routine behavior</t>
  </si>
  <si>
    <t>166-176</t>
  </si>
  <si>
    <t>Whittingham, M. J., Krebs, J. R., Swetnam, R. D., Vickery, J. A., Wilson, J. D. and Freckleton, R. P.</t>
  </si>
  <si>
    <t>Should conservation strategies consider spatial generality? Farmland birds show regional not national patterns of habitat association</t>
  </si>
  <si>
    <t>25-35</t>
  </si>
  <si>
    <t>Isambert, B., Bergsten, J., Monaghan, M. T., Andriamizehy, H., Ranarilalatiana, T., Ratsimbazafy, M., Andriniainimanana, J. R. and Vogler, A. P.</t>
  </si>
  <si>
    <t>Endemism and evolutionary history in conflict over Madagascar's freshwater conservation priorities</t>
  </si>
  <si>
    <t>1902-1909</t>
  </si>
  <si>
    <t>Guralnick, R.</t>
  </si>
  <si>
    <t>Differential effects of past climate warming on mountain and flatland species distributions: a multispecies North American mammal assessment</t>
  </si>
  <si>
    <t>14-23</t>
  </si>
  <si>
    <t>Severns, P. M. and Wilson, M. V.</t>
  </si>
  <si>
    <t>Resolving conflicts between butterfly host resource abundance and genet population size estimates for a vegetatively spreading, threatened grassland legume</t>
  </si>
  <si>
    <t>1152-1158</t>
  </si>
  <si>
    <t>Shanahan, D. F., Possingham, H. P. and Riginos, C.</t>
  </si>
  <si>
    <t>Models based on individual level movement predict spatial patterns of genetic relatedness for two Australian forest birds</t>
  </si>
  <si>
    <t>137-148</t>
  </si>
  <si>
    <t>Hauber, M. E. and Moskat, C.</t>
  </si>
  <si>
    <t>Shared parental care is costly for nestlings of common cuckoos and their great reed warbler hosts</t>
  </si>
  <si>
    <t>79-86</t>
  </si>
  <si>
    <t>Reichlin, T. S., Hobson, K. A., Van Wilgenburg, S. L., Schaub, M., Wassenaar, L. I., Martin-Vivaldi, M., Arlettaz, R. and Jenni, L.</t>
  </si>
  <si>
    <t>Conservation through connectivity: can isotopic gradients in Africa reveal winter quarters of a migratory bird?</t>
  </si>
  <si>
    <t>591-600</t>
  </si>
  <si>
    <t>Adams, B. and McHardy, A. C.</t>
  </si>
  <si>
    <t>The impact of seasonal and year-round transmission regimes on the evolution of influenza A virus</t>
  </si>
  <si>
    <t>2249-2256</t>
  </si>
  <si>
    <t>Haas, E., Klatt, S., Frohlich, A., Kraft, P., Werner, C., Kiese, R., Grote, R., Breuer, L. and Butterbach-Bahl, K.</t>
  </si>
  <si>
    <t>LandscapeDNDC: a process model for simulation of biosphere-atmosphere-hydrosphere exchange processes at site and regional scale</t>
  </si>
  <si>
    <t>615-636</t>
  </si>
  <si>
    <t>Pearcy, M., Goodisman, M. A. D. and Keller, L.</t>
  </si>
  <si>
    <t>Sib mating without inbreeding in the longhorn crazy ant</t>
  </si>
  <si>
    <t>2677-2681</t>
  </si>
  <si>
    <t>Shone, B. M. and Caviglia-Harris, J. L.</t>
  </si>
  <si>
    <t>Quantifying and comparing the value of non-timber forest products in the Amazon</t>
  </si>
  <si>
    <t>249-267</t>
  </si>
  <si>
    <t>Kallenbach, C. and Grandy, A. S.</t>
  </si>
  <si>
    <t>Controls over soil microbial biomass responses to carbon amendments in agricultural systems: A meta-analysis</t>
  </si>
  <si>
    <t>241-252</t>
  </si>
  <si>
    <t>McKechnie, A. E., Freckleton, R. P. and Jetz, W.</t>
  </si>
  <si>
    <t>Phenotypic plasticity in the scaling of avian basal metabolic rate</t>
  </si>
  <si>
    <t>931-937</t>
  </si>
  <si>
    <t>Interaction rate informs harvester ant task decisions</t>
  </si>
  <si>
    <t>451-455</t>
  </si>
  <si>
    <t>Powell, J., Lewis, P. A., Roberts, N., Garcia-Finana, M. and Dunbar, R. I. M.</t>
  </si>
  <si>
    <t>Orbital prefrontal cortex volume predicts social network size: an imaging study of individual differences in humans</t>
  </si>
  <si>
    <t>2157-2162</t>
  </si>
  <si>
    <t>Maure, F., Brodeur, J., Ponlet, N., Doyon, J., Firlej, A., Elguero, E. and Thomas, F.</t>
  </si>
  <si>
    <t>The cost of a bodyguard</t>
  </si>
  <si>
    <t>843-846</t>
  </si>
  <si>
    <t>Hamel, S., Cote, S. D. and Festa-Bianchet, M.</t>
  </si>
  <si>
    <t>Tradeoff between offspring mass and subsequent reproduction in a highly iteroparous mammal</t>
  </si>
  <si>
    <t>690-695</t>
  </si>
  <si>
    <t>Sear, R. and Marlowe, F. W.</t>
  </si>
  <si>
    <t>How universal are human mate choices? Size does not matter when Hadza foragers are choosing a mate</t>
  </si>
  <si>
    <t>606-609</t>
  </si>
  <si>
    <t>Cook, W. M., Casagrande, D. G., Hope, D., Groffman, P. M. and Collins, S. L.</t>
  </si>
  <si>
    <t>Learning to roll with the punches: adaptive experimentation in human-dominated systems</t>
  </si>
  <si>
    <t>467-474</t>
  </si>
  <si>
    <t>Fort, J., Moe, B., Strom, H., Gremillet, D., Welcker, J., Schultner, J., Jerstad, K., Johansen, K. L., Phillips, R. A. and Mosbech, A.</t>
  </si>
  <si>
    <t>Multicolony tracking reveals potential threats to little auks wintering in the North Atlantic from marine pollution and shrinking sea ice cover</t>
  </si>
  <si>
    <t>1322-1332</t>
  </si>
  <si>
    <t>Sandford, S. and Scoones, I.</t>
  </si>
  <si>
    <t>Opportunistic and conservative pastoral strategies: Some economic arguments</t>
  </si>
  <si>
    <t>Danylchuk, A. J. and Cooke, S. J.</t>
  </si>
  <si>
    <t>Engaging the Recreational Angling Community to Implement and Manage Aquatic Protected Areas</t>
  </si>
  <si>
    <t>458-464</t>
  </si>
  <si>
    <t>Saxer, G., Doebeli, M. and Travisano, M.</t>
  </si>
  <si>
    <t>Spatial structure leads to ecological breakdown and loss of diversity</t>
  </si>
  <si>
    <t>2065-2070</t>
  </si>
  <si>
    <t>The muskoX-files</t>
  </si>
  <si>
    <t>280-280</t>
  </si>
  <si>
    <t>Hockley, N., Jones, J. P. G. and Gibbons, J. M.</t>
  </si>
  <si>
    <t>Technological progress must accelerate to reduce global footprint overshoot</t>
  </si>
  <si>
    <t>122-123</t>
  </si>
  <si>
    <t>Rolshausen, G., Hobson, K. A. and Schaefer, H. M.</t>
  </si>
  <si>
    <t>Spring arrival along a migratory divide of sympatric blackcaps (Sylvia atricapilla)</t>
  </si>
  <si>
    <t>175-183</t>
  </si>
  <si>
    <t>Firman, R. C.</t>
  </si>
  <si>
    <t>Polyandrous females benefit by producing sons that achieve high reproductive success in a competitive environment</t>
  </si>
  <si>
    <t>2823-2831</t>
  </si>
  <si>
    <t>Fuss, R., Ruth, B., Schilling, R., Scherb, H. and Munch, J. C.</t>
  </si>
  <si>
    <t>Pulse emissions of N2O and CO2 from an arable field depending on fertilization and tillage practice</t>
  </si>
  <si>
    <t>61-68</t>
  </si>
  <si>
    <t>Skjelvan, I., Falck, E., Rey, F. and Kringstad, S. B.</t>
  </si>
  <si>
    <t>Inorganic carbon time series at Ocean Weather Station M in the Norwegian Sea</t>
  </si>
  <si>
    <t>549-560</t>
  </si>
  <si>
    <t>Penteriani, V., Otalora, F. and Ferrer, M.</t>
  </si>
  <si>
    <t>Floater survival affects population persistence. The role of prey availability and environmental stochasticity</t>
  </si>
  <si>
    <t>523-534</t>
  </si>
  <si>
    <t>Sundar, K. S. G. and Kittur, S.</t>
  </si>
  <si>
    <t>Can wetlands maintained for human use also help conserve biodiversity? Landscape-scale patterns of bird use of wetlands in an agricultural landscape in north India</t>
  </si>
  <si>
    <t>49-56</t>
  </si>
  <si>
    <t>Ogutu, J. O., Piepho, H. P., Reid, R. S., Rainy, M. E., Kruska, R. L., Worden, J. S., Nyabenge, M. and Hobbs, N. T.</t>
  </si>
  <si>
    <t>Large herbivore responses to water and settlements in savannas</t>
  </si>
  <si>
    <t>241-266</t>
  </si>
  <si>
    <t>Ban, N. C., Picard, C. R. and Vincent, A. C. J.</t>
  </si>
  <si>
    <t>Comparing and Integrating Community-Based and Science-Based Approaches to Prioritizing Marine Areas for Protection</t>
  </si>
  <si>
    <t>899-910</t>
  </si>
  <si>
    <t>Garibaldi, L. A., Kitzberger, T., Mazia, C. N. and Chaneton, E. J.</t>
  </si>
  <si>
    <t>Nutrient supply and bird predation additively control insect herbivory and tree growth in two contrasting forest habitats</t>
  </si>
  <si>
    <t>337-349</t>
  </si>
  <si>
    <t>Gewin, V.</t>
  </si>
  <si>
    <t>Shining a BEACHON on forests</t>
  </si>
  <si>
    <t>519-519</t>
  </si>
  <si>
    <t>Vallin, A., Jakobsson, S., Lind, J. and Wiklund, C.</t>
  </si>
  <si>
    <t>Prey survival by predator intimidation: an experimental study of peacock butterfly defence against blue tits</t>
  </si>
  <si>
    <t>1203-1207</t>
  </si>
  <si>
    <t>Gan, Y. T., Campbell, C. A., Janzen, H. H., Lemke, R. L., Basnyat, P. and McDonald, C. L.</t>
  </si>
  <si>
    <t>Carbon input to soil from oilseed and pulse crops on the Canadian prairies</t>
  </si>
  <si>
    <t>290-297</t>
  </si>
  <si>
    <t>Peron, G., Gimenez, O., Charmantier, A., Gaillard, J. M. and Crochet, P. A.</t>
  </si>
  <si>
    <t>Age at the onset of senescence in birds and mammals is predicted by early-life performance</t>
  </si>
  <si>
    <t>2849-2856</t>
  </si>
  <si>
    <t>Lindegren, M., Blenckner, T. and Stenseth, N. C.</t>
  </si>
  <si>
    <t>Nutrient reduction and climate change cause a potential shift from pelagic to benthic pathways in a eutrophic marine ecosystem</t>
  </si>
  <si>
    <t>3491-3503</t>
  </si>
  <si>
    <t>Mayew, W. J.</t>
  </si>
  <si>
    <t>Reassessing the association between facial structure and baseball performance: a comment on Tsujimura &amp; Banissy (2013)</t>
  </si>
  <si>
    <t>Gallizzi, K. and Richner, H.</t>
  </si>
  <si>
    <t>A parasite-induced maternal effect can reduce survival times of fleas feeding on great tit nestlings</t>
  </si>
  <si>
    <t>1209-1217</t>
  </si>
  <si>
    <t>Rezacova, V., Blum, H., Hrselova, H., Gamper, H. and Gryndler, M.</t>
  </si>
  <si>
    <t>Saprobic microfungi under Lolium perenne and Trifolium repens at different fertilization intensities and elevated atmospheric CO2 concentration</t>
  </si>
  <si>
    <t>224-230</t>
  </si>
  <si>
    <t>Bauer, U., Bohn, H. F. and Federle, W.</t>
  </si>
  <si>
    <t>Harmless nectar source or deadly trap: Nepenthes pitchers are activated by rain, condensation and nectar</t>
  </si>
  <si>
    <t>259-265</t>
  </si>
  <si>
    <t>Bennett, J. M., Cunningham, S. C., Connelly, C. A., Clarke, R. H., Thomson, J. R. and Mac Nally, R.</t>
  </si>
  <si>
    <t>The interaction between a drying climate and land use affects forest structure and above-ground carbon storage</t>
  </si>
  <si>
    <t>1238-1247</t>
  </si>
  <si>
    <t>Snaddon, J., Petrokofsky, G., Jepson, P. and Willis, K. J.</t>
  </si>
  <si>
    <t>Biodiversity technologies: tools as change agents</t>
  </si>
  <si>
    <t>Ujvari, B., Pearse, A. M., Peck, S., Harmsen, C., Taylor, R., Pyecroft, S., Madsen, T., Papenfuss, A. T. and Belov, K.</t>
  </si>
  <si>
    <t>Evolution of a contagious cancer: epigenetic variation in Devil Facial Tumour Disease</t>
  </si>
  <si>
    <t>Faucheux, S. and Nicolai, I.</t>
  </si>
  <si>
    <t>IT for green and green IT: A proposed typology of eco-innovation</t>
  </si>
  <si>
    <t>2020-2027</t>
  </si>
  <si>
    <t>Khalumba, M., Wunscher, T., Wunder, S., Budenbender, M. and Holm-Muller, K.</t>
  </si>
  <si>
    <t>Combining Auctions and Performance- Based Payments in a Forest Enrichment Field Trial in Western Kenya</t>
  </si>
  <si>
    <t>861-866</t>
  </si>
  <si>
    <t>Kariyat, R. R., Mauck, K. E., De Moraes, C. M., Stephenson, A. G. and Mescher, M. C.</t>
  </si>
  <si>
    <t>Inbreeding alters volatile signalling phenotypes and influences tri-trophic interactions in horsenettle (Solanum carolinense L.)</t>
  </si>
  <si>
    <t>301-309</t>
  </si>
  <si>
    <t>Boggs, C. L. and Freeman, K. D.</t>
  </si>
  <si>
    <t>Larval food limitation in butterflies: effects on adult resource allocation and fitness</t>
  </si>
  <si>
    <t>353-361</t>
  </si>
  <si>
    <t>Kozak, H. L., Cirino, L. A. and Ptacek, M. B.</t>
  </si>
  <si>
    <t>Female mating preferences for male morphological traits used in species and mate recognition in the Mexican sailfin mollies, Poecilia velifera and Poecilia petenensis</t>
  </si>
  <si>
    <t>463-474</t>
  </si>
  <si>
    <t>Kohler, F., Gillet, F., Reust, S., Wagner, H. H., Gadallah, F., Gobat, J. M. and Buttler, A.</t>
  </si>
  <si>
    <t>Spatial and seasonal patterns of cattle habitat use in a mountain wooded pasture</t>
  </si>
  <si>
    <t>281-295</t>
  </si>
  <si>
    <t>Clymans, W., Struyf, E., Govers, G., Vandevenne, F. and Conley, D. J.</t>
  </si>
  <si>
    <t>Anthropogenic impact on amorphous silica pools in temperate soils</t>
  </si>
  <si>
    <t>2281-2293</t>
  </si>
  <si>
    <t>Butler, S. M., Melillo, J. M., Johnson, J. E., Mohan, J., Steudler, P. A., Lux, H., Burrows, E., Smith, R. M., Vario, C. L., Scott, L., Hill, T. D., Aponte, N. and Bowles, F.</t>
  </si>
  <si>
    <t>Soil warming alters nitrogen cycling in a New England forest: implications for ecosystem function and structure</t>
  </si>
  <si>
    <t>819-828</t>
  </si>
  <si>
    <t>Dore, A. J., Kryza, M., Hall, J. R., Hallsworth, S., Keller, V. J. D., Vieno, M. and Sutton, M. A.</t>
  </si>
  <si>
    <t>The influence of model grid resolution on estimation of national scale nitrogen deposition and exceedance of critical loads</t>
  </si>
  <si>
    <t>1597-1609</t>
  </si>
  <si>
    <t>Myint, S. W., Wentz, E. A., Brazel, A. J. and Quattrochi, D. A.</t>
  </si>
  <si>
    <t>The impact of distinct anthropogenic and vegetation features on urban warming</t>
  </si>
  <si>
    <t>959-978</t>
  </si>
  <si>
    <t>Gillespie, T. W., Zutta, B. R., Early, M. K. and Saatchi, S.</t>
  </si>
  <si>
    <t>Predicting and quantifying the structure of tropical dry forests in South Florida and the Neotropics using spaceborne imagery</t>
  </si>
  <si>
    <t>225-236</t>
  </si>
  <si>
    <t>Ruiz-Capillas, P., Mata, C. and Malo, J. E.</t>
  </si>
  <si>
    <t>Road verges are refuges for small mammal populations in extensively managed Mediterranean landscapes</t>
  </si>
  <si>
    <t>223-229</t>
  </si>
  <si>
    <t>Chaboo, C. S.</t>
  </si>
  <si>
    <t>Biology and phylogeny of the Cassidinae Gyllenhal sensu lato (tortoise and leaf-mining beetles) (Coleoptera : Chrysomelidae)</t>
  </si>
  <si>
    <t>Bulletin of the American Museum of Natural History</t>
  </si>
  <si>
    <t>1-250</t>
  </si>
  <si>
    <t>Porder, S., Paytan, A. and Vitousek, P. M.</t>
  </si>
  <si>
    <t>Erosion and landscape development affect plant nutrient status in the Hawaiian Islands</t>
  </si>
  <si>
    <t>440-449</t>
  </si>
  <si>
    <t>Lassalle, G. and Rochard, E.</t>
  </si>
  <si>
    <t>Impact of twenty-first century climate change on diadromous fish spread over Europe, North Africa and the Middle East</t>
  </si>
  <si>
    <t>1072-1089</t>
  </si>
  <si>
    <t>Noss, R. F., Fleishman, E., Dellasala, D. A., Fitzgerald, J. M., Gross, M. R., Main, M. B., Nagle, F., O'Malley, S. L. and Rosales, J.</t>
  </si>
  <si>
    <t>Priorities for Improving the Scientific Foundation of Conservation Policy in North America</t>
  </si>
  <si>
    <t>825-833</t>
  </si>
  <si>
    <t>Anthony, K. R. N., Maynard, J. A., Diaz-Pulido, G., Mumby, P. J., Marshall, P. A., Cao, L. and Hoegh-Guldberg, O.</t>
  </si>
  <si>
    <t>Ocean acidification and warming will lower coral reef resilience</t>
  </si>
  <si>
    <t>1798-1808</t>
  </si>
  <si>
    <t>Barry, S. C.</t>
  </si>
  <si>
    <t>Best practice in alien species risk assessment: a comment on Leung et al. (2012)</t>
  </si>
  <si>
    <t>1414-+</t>
  </si>
  <si>
    <t>Carrillo, Y., Dijkstra, F. A., Pendall, E., Morgan, J. A. and Blumenthal, D. M.</t>
  </si>
  <si>
    <t>Controls over Soil Nitrogen Pools in a Semiarid Grassland Under Elevated CO2 and Warming</t>
  </si>
  <si>
    <t>761-774</t>
  </si>
  <si>
    <t>Wiley, A. E., Welch, A. J., Ostrom, P. H., James, H. F., Stricker, C. A., Fleischer, R. C., Gandhi, H., Adams, J., Ainley, D. G., Duvall, F., Holmes, N., Hu, D. C., Judge, S., Penniman, J. and Swindle, K. A.</t>
  </si>
  <si>
    <t>Foraging segregation and genetic divergence between geographically proximate colonies of a highly mobile seabird</t>
  </si>
  <si>
    <t>119-130</t>
  </si>
  <si>
    <t>Rinnan, R., Stark, S. and Tolvanen, A.</t>
  </si>
  <si>
    <t>Responses of vegetation and soil microbial communities to warming and simulated herbivory in a subarctic heath</t>
  </si>
  <si>
    <t>788-800</t>
  </si>
  <si>
    <t>Christiansen, J. R. and Gundersen, P.</t>
  </si>
  <si>
    <t>Stand age and tree species affect N2O and CH4 exchange from afforested soils</t>
  </si>
  <si>
    <t>2535-2546</t>
  </si>
  <si>
    <t>Zheng, X. H., Zhou, Z. X., Wang, Y. S., Zhu, J. G., Wang, Y. L., Yue, J., Shi, Y., Kobayashi, K., Inubushi, K., Huang, Y., Han, S. H., Xu, Z. J., Xie, B. H., Butterbach-Bahl, K. and Yang, L. X.</t>
  </si>
  <si>
    <t>Nitrogen-regulated effects of free-air CO2 enrichment on methane emissions from paddy rice fields</t>
  </si>
  <si>
    <t>1717-1732</t>
  </si>
  <si>
    <t>Dawn of the Thecans</t>
  </si>
  <si>
    <t>168-168</t>
  </si>
  <si>
    <t>Drake, J. E., Darby, B. A., Giasson, M. A., Kramer, M. A., Phillips, R. P. and Finzi, A. C.</t>
  </si>
  <si>
    <t>Stoichiometry constrains microbial response to root exudation-insights from a model and a field experiment in a temperate forest</t>
  </si>
  <si>
    <t>821-838</t>
  </si>
  <si>
    <t>Davis, A. S., Daedlow, D., Schutte, B. J. and Westerman, P. R.</t>
  </si>
  <si>
    <t>Temporal scaling of episodic point estimates of seed predation to long-term predation rates</t>
  </si>
  <si>
    <t>682-690</t>
  </si>
  <si>
    <t>Bateson, M., Nettle, D. and Roberts, G.</t>
  </si>
  <si>
    <t>Cues of being watched enhance cooperation in a real-world setting</t>
  </si>
  <si>
    <t>412-414</t>
  </si>
  <si>
    <t>Bailey, M. F. and McCauley, D. E.</t>
  </si>
  <si>
    <t>The effects of inbreeding, outbreeding and long-distance gene flow on survivorship in North American populations of Silene vulgaris</t>
  </si>
  <si>
    <t>98-109</t>
  </si>
  <si>
    <t>Merilaita, S.</t>
  </si>
  <si>
    <t>Alluring illusions: a comment on Kelley and Kelley</t>
  </si>
  <si>
    <t>466-466</t>
  </si>
  <si>
    <t>Schatz, J. D., Forrester, J. A. and Mladenoff, D. J.</t>
  </si>
  <si>
    <t>Spatial Patterns of Soil Surface C Flux in Experimental Canopy Gaps</t>
  </si>
  <si>
    <t>616-623</t>
  </si>
  <si>
    <t>McKellar, R. C., Wolfe, A. P., Muehlenbachs, K., Tappert, R., Engel, M. S., Cheng, T. and Sanchez-Azofeifa, G. A.</t>
  </si>
  <si>
    <t>Insect outbreaks produce distinctive carbon isotope signatures in defensive resins and fossiliferous ambers</t>
  </si>
  <si>
    <t>3219-3224</t>
  </si>
  <si>
    <t>Van Dyke, F.</t>
  </si>
  <si>
    <t>Between Heaven and Earth - Evangelical engagement in conservation</t>
  </si>
  <si>
    <t>1693-1696</t>
  </si>
  <si>
    <t>Glibert, P. M., Wazniak, C. E., Hall, M. R. and Sturgis, B.</t>
  </si>
  <si>
    <t>Seasonal and interannual trends in nitrogen and brown tide in Maryland's coastal bays</t>
  </si>
  <si>
    <t>S79-S87</t>
  </si>
  <si>
    <t>Symonds, M. R. E. and Johnson, C. N.</t>
  </si>
  <si>
    <t>Range size-abundance relationships in Australian passerines</t>
  </si>
  <si>
    <t>143-152</t>
  </si>
  <si>
    <t>Accelerated sea-level rise - a response to Craft et al.</t>
  </si>
  <si>
    <t>126-127</t>
  </si>
  <si>
    <t>Cronin, J. P., Welsh, M. E., Dekkers, M. G., Abercrombie, S. T. and Mitchell, C. E.</t>
  </si>
  <si>
    <t>Host physiological phenotype explains pathogen reservoir potential</t>
  </si>
  <si>
    <t>1221-1232</t>
  </si>
  <si>
    <t>Feldman, S. R., Bisaro, V., Biani, N. B. and Prado, D. E.</t>
  </si>
  <si>
    <t>Soil salinity determines the relative abundance of C-3/C-4 species in Argentinean grasslands</t>
  </si>
  <si>
    <t>708-714</t>
  </si>
  <si>
    <t>Wang, X. G., Hao, Z. Q., Zhang, J., Lian, J. Y., Li, B. H., Ye, J. and Yao, X. L.</t>
  </si>
  <si>
    <t>Tree size distributions in an old-growth temperate forest</t>
  </si>
  <si>
    <t>25-36</t>
  </si>
  <si>
    <t>Schtickzelle, N. and Baguette, M.</t>
  </si>
  <si>
    <t>Metapopulation viability analysis of the bog fritillary butterfly using RAMAS/GIS</t>
  </si>
  <si>
    <t>277-290</t>
  </si>
  <si>
    <t>Rydberg, T. and Haden, A. C.</t>
  </si>
  <si>
    <t>Emergy evaluations of Denmark and Danish agriculture: Assessing the influence of changing resource availability on the organization of agriculture and society</t>
  </si>
  <si>
    <t xml:space="preserve"> 2-3 </t>
  </si>
  <si>
    <t>145-158</t>
  </si>
  <si>
    <t>Hammill, E. and Beckerman, A. P.</t>
  </si>
  <si>
    <t>Reciprocity in predator-prey interactions: exposure to defended prey and predation risk affects intermediate predator life history and morphology</t>
  </si>
  <si>
    <t>193-202</t>
  </si>
  <si>
    <t>Sakalli, A. and Simpson, D.</t>
  </si>
  <si>
    <t>Towards the use of dynamic growing seasons in a chemical transport model</t>
  </si>
  <si>
    <t>5161-5179</t>
  </si>
  <si>
    <t>Roma, A.</t>
  </si>
  <si>
    <t>Energy, money, and pollution</t>
  </si>
  <si>
    <t>534-545</t>
  </si>
  <si>
    <t>Staley, J. T., Stewart-Jones, A., Pope, T. W., Wright, D. J., Leather, S. R., Hadley, P., Rossiter, J. T., van Emden, H. F. and Poppy, G. M.</t>
  </si>
  <si>
    <t>Varying responses of insect herbivores to altered plant chemistry under organic and conventional treatments</t>
  </si>
  <si>
    <t>779-786</t>
  </si>
  <si>
    <t>Bailey, I. E., Morgan, K. V., Bertin, M., Meddle, S. L. and Healy, S. D.</t>
  </si>
  <si>
    <t>Physical cognition: birds learn the structural efficacy of nest material</t>
  </si>
  <si>
    <t>Kervinen, M., Alatalo, R. V., Lebigre, C., Siitari, H. and Soulsbury, C. D.</t>
  </si>
  <si>
    <t>Determinants of yearling male lekking effort and mating success in black grouse (Tetrao tetrix)</t>
  </si>
  <si>
    <t>Maphangwa, K. W., Musil, C. F., Raitt, L. and Zedda, L.</t>
  </si>
  <si>
    <t>Experimental climate warming decreases photosynthetic efficiency of lichens in an arid South African ecosystem</t>
  </si>
  <si>
    <t>257-268</t>
  </si>
  <si>
    <t>Rytwinski, T. and Fahrig, L.</t>
  </si>
  <si>
    <t>Do species life history traits explain population responses to roads? A meta-analysis</t>
  </si>
  <si>
    <t>87-98</t>
  </si>
  <si>
    <t>Rosenbloom, D. I. S. and Allen, B.</t>
  </si>
  <si>
    <t>Frequency-Dependent Selection Can Lead to Evolution of High Mutation Rates</t>
  </si>
  <si>
    <t>E131-E153</t>
  </si>
  <si>
    <t>McClain, C. R. and Hardy, S. M.</t>
  </si>
  <si>
    <t>The dynamics of biogeographic ranges in the deep sea</t>
  </si>
  <si>
    <t>3533-3546</t>
  </si>
  <si>
    <t>Jimenez-Alfaro, B., Draper, D. and Nogues-Bravo, D.</t>
  </si>
  <si>
    <t>Modeling the potential area of occupancy at fine resolution may reduce uncertainty in species range estimates</t>
  </si>
  <si>
    <t>190-196</t>
  </si>
  <si>
    <t>Sillett, T. S., Rodenhouse, N. L. and Holmes, R. T.</t>
  </si>
  <si>
    <t>The ethics of lethal methods - Response</t>
  </si>
  <si>
    <t>241-242</t>
  </si>
  <si>
    <t>Belmaker, J. and Jetz, W.</t>
  </si>
  <si>
    <t>Regional Pools and Environmental Controls of Vertebrate Richness</t>
  </si>
  <si>
    <t>512-523</t>
  </si>
  <si>
    <t>Gray, J. C. and Cutter, A. D.</t>
  </si>
  <si>
    <t>Mainstreaming Caenorhabditis elegans in experimental evolution</t>
  </si>
  <si>
    <t>Primack, R. B., Ellwood, E., Miller-Rushing, A. J., Marrs, R. and Mulligan, A.</t>
  </si>
  <si>
    <t>Do gender, nationality, or academic age affect review decisions? An analysis of submissions to the journal Biological Conservation</t>
  </si>
  <si>
    <t>2415-2418</t>
  </si>
  <si>
    <t>Findlay, S. E. G.</t>
  </si>
  <si>
    <t>Increased carbon transport in the Hudson River: unexpected consequence of nitrogen deposition?</t>
  </si>
  <si>
    <t>133-137</t>
  </si>
  <si>
    <t>Noormets, A., Chen, J. Q., Bridgham, S. D., Weltzin, J. F., Pastor, J., Dewey, B. and LeMoine, J.</t>
  </si>
  <si>
    <t>The effects of infrared loading and water table on soil energy fluxes in northern peatlands</t>
  </si>
  <si>
    <t>573-582</t>
  </si>
  <si>
    <t>Anthes, N., David, P., Auld, J. R., Hoffer, J. N. A., Jarne, P., Koene, J. M., Kokko, H., Lorenzi, M. C., Pelissie, B., Sprenger, D., Staikou, A. and Scharer, L.</t>
  </si>
  <si>
    <t>Bateman Gradients in Hermaphrodites: An Extended Approach to Quantify Sexual Selection</t>
  </si>
  <si>
    <t>249-263</t>
  </si>
  <si>
    <t>Lapple, D. and Van Rensburg, T.</t>
  </si>
  <si>
    <t>Adoption of organic farming: Are there differences between early and late adoption?</t>
  </si>
  <si>
    <t>1406-1414</t>
  </si>
  <si>
    <t>Desiro, A., Duckett, J. G., Pressel, S., Villarreal, J. C. and Bidartondo, M. I.</t>
  </si>
  <si>
    <t>Fungal symbioses in hornworts: a chequered history</t>
  </si>
  <si>
    <t>Zhang, S. B., Zhang, J. L., Slik, J. W. F. and Cao, K. F.</t>
  </si>
  <si>
    <t>Leaf element concentrations of terrestrial plants across China are influenced by taxonomy and the environment</t>
  </si>
  <si>
    <t>809-818</t>
  </si>
  <si>
    <t>Waples, R. S.</t>
  </si>
  <si>
    <t>Special Section: Incorporating Climate Change into Risk Analyses under the U.S. Endangered Species Act</t>
  </si>
  <si>
    <t>1137-1137</t>
  </si>
  <si>
    <t>Addison, B., Klasing, K. C., Robinson, W. D., Austin, S. H. and Ricklefs, R. E.</t>
  </si>
  <si>
    <t>Ecological and life-history factors influencing the evolution of maternal antibody allocation: a phylogenetic comparison</t>
  </si>
  <si>
    <t>3979-3987</t>
  </si>
  <si>
    <t>Crews, T. E. and Peoples, M. B.</t>
  </si>
  <si>
    <t>Legume versus fertilizer sources of nitrogen: ecological tradeoffs and human needs</t>
  </si>
  <si>
    <t>279-297</t>
  </si>
  <si>
    <t>Hallwass, G., Lopes, P. F., Juras, A. A. and Silvano, R. A. M.</t>
  </si>
  <si>
    <t>Fishers' knowledge identifies environmental changes and fish abundance trends in impounded tropical rivers</t>
  </si>
  <si>
    <t>392-407</t>
  </si>
  <si>
    <t>Swan, C. M. and Palmer, M. A.</t>
  </si>
  <si>
    <t>Composition of speciose leaf litter alters stream detritivore growth, feeding activity and leaf breakdown</t>
  </si>
  <si>
    <t>469-478</t>
  </si>
  <si>
    <t>Yin, Y., Nan, Z. B., Li, C. J. and Hou, F. J.</t>
  </si>
  <si>
    <t>Root-invading fungi of milk vetch on the Loess Plateau, China</t>
  </si>
  <si>
    <t>51-59</t>
  </si>
  <si>
    <t>Lin, Y. C., Chang, L. W., Yang, K. C., Wang, H. H. and Sun, I. F.</t>
  </si>
  <si>
    <t>Point patterns of tree distribution determined by habitat heterogeneity and dispersal limitation</t>
  </si>
  <si>
    <t>175-184</t>
  </si>
  <si>
    <t>Sfenthourakis, S., Tzanatos, E. and Giokas, S.</t>
  </si>
  <si>
    <t>Species co-occurrence: the case of congeneric species and a causal approach to patterns of species association</t>
  </si>
  <si>
    <t>39-49</t>
  </si>
  <si>
    <t>Griswold, C. K., Taylor, C. M. and Norris, D. R.</t>
  </si>
  <si>
    <t>The equilibrium population size of a partially migratory population and its response to environmental change</t>
  </si>
  <si>
    <t>1847-1859</t>
  </si>
  <si>
    <t>Rascher, K. G., Hellmann, C., Maguas, C. and Werner, C.</t>
  </si>
  <si>
    <t>Community scale 15N isoscapes: tracing the spatial impact of an exotic N2-fixing invader</t>
  </si>
  <si>
    <t>484-491</t>
  </si>
  <si>
    <t>Bruvoll, A. and Foehn, T.</t>
  </si>
  <si>
    <t>Transboundary effects of environmental policy: Markets and emission leakages</t>
  </si>
  <si>
    <t>499-510</t>
  </si>
  <si>
    <t>Schwemmer, P., Mendel, B., Sonntag, N., Dierschke, V. and Garthe, S.</t>
  </si>
  <si>
    <t>Effects of ship traffic on seabirds in offshore waters: implications for marine conservation and spatial planning</t>
  </si>
  <si>
    <t>1851-1860</t>
  </si>
  <si>
    <t>Boyer, E. W., Alexander, R. B., Parton, W. J., Li, C. S., Butterbach-Bahl, K., Donner, S. D., Skaggs, R. W. and Del Gross, S. J.</t>
  </si>
  <si>
    <t>Modeling denitrification in terrestrial and aquatic ecosystems at regional scales</t>
  </si>
  <si>
    <t>2123-2142</t>
  </si>
  <si>
    <t>Wilmking, M., Sanders, T. G. M., Zhang, Y. X., Kenter, S., Holzkamper, S. and Crittenden, P. D.</t>
  </si>
  <si>
    <t>Effects of Climate, Site Conditions, and Seed Quality on Recent Treeline Dynamics in NW Russia: Permafrost and Lack of Reproductive Success Hamper Treeline Advance?</t>
  </si>
  <si>
    <t>1053-1064</t>
  </si>
  <si>
    <t>Damschen, E. I., Rosenfeld, K. M., Wyer, M., Murphy-Medley, D., Wentworth, T. R. and Haddad, N. M.</t>
  </si>
  <si>
    <t>Visibility matters: increasing knowledge of women's contributions to ecology</t>
  </si>
  <si>
    <t>212-219</t>
  </si>
  <si>
    <t>Hoffman, F. M., Kumar, J., Mills, R. T. and Hargrove, W. W.</t>
  </si>
  <si>
    <t>Representativeness-based sampling network design for the State of Alaska</t>
  </si>
  <si>
    <t>1567-1586</t>
  </si>
  <si>
    <t>Sakamoto, M.</t>
  </si>
  <si>
    <t>Jaw biomechanics and the evolution of biting performance in theropod dinosaurs</t>
  </si>
  <si>
    <t>3327-3333</t>
  </si>
  <si>
    <t>Shackell, N. L., Frank, K. T. and Brickman, D. W.</t>
  </si>
  <si>
    <t>Range contraction may not always predict core areas: An example from marine fish</t>
  </si>
  <si>
    <t>1440-1449</t>
  </si>
  <si>
    <t>Bers, A. V., Prendergast, G. S., Zurn, C. M., Hansson, L., Head, R. M. and Thomason, J. C.</t>
  </si>
  <si>
    <t>A comparative study of the anti-settlement properties of mytilid shells</t>
  </si>
  <si>
    <t>88-91</t>
  </si>
  <si>
    <t>Ah-Peng, C., Chuah-Petiot, M., Descamps-Julien, B., Bardat, J., Stamenoff, P. and Strasberg, D.</t>
  </si>
  <si>
    <t>Bryophyte diversity and distribution along an altitudinal gradient on a lava flow in La Reunion</t>
  </si>
  <si>
    <t>654-662</t>
  </si>
  <si>
    <t>Hester, S. M., Cacho, O. J., Panetta, F. D. and Hauser, C. E.</t>
  </si>
  <si>
    <t>Economic aspects of post-border weed risk management</t>
  </si>
  <si>
    <t xml:space="preserve"> 5-6 </t>
  </si>
  <si>
    <t>580-589</t>
  </si>
  <si>
    <t>Lindstrom, T., Hakansson, N. and Wennergren, U.</t>
  </si>
  <si>
    <t>The shape of the spatial kernel and its implications for biological invasions in patchy environments</t>
  </si>
  <si>
    <t>Knight, A. T., Driver, A., Cowling, R. M., Maze, K., Desmet, P. G., Lombard, A. T., Rouget, M., Botha, M. A., Boshoff, A. F., Castley, J. G., Goodman, P. S., MacKinnon, K., Pierce, S. M., Sims-Castley, R., Stewart, W. I. and Von Hase, A.</t>
  </si>
  <si>
    <t>Designing systematic conservation assessments that promote effective implementation: Best practice from South Africa</t>
  </si>
  <si>
    <t>739-750</t>
  </si>
  <si>
    <t>Devictor, V. and Jiguet, F.</t>
  </si>
  <si>
    <t>Community richness and stability in agricultural landscapes: The importance of surrounding habitats</t>
  </si>
  <si>
    <t>179-184</t>
  </si>
  <si>
    <t>Dikow, T.</t>
  </si>
  <si>
    <t>Phylogeny of Asilidae Inferred from Morphological Characters of Imagines (Insecta: Diptera: Brachycera: Asiloidea)</t>
  </si>
  <si>
    <t>1-175</t>
  </si>
  <si>
    <t>Wood, C. L.</t>
  </si>
  <si>
    <t>Are non-native species more likely to become pests? Influence of biogeographic origin on the impacts of freshwater organisms(3)</t>
  </si>
  <si>
    <t>206-206</t>
  </si>
  <si>
    <t>Liu, X. M.</t>
  </si>
  <si>
    <t>jPopGen Suite: population genetic analysis of DNA polymorphism from nucleotide sequences with errors</t>
  </si>
  <si>
    <t>624-627</t>
  </si>
  <si>
    <t>Longcore, T. and Rich, C.</t>
  </si>
  <si>
    <t>Ecological light pollution</t>
  </si>
  <si>
    <t>191-198</t>
  </si>
  <si>
    <t>Dixson, D. L., Jones, G. P., Munday, P. L., Planes, S., Pratchett, M. S., Srinivasan, M., Syms, C. and Thorrold, S. R.</t>
  </si>
  <si>
    <t>Coral reef fish smell leaves to find island homes</t>
  </si>
  <si>
    <t>2831-2839</t>
  </si>
  <si>
    <t>Agimass, F. and Mekonnen, A.</t>
  </si>
  <si>
    <t>Low-income fishermen's willingness-to-pay for fisheries and watershed management: An application of choice experiment to Lake Tana, Ethiopia</t>
  </si>
  <si>
    <t>162-170</t>
  </si>
  <si>
    <t>Coyer, J. A., Hoarau, G., Sjotun, K. and Olsen, J. L.</t>
  </si>
  <si>
    <t>Being abundant is not enough: a decrease in effective population size over eight generations in a Norwegian population of the seaweed, Fucus serratus</t>
  </si>
  <si>
    <t>755-757</t>
  </si>
  <si>
    <t>10.1007/s00442-008-1208-6</t>
  </si>
  <si>
    <t>Experiment</t>
  </si>
  <si>
    <t>10.1111/j.1365-2745.2012.01955.x</t>
  </si>
  <si>
    <t>USA, Montana\Chile</t>
  </si>
  <si>
    <t>Meta Analysis</t>
  </si>
  <si>
    <t>Changes in treeline</t>
  </si>
  <si>
    <t>plot_res\t_btwn_samp</t>
  </si>
  <si>
    <t>10.1092/beheco/ars200</t>
  </si>
  <si>
    <t>doi:10.5194/bg-7-257-2010</t>
  </si>
  <si>
    <t>Model with Field Obs</t>
  </si>
  <si>
    <t>France</t>
  </si>
  <si>
    <t>Modeling VOC emissions from trees</t>
  </si>
  <si>
    <t>; DOI: 10.1007/s00442-009-1298-9</t>
  </si>
  <si>
    <t>doi:10.1016/j.biocon.2008.09.018</t>
  </si>
  <si>
    <t>Malaysia</t>
  </si>
  <si>
    <t>Coral seagrass conservation</t>
  </si>
  <si>
    <t>Paper Number</t>
  </si>
  <si>
    <t>t_btwn_samp\structure\function</t>
  </si>
  <si>
    <t>doi:10.1016/j.biocon.2008.09.019</t>
  </si>
  <si>
    <t>doi:10.1016/j.biocon.2008.09.020</t>
  </si>
  <si>
    <t>doi:10.1016/j.biocon.2008.09.021</t>
  </si>
  <si>
    <t>doi:10.1016/j.biocon.2008.09.022</t>
  </si>
  <si>
    <t>doi:10.1016/j.biocon.2008.09.023</t>
  </si>
  <si>
    <t>doi:10.1016/j.biocon.2008.09.024</t>
  </si>
  <si>
    <t>Commentary</t>
  </si>
  <si>
    <t>doi:10.1007/s00442-010-1769-0</t>
  </si>
  <si>
    <t>USA, Montana</t>
  </si>
  <si>
    <t>Nest Predation in Brewer's Sparrow</t>
  </si>
  <si>
    <t>Reason to Toss</t>
  </si>
  <si>
    <t>Authors</t>
  </si>
  <si>
    <t>Article Title</t>
  </si>
  <si>
    <t>Modeling</t>
  </si>
  <si>
    <t>Fossils</t>
  </si>
  <si>
    <t>Computer Program</t>
  </si>
  <si>
    <t>Literature Review</t>
  </si>
  <si>
    <t>The American Naturalist</t>
  </si>
  <si>
    <t>doi:10.1086/512046</t>
  </si>
  <si>
    <t>France\Sweden</t>
  </si>
  <si>
    <t>Antler Size in Roe Deer</t>
  </si>
  <si>
    <t>plot_res\samp_duration</t>
  </si>
  <si>
    <t>plot_res\t_btwn_samp\study_span</t>
  </si>
  <si>
    <t>doi:10.1017/j.biocon.2010.10.005</t>
  </si>
  <si>
    <t>Canada, British Columbia</t>
  </si>
  <si>
    <t>Plant community functional traits and grazing pressure</t>
  </si>
  <si>
    <t>n_sites\t_btwn_samp</t>
  </si>
  <si>
    <t>doi: 10.1111/j.1365-2486.2011.02514.x</t>
  </si>
  <si>
    <t>Netherlands, Groningen</t>
  </si>
  <si>
    <t>Snail shell color change over time</t>
  </si>
  <si>
    <t>doi: 10.1111/j.1365-2486.2009.01898.x</t>
  </si>
  <si>
    <t>Survey?</t>
  </si>
  <si>
    <t>Sweden</t>
  </si>
  <si>
    <t>Soil CO2 production and temperature</t>
  </si>
  <si>
    <t>t_btwn_samp\study_span</t>
  </si>
  <si>
    <t>California</t>
  </si>
  <si>
    <t>plot_res\sampled_area\samp_duration</t>
  </si>
  <si>
    <t>Demography and modeling of Sierra Nevada Bighorn Sheep</t>
  </si>
  <si>
    <t>Agriculture, Ecosystems, and Environment</t>
  </si>
  <si>
    <t>doi:10.1890/09-1107.1</t>
  </si>
  <si>
    <t>doi:10.1016/j.agee.2004.07.002</t>
  </si>
  <si>
    <t>Remote Sensing</t>
  </si>
  <si>
    <t>Costa Rica</t>
  </si>
  <si>
    <t>Land use change in Chorotega region, Costa Rica</t>
  </si>
  <si>
    <t>samp_duration\plot_res</t>
  </si>
  <si>
    <t>doi:10.5194/bg-8-267-2011</t>
  </si>
  <si>
    <t>Mediterranean Sea</t>
  </si>
  <si>
    <t>Distribution of protist parasites in oligotrophic waters of Mediterranean</t>
  </si>
  <si>
    <t>plot_res\n_sites</t>
  </si>
  <si>
    <t>DOI 10.1007/s00442-012-2362-4</t>
  </si>
  <si>
    <t>Lifetime reproductive success in a 17 year study</t>
  </si>
  <si>
    <t>Hungary</t>
  </si>
  <si>
    <t>t_btwn_samp\structure</t>
  </si>
  <si>
    <t>Peruvian cetacean caught in artisinal fisheries</t>
  </si>
  <si>
    <t>Peru</t>
  </si>
  <si>
    <t>doi:10.1016/j.biocon.2009.09.017</t>
  </si>
  <si>
    <t>plot_res\samp_duration\t_btwn_samp</t>
  </si>
  <si>
    <t>Not sure about this - surveys with fishermen</t>
  </si>
  <si>
    <t>doi: 10.1111/j.1365-2486.2008.01789.x</t>
  </si>
  <si>
    <t>Finland</t>
  </si>
  <si>
    <t>Range shifts of Finnish butterflies</t>
  </si>
  <si>
    <t>n_sites\plot_res\function</t>
  </si>
  <si>
    <t>10.1023/A:1024189828387</t>
  </si>
  <si>
    <t>samp_duration\study_duration\composition</t>
  </si>
  <si>
    <t>doi:10.1016/j.agee.2008.08.009</t>
  </si>
  <si>
    <t>Norway</t>
  </si>
  <si>
    <t>A model to look at differences in grazing pressure from 1960s to 2002</t>
  </si>
  <si>
    <t>doi:10.1093/beheco/arr030</t>
  </si>
  <si>
    <t>Testosterone and bird paternal and mating effort</t>
  </si>
  <si>
    <t>Virginia</t>
  </si>
  <si>
    <t>doi:10.1093/beheco/arr031</t>
  </si>
  <si>
    <t>doi:10.1093/beheco/arr032</t>
  </si>
  <si>
    <t>doi:10.1016/j.biocon.2007.11.007</t>
  </si>
  <si>
    <t>10.1093/beheco/ars200</t>
  </si>
  <si>
    <t>10.1007/s10021-007-9036-9</t>
  </si>
  <si>
    <t>10.1111/j.1365-2486.2012.02705.x</t>
  </si>
  <si>
    <t>10.1098/rspb.2006.3664</t>
  </si>
  <si>
    <t>10.1111/j.1472-4642.2007.00359.x</t>
  </si>
  <si>
    <t>Used market data for seed trade for economic analysis - not ecological</t>
  </si>
  <si>
    <t>10.1016/j.ecolecon.2012.06.004</t>
  </si>
  <si>
    <t>10.1098/rspb.2004.2799</t>
  </si>
  <si>
    <t>10.1111/j.1365-2745.2012.01957.x</t>
  </si>
  <si>
    <t>10.1098/rspb.2008.1246</t>
  </si>
  <si>
    <t>10.1111/2041-210X.12121</t>
  </si>
  <si>
    <t>10.1016/j.agee.2003.12.018</t>
  </si>
  <si>
    <t>10.1093/beheco/arl078</t>
  </si>
  <si>
    <t>10.1016/j.ecolecon.2011.08.006</t>
  </si>
  <si>
    <t>10.1111/j.1365-2486.2004.00816.x</t>
  </si>
  <si>
    <t>10.1007/s00442-005-0274-2</t>
  </si>
  <si>
    <t>10.1111/j.1365-2486.2012.02667.x</t>
  </si>
  <si>
    <t>10.1111/j.0030-1299.2005.13973.x</t>
  </si>
  <si>
    <t>10.1007/s00442-014-2903-0</t>
  </si>
  <si>
    <t>10.1098/rspb.2005.3229</t>
  </si>
  <si>
    <t>10.1016/j.ecolecon.2011.06.021</t>
  </si>
  <si>
    <t>10.1890/11-0495.1</t>
  </si>
  <si>
    <t>Data is inaccessible</t>
  </si>
  <si>
    <t>10.1093/beheco/ari099</t>
  </si>
  <si>
    <t>10.1007/s00442-012-2490-x</t>
  </si>
  <si>
    <t>10.1016/j.biocon.2009.09.010</t>
  </si>
  <si>
    <t>A survey of people about wolves</t>
  </si>
  <si>
    <t>10.1890/07-0145.1</t>
  </si>
  <si>
    <t>10.1098/rspb.2005.3190</t>
  </si>
  <si>
    <t>10.1098/rspb.2014.0036</t>
  </si>
  <si>
    <t>10.1111/j.1365-2486.2008.01600.x</t>
  </si>
  <si>
    <t>Data unavailable</t>
  </si>
  <si>
    <t>10.1098/rspb.2008.0679</t>
  </si>
  <si>
    <t>Specimens grown in lab</t>
  </si>
  <si>
    <t>10.1111/j.1365-2745.2009.01566.x</t>
  </si>
  <si>
    <t>10.1098/rspb.2013.0870</t>
  </si>
  <si>
    <t>10.5194/bg-4-395-2007</t>
  </si>
  <si>
    <t>10.1098/rspb.2012.2011</t>
  </si>
  <si>
    <t>10.1111/j.1365-2486.2011.02568.x</t>
  </si>
  <si>
    <t>10.1016/j.ecolecon.2014.03.012</t>
  </si>
  <si>
    <t>Modeling based on human consumption of fuel data</t>
  </si>
  <si>
    <t>10.1098/rsbl.2009.0567</t>
  </si>
  <si>
    <t>Looking at sublethal effects of an oil spill on birds</t>
  </si>
  <si>
    <t>Spain</t>
  </si>
  <si>
    <t>10.1007/s00442-007-0728-9</t>
  </si>
  <si>
    <t>doi:10.1016/j.agee.2005.08.034</t>
  </si>
  <si>
    <t>Agriculture, Ecosystems &amp; Environment</t>
  </si>
  <si>
    <t>10.1111/j.0030-1299.2008.16737.x</t>
  </si>
  <si>
    <t>10.1111/j.1600-0706.2009.17643.x</t>
  </si>
  <si>
    <t>10.1890/05-0765</t>
  </si>
  <si>
    <t>10.2307/5021</t>
  </si>
  <si>
    <t>South Africa</t>
  </si>
  <si>
    <t>Kudu populations in Kruger National Park</t>
  </si>
  <si>
    <t>samp_duration\study_duration</t>
  </si>
  <si>
    <t>10.4102/koedoe.v33i1.449</t>
  </si>
  <si>
    <t>plot_res\tax_breadth</t>
  </si>
  <si>
    <t>plot_res\study_duration</t>
  </si>
  <si>
    <t>This should be from a different study, but I can't get access. I'm going off of what the larger study described.</t>
  </si>
  <si>
    <t>plot_res\n_sites\samp_duration\study_duration\tax_breadth</t>
  </si>
  <si>
    <t>Wildebeest populations in Kruger</t>
  </si>
  <si>
    <t>Wildebeest in Serengeti</t>
  </si>
  <si>
    <t>10.1046/j.1365-2656.1999.00352.x</t>
  </si>
  <si>
    <t>10.4102/koedoe.v37i1.332</t>
  </si>
  <si>
    <t>study_span\study_duration</t>
  </si>
  <si>
    <t>This study doesn't really do a very good job of detailing methods</t>
  </si>
  <si>
    <t>plot_res\n_sites\samp_duration\study_duration\t_btwn_samp</t>
  </si>
  <si>
    <t>Rainfall at Kruger</t>
  </si>
  <si>
    <t>Rainfall at Serengeti</t>
  </si>
  <si>
    <t>10.1111/j.1365-2486.2012.02740.x</t>
  </si>
  <si>
    <t>Paleo-Reconstruction</t>
  </si>
  <si>
    <t>Canada, Ontario</t>
  </si>
  <si>
    <t>Medieval Climate Anomaly and lake core samples</t>
  </si>
  <si>
    <t>study_duration\samp_duration</t>
  </si>
  <si>
    <t>plot_res\t_btwn_samp\study_span\n_sites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</si>
</sst>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5" x14ac:knownFonts="1"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  <family val="2"/>
    </font>
    <font>
      <b/>
      <sz val="10"/>
      <name val="Arial"/>
      <family val="2"/>
    </font>
    <font>
      <sz val="10"/>
      <color rgb="FF222222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/>
    <xf numFmtId="164" fontId="6" fillId="2" borderId="1" xfId="0" applyNumberFormat="1" applyFont="1" applyFill="1" applyBorder="1"/>
    <xf numFmtId="0" fontId="7" fillId="2" borderId="1" xfId="0" applyFont="1" applyFill="1" applyBorder="1"/>
    <xf numFmtId="16" fontId="0" fillId="0" borderId="0" xfId="0" applyNumberFormat="1"/>
    <xf numFmtId="0" fontId="0" fillId="2" borderId="1" xfId="0" applyFont="1" applyFill="1" applyBorder="1"/>
    <xf numFmtId="0" fontId="10" fillId="2" borderId="1" xfId="0" applyFont="1" applyFill="1" applyBorder="1"/>
    <xf numFmtId="0" fontId="10" fillId="0" borderId="0" xfId="0" applyFont="1"/>
    <xf numFmtId="0" fontId="0" fillId="0" borderId="0" xfId="0" applyFill="1"/>
    <xf numFmtId="0" fontId="5" fillId="0" borderId="1" xfId="0" applyFont="1" applyFill="1" applyBorder="1"/>
    <xf numFmtId="0" fontId="7" fillId="0" borderId="1" xfId="0" applyFont="1" applyFill="1" applyBorder="1"/>
    <xf numFmtId="0" fontId="0" fillId="0" borderId="1" xfId="0" applyFont="1" applyFill="1" applyBorder="1"/>
    <xf numFmtId="0" fontId="10" fillId="0" borderId="0" xfId="0" applyFont="1" applyFill="1"/>
    <xf numFmtId="0" fontId="11" fillId="0" borderId="2" xfId="0" applyFont="1" applyFill="1" applyBorder="1"/>
    <xf numFmtId="164" fontId="11" fillId="0" borderId="2" xfId="0" applyNumberFormat="1" applyFont="1" applyFill="1" applyBorder="1"/>
    <xf numFmtId="0" fontId="0" fillId="2" borderId="0" xfId="0" applyFont="1" applyFill="1"/>
    <xf numFmtId="0" fontId="0" fillId="2" borderId="0" xfId="0" applyFill="1"/>
    <xf numFmtId="0" fontId="11" fillId="0" borderId="0" xfId="0" applyFont="1"/>
    <xf numFmtId="0" fontId="0" fillId="0" borderId="0" xfId="0" quotePrefix="1"/>
    <xf numFmtId="0" fontId="0" fillId="0" borderId="0" xfId="0" applyNumberFormat="1"/>
    <xf numFmtId="0" fontId="0" fillId="3" borderId="0" xfId="0" applyFill="1"/>
    <xf numFmtId="0" fontId="0" fillId="3" borderId="1" xfId="0" applyFont="1" applyFill="1" applyBorder="1"/>
    <xf numFmtId="0" fontId="10" fillId="3" borderId="1" xfId="0" applyFont="1" applyFill="1" applyBorder="1"/>
    <xf numFmtId="164" fontId="6" fillId="3" borderId="1" xfId="0" applyNumberFormat="1" applyFont="1" applyFill="1" applyBorder="1"/>
    <xf numFmtId="0" fontId="5" fillId="3" borderId="1" xfId="0" applyFont="1" applyFill="1" applyBorder="1"/>
    <xf numFmtId="0" fontId="7" fillId="3" borderId="1" xfId="0" applyFont="1" applyFill="1" applyBorder="1"/>
    <xf numFmtId="0" fontId="10" fillId="3" borderId="0" xfId="0" applyFont="1" applyFill="1"/>
    <xf numFmtId="0" fontId="0" fillId="3" borderId="0" xfId="0" quotePrefix="1" applyFill="1"/>
    <xf numFmtId="0" fontId="0" fillId="3" borderId="0" xfId="0" applyFont="1" applyFill="1"/>
    <xf numFmtId="0" fontId="0" fillId="0" borderId="0" xfId="0" applyFont="1" applyFill="1"/>
    <xf numFmtId="164" fontId="6" fillId="0" borderId="1" xfId="0" applyNumberFormat="1" applyFont="1" applyFill="1" applyBorder="1"/>
    <xf numFmtId="0" fontId="10" fillId="4" borderId="0" xfId="0" applyFont="1" applyFill="1"/>
    <xf numFmtId="0" fontId="12" fillId="0" borderId="0" xfId="0" applyFont="1"/>
    <xf numFmtId="164" fontId="0" fillId="2" borderId="1" xfId="0" applyNumberFormat="1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12</xdr:col>
      <xdr:colOff>666750</xdr:colOff>
      <xdr:row>75</xdr:row>
      <xdr:rowOff>104775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666750</xdr:colOff>
      <xdr:row>75</xdr:row>
      <xdr:rowOff>104775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666750</xdr:colOff>
      <xdr:row>75</xdr:row>
      <xdr:rowOff>104775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666750</xdr:colOff>
      <xdr:row>75</xdr:row>
      <xdr:rowOff>104775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666750</xdr:colOff>
      <xdr:row>75</xdr:row>
      <xdr:rowOff>104775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666750</xdr:colOff>
      <xdr:row>75</xdr:row>
      <xdr:rowOff>104775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666750</xdr:colOff>
      <xdr:row>75</xdr:row>
      <xdr:rowOff>104775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496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666750</xdr:colOff>
      <xdr:row>75</xdr:row>
      <xdr:rowOff>104775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9525000" cy="95916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75</xdr:row>
      <xdr:rowOff>104775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9667875" cy="9591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75</xdr:row>
      <xdr:rowOff>104775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9791700" cy="9448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75</xdr:row>
      <xdr:rowOff>104775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9791700" cy="9448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75</xdr:row>
      <xdr:rowOff>104775</xdr:rowOff>
    </xdr:to>
    <xdr:sp macro="" textlink="">
      <xdr:nvSpPr>
        <xdr:cNvPr id="12" name="AutoShape 3"/>
        <xdr:cNvSpPr>
          <a:spLocks noChangeArrowheads="1"/>
        </xdr:cNvSpPr>
      </xdr:nvSpPr>
      <xdr:spPr bwMode="auto">
        <a:xfrm>
          <a:off x="0" y="0"/>
          <a:ext cx="9791700" cy="9448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75</xdr:row>
      <xdr:rowOff>104775</xdr:rowOff>
    </xdr:to>
    <xdr:sp macro="" textlink="">
      <xdr:nvSpPr>
        <xdr:cNvPr id="13" name="AutoShape 3"/>
        <xdr:cNvSpPr>
          <a:spLocks noChangeArrowheads="1"/>
        </xdr:cNvSpPr>
      </xdr:nvSpPr>
      <xdr:spPr bwMode="auto">
        <a:xfrm>
          <a:off x="0" y="0"/>
          <a:ext cx="9791700" cy="9448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75</xdr:row>
      <xdr:rowOff>104775</xdr:rowOff>
    </xdr:to>
    <xdr:sp macro="" textlink="">
      <xdr:nvSpPr>
        <xdr:cNvPr id="14" name="AutoShape 3"/>
        <xdr:cNvSpPr>
          <a:spLocks noChangeArrowheads="1"/>
        </xdr:cNvSpPr>
      </xdr:nvSpPr>
      <xdr:spPr bwMode="auto">
        <a:xfrm>
          <a:off x="0" y="0"/>
          <a:ext cx="9553575" cy="8391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75</xdr:row>
      <xdr:rowOff>104775</xdr:rowOff>
    </xdr:to>
    <xdr:sp macro="" textlink="">
      <xdr:nvSpPr>
        <xdr:cNvPr id="15" name="AutoShape 3"/>
        <xdr:cNvSpPr>
          <a:spLocks noChangeArrowheads="1"/>
        </xdr:cNvSpPr>
      </xdr:nvSpPr>
      <xdr:spPr bwMode="auto">
        <a:xfrm>
          <a:off x="0" y="0"/>
          <a:ext cx="9553575" cy="8391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75</xdr:row>
      <xdr:rowOff>104775</xdr:rowOff>
    </xdr:to>
    <xdr:sp macro="" textlink="">
      <xdr:nvSpPr>
        <xdr:cNvPr id="16" name="AutoShape 3"/>
        <xdr:cNvSpPr>
          <a:spLocks noChangeArrowheads="1"/>
        </xdr:cNvSpPr>
      </xdr:nvSpPr>
      <xdr:spPr bwMode="auto">
        <a:xfrm>
          <a:off x="0" y="0"/>
          <a:ext cx="9553575" cy="8391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75</xdr:row>
      <xdr:rowOff>104775</xdr:rowOff>
    </xdr:to>
    <xdr:sp macro="" textlink="">
      <xdr:nvSpPr>
        <xdr:cNvPr id="17" name="AutoShape 3"/>
        <xdr:cNvSpPr>
          <a:spLocks noChangeArrowheads="1"/>
        </xdr:cNvSpPr>
      </xdr:nvSpPr>
      <xdr:spPr bwMode="auto">
        <a:xfrm>
          <a:off x="0" y="0"/>
          <a:ext cx="9553575" cy="8391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75</xdr:row>
      <xdr:rowOff>104775</xdr:rowOff>
    </xdr:to>
    <xdr:sp macro="" textlink="">
      <xdr:nvSpPr>
        <xdr:cNvPr id="18" name="AutoShape 3"/>
        <xdr:cNvSpPr>
          <a:spLocks noChangeArrowheads="1"/>
        </xdr:cNvSpPr>
      </xdr:nvSpPr>
      <xdr:spPr bwMode="auto">
        <a:xfrm>
          <a:off x="0" y="0"/>
          <a:ext cx="9553575" cy="8391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75</xdr:row>
      <xdr:rowOff>104775</xdr:rowOff>
    </xdr:to>
    <xdr:sp macro="" textlink="">
      <xdr:nvSpPr>
        <xdr:cNvPr id="19" name="AutoShape 3"/>
        <xdr:cNvSpPr>
          <a:spLocks noChangeArrowheads="1"/>
        </xdr:cNvSpPr>
      </xdr:nvSpPr>
      <xdr:spPr bwMode="auto">
        <a:xfrm>
          <a:off x="0" y="0"/>
          <a:ext cx="9553575" cy="8391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75</xdr:row>
      <xdr:rowOff>104775</xdr:rowOff>
    </xdr:to>
    <xdr:sp macro="" textlink="">
      <xdr:nvSpPr>
        <xdr:cNvPr id="20" name="AutoShape 3"/>
        <xdr:cNvSpPr>
          <a:spLocks noChangeArrowheads="1"/>
        </xdr:cNvSpPr>
      </xdr:nvSpPr>
      <xdr:spPr bwMode="auto">
        <a:xfrm>
          <a:off x="0" y="0"/>
          <a:ext cx="9553575" cy="8391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75</xdr:row>
      <xdr:rowOff>104775</xdr:rowOff>
    </xdr:to>
    <xdr:sp macro="" textlink="">
      <xdr:nvSpPr>
        <xdr:cNvPr id="21" name="AutoShape 3"/>
        <xdr:cNvSpPr>
          <a:spLocks noChangeArrowheads="1"/>
        </xdr:cNvSpPr>
      </xdr:nvSpPr>
      <xdr:spPr bwMode="auto">
        <a:xfrm>
          <a:off x="0" y="0"/>
          <a:ext cx="9553575" cy="8391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75</xdr:row>
      <xdr:rowOff>104775</xdr:rowOff>
    </xdr:to>
    <xdr:sp macro="" textlink="">
      <xdr:nvSpPr>
        <xdr:cNvPr id="22" name="AutoShape 3"/>
        <xdr:cNvSpPr>
          <a:spLocks noChangeArrowheads="1"/>
        </xdr:cNvSpPr>
      </xdr:nvSpPr>
      <xdr:spPr bwMode="auto">
        <a:xfrm>
          <a:off x="0" y="0"/>
          <a:ext cx="9553575" cy="8391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75</xdr:row>
      <xdr:rowOff>104775</xdr:rowOff>
    </xdr:to>
    <xdr:sp macro="" textlink="">
      <xdr:nvSpPr>
        <xdr:cNvPr id="23" name="AutoShape 3"/>
        <xdr:cNvSpPr>
          <a:spLocks noChangeArrowheads="1"/>
        </xdr:cNvSpPr>
      </xdr:nvSpPr>
      <xdr:spPr bwMode="auto">
        <a:xfrm>
          <a:off x="0" y="0"/>
          <a:ext cx="9553575" cy="8391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76</xdr:row>
      <xdr:rowOff>104775</xdr:rowOff>
    </xdr:to>
    <xdr:sp macro="" textlink="">
      <xdr:nvSpPr>
        <xdr:cNvPr id="24" name="AutoShape 3"/>
        <xdr:cNvSpPr>
          <a:spLocks noChangeArrowheads="1"/>
        </xdr:cNvSpPr>
      </xdr:nvSpPr>
      <xdr:spPr bwMode="auto">
        <a:xfrm>
          <a:off x="0" y="0"/>
          <a:ext cx="9553575" cy="8391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76</xdr:row>
      <xdr:rowOff>104775</xdr:rowOff>
    </xdr:to>
    <xdr:sp macro="" textlink="">
      <xdr:nvSpPr>
        <xdr:cNvPr id="25" name="AutoShape 3"/>
        <xdr:cNvSpPr>
          <a:spLocks noChangeArrowheads="1"/>
        </xdr:cNvSpPr>
      </xdr:nvSpPr>
      <xdr:spPr bwMode="auto">
        <a:xfrm>
          <a:off x="0" y="0"/>
          <a:ext cx="9553575" cy="8391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51</xdr:row>
      <xdr:rowOff>104775</xdr:rowOff>
    </xdr:to>
    <xdr:sp macro="" textlink="">
      <xdr:nvSpPr>
        <xdr:cNvPr id="26" name="AutoShape 3"/>
        <xdr:cNvSpPr>
          <a:spLocks noChangeArrowheads="1"/>
        </xdr:cNvSpPr>
      </xdr:nvSpPr>
      <xdr:spPr bwMode="auto">
        <a:xfrm>
          <a:off x="0" y="0"/>
          <a:ext cx="9534525" cy="8391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51</xdr:row>
      <xdr:rowOff>104775</xdr:rowOff>
    </xdr:to>
    <xdr:sp macro="" textlink="">
      <xdr:nvSpPr>
        <xdr:cNvPr id="27" name="AutoShape 3"/>
        <xdr:cNvSpPr>
          <a:spLocks noChangeArrowheads="1"/>
        </xdr:cNvSpPr>
      </xdr:nvSpPr>
      <xdr:spPr bwMode="auto">
        <a:xfrm>
          <a:off x="0" y="0"/>
          <a:ext cx="9534525" cy="8391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51</xdr:row>
      <xdr:rowOff>104775</xdr:rowOff>
    </xdr:to>
    <xdr:sp macro="" textlink="">
      <xdr:nvSpPr>
        <xdr:cNvPr id="28" name="AutoShape 3"/>
        <xdr:cNvSpPr>
          <a:spLocks noChangeArrowheads="1"/>
        </xdr:cNvSpPr>
      </xdr:nvSpPr>
      <xdr:spPr bwMode="auto">
        <a:xfrm>
          <a:off x="0" y="0"/>
          <a:ext cx="9534525" cy="8391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51</xdr:row>
      <xdr:rowOff>104775</xdr:rowOff>
    </xdr:to>
    <xdr:sp macro="" textlink="">
      <xdr:nvSpPr>
        <xdr:cNvPr id="29" name="AutoShape 3"/>
        <xdr:cNvSpPr>
          <a:spLocks noChangeArrowheads="1"/>
        </xdr:cNvSpPr>
      </xdr:nvSpPr>
      <xdr:spPr bwMode="auto">
        <a:xfrm>
          <a:off x="0" y="0"/>
          <a:ext cx="9534525" cy="8391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51</xdr:row>
      <xdr:rowOff>104775</xdr:rowOff>
    </xdr:to>
    <xdr:sp macro="" textlink="">
      <xdr:nvSpPr>
        <xdr:cNvPr id="30" name="AutoShape 3"/>
        <xdr:cNvSpPr>
          <a:spLocks noChangeArrowheads="1"/>
        </xdr:cNvSpPr>
      </xdr:nvSpPr>
      <xdr:spPr bwMode="auto">
        <a:xfrm>
          <a:off x="0" y="0"/>
          <a:ext cx="9534525" cy="8391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51</xdr:row>
      <xdr:rowOff>104775</xdr:rowOff>
    </xdr:to>
    <xdr:sp macro="" textlink="">
      <xdr:nvSpPr>
        <xdr:cNvPr id="31" name="AutoShape 3"/>
        <xdr:cNvSpPr>
          <a:spLocks noChangeArrowheads="1"/>
        </xdr:cNvSpPr>
      </xdr:nvSpPr>
      <xdr:spPr bwMode="auto">
        <a:xfrm>
          <a:off x="0" y="0"/>
          <a:ext cx="9534525" cy="8391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647700</xdr:colOff>
      <xdr:row>54</xdr:row>
      <xdr:rowOff>114300</xdr:rowOff>
    </xdr:to>
    <xdr:sp macro="" textlink="">
      <xdr:nvSpPr>
        <xdr:cNvPr id="1024" name="AutoShape 3"/>
        <xdr:cNvSpPr>
          <a:spLocks noChangeArrowheads="1"/>
        </xdr:cNvSpPr>
      </xdr:nvSpPr>
      <xdr:spPr bwMode="auto">
        <a:xfrm>
          <a:off x="0" y="0"/>
          <a:ext cx="9525000" cy="8382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647700</xdr:colOff>
      <xdr:row>54</xdr:row>
      <xdr:rowOff>114300</xdr:rowOff>
    </xdr:to>
    <xdr:sp macro="" textlink="">
      <xdr:nvSpPr>
        <xdr:cNvPr id="1025" name="AutoShape 3"/>
        <xdr:cNvSpPr>
          <a:spLocks noChangeArrowheads="1"/>
        </xdr:cNvSpPr>
      </xdr:nvSpPr>
      <xdr:spPr bwMode="auto">
        <a:xfrm>
          <a:off x="0" y="0"/>
          <a:ext cx="9525000" cy="8382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647700</xdr:colOff>
      <xdr:row>54</xdr:row>
      <xdr:rowOff>114300</xdr:rowOff>
    </xdr:to>
    <xdr:sp macro="" textlink="">
      <xdr:nvSpPr>
        <xdr:cNvPr id="1026" name="AutoShape 3"/>
        <xdr:cNvSpPr>
          <a:spLocks noChangeArrowheads="1"/>
        </xdr:cNvSpPr>
      </xdr:nvSpPr>
      <xdr:spPr bwMode="auto">
        <a:xfrm>
          <a:off x="0" y="0"/>
          <a:ext cx="9525000" cy="8382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12</xdr:col>
      <xdr:colOff>666750</xdr:colOff>
      <xdr:row>50</xdr:row>
      <xdr:rowOff>104775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028700" y="0"/>
          <a:ext cx="10928350" cy="11572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666750</xdr:colOff>
      <xdr:row>50</xdr:row>
      <xdr:rowOff>104775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1028700" y="0"/>
          <a:ext cx="10928350" cy="115728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666750</xdr:colOff>
      <xdr:row>50</xdr:row>
      <xdr:rowOff>104775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1028700" y="0"/>
          <a:ext cx="10928350" cy="115728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666750</xdr:colOff>
      <xdr:row>50</xdr:row>
      <xdr:rowOff>104775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1028700" y="0"/>
          <a:ext cx="10928350" cy="11572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666750</xdr:colOff>
      <xdr:row>50</xdr:row>
      <xdr:rowOff>104775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1028700" y="0"/>
          <a:ext cx="10928350" cy="115728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666750</xdr:colOff>
      <xdr:row>50</xdr:row>
      <xdr:rowOff>104775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1028700" y="0"/>
          <a:ext cx="10928350" cy="11572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666750</xdr:colOff>
      <xdr:row>50</xdr:row>
      <xdr:rowOff>104775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1028700" y="0"/>
          <a:ext cx="10928350" cy="115728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50</xdr:row>
      <xdr:rowOff>104775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10801350" cy="11572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50</xdr:row>
      <xdr:rowOff>104775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10801350" cy="11572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50</xdr:row>
      <xdr:rowOff>104775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10801350" cy="11572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50</xdr:row>
      <xdr:rowOff>104775</xdr:rowOff>
    </xdr:to>
    <xdr:sp macro="" textlink="">
      <xdr:nvSpPr>
        <xdr:cNvPr id="12" name="AutoShape 3"/>
        <xdr:cNvSpPr>
          <a:spLocks noChangeArrowheads="1"/>
        </xdr:cNvSpPr>
      </xdr:nvSpPr>
      <xdr:spPr bwMode="auto">
        <a:xfrm>
          <a:off x="0" y="0"/>
          <a:ext cx="10801350" cy="11572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50</xdr:row>
      <xdr:rowOff>104775</xdr:rowOff>
    </xdr:to>
    <xdr:sp macro="" textlink="">
      <xdr:nvSpPr>
        <xdr:cNvPr id="13" name="AutoShape 3"/>
        <xdr:cNvSpPr>
          <a:spLocks noChangeArrowheads="1"/>
        </xdr:cNvSpPr>
      </xdr:nvSpPr>
      <xdr:spPr bwMode="auto">
        <a:xfrm>
          <a:off x="0" y="0"/>
          <a:ext cx="10801350" cy="11572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50</xdr:row>
      <xdr:rowOff>104775</xdr:rowOff>
    </xdr:to>
    <xdr:sp macro="" textlink="">
      <xdr:nvSpPr>
        <xdr:cNvPr id="14" name="AutoShape 3"/>
        <xdr:cNvSpPr>
          <a:spLocks noChangeArrowheads="1"/>
        </xdr:cNvSpPr>
      </xdr:nvSpPr>
      <xdr:spPr bwMode="auto">
        <a:xfrm>
          <a:off x="0" y="0"/>
          <a:ext cx="10801350" cy="11572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50</xdr:row>
      <xdr:rowOff>104775</xdr:rowOff>
    </xdr:to>
    <xdr:sp macro="" textlink="">
      <xdr:nvSpPr>
        <xdr:cNvPr id="15" name="AutoShape 3"/>
        <xdr:cNvSpPr>
          <a:spLocks noChangeArrowheads="1"/>
        </xdr:cNvSpPr>
      </xdr:nvSpPr>
      <xdr:spPr bwMode="auto">
        <a:xfrm>
          <a:off x="0" y="0"/>
          <a:ext cx="10801350" cy="11572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50</xdr:row>
      <xdr:rowOff>104775</xdr:rowOff>
    </xdr:to>
    <xdr:sp macro="" textlink="">
      <xdr:nvSpPr>
        <xdr:cNvPr id="16" name="AutoShape 3"/>
        <xdr:cNvSpPr>
          <a:spLocks noChangeArrowheads="1"/>
        </xdr:cNvSpPr>
      </xdr:nvSpPr>
      <xdr:spPr bwMode="auto">
        <a:xfrm>
          <a:off x="0" y="0"/>
          <a:ext cx="10801350" cy="11572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50</xdr:row>
      <xdr:rowOff>104775</xdr:rowOff>
    </xdr:to>
    <xdr:sp macro="" textlink="">
      <xdr:nvSpPr>
        <xdr:cNvPr id="17" name="AutoShape 3"/>
        <xdr:cNvSpPr>
          <a:spLocks noChangeArrowheads="1"/>
        </xdr:cNvSpPr>
      </xdr:nvSpPr>
      <xdr:spPr bwMode="auto">
        <a:xfrm>
          <a:off x="0" y="0"/>
          <a:ext cx="10801350" cy="11572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50</xdr:row>
      <xdr:rowOff>104775</xdr:rowOff>
    </xdr:to>
    <xdr:sp macro="" textlink="">
      <xdr:nvSpPr>
        <xdr:cNvPr id="18" name="AutoShape 3"/>
        <xdr:cNvSpPr>
          <a:spLocks noChangeArrowheads="1"/>
        </xdr:cNvSpPr>
      </xdr:nvSpPr>
      <xdr:spPr bwMode="auto">
        <a:xfrm>
          <a:off x="0" y="0"/>
          <a:ext cx="10801350" cy="11572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50</xdr:row>
      <xdr:rowOff>104775</xdr:rowOff>
    </xdr:to>
    <xdr:sp macro="" textlink="">
      <xdr:nvSpPr>
        <xdr:cNvPr id="19" name="AutoShape 3"/>
        <xdr:cNvSpPr>
          <a:spLocks noChangeArrowheads="1"/>
        </xdr:cNvSpPr>
      </xdr:nvSpPr>
      <xdr:spPr bwMode="auto">
        <a:xfrm>
          <a:off x="0" y="0"/>
          <a:ext cx="10801350" cy="11572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50</xdr:row>
      <xdr:rowOff>104775</xdr:rowOff>
    </xdr:to>
    <xdr:sp macro="" textlink="">
      <xdr:nvSpPr>
        <xdr:cNvPr id="20" name="AutoShape 3"/>
        <xdr:cNvSpPr>
          <a:spLocks noChangeArrowheads="1"/>
        </xdr:cNvSpPr>
      </xdr:nvSpPr>
      <xdr:spPr bwMode="auto">
        <a:xfrm>
          <a:off x="0" y="0"/>
          <a:ext cx="10801350" cy="11572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50</xdr:row>
      <xdr:rowOff>104775</xdr:rowOff>
    </xdr:to>
    <xdr:sp macro="" textlink="">
      <xdr:nvSpPr>
        <xdr:cNvPr id="21" name="AutoShape 3"/>
        <xdr:cNvSpPr>
          <a:spLocks noChangeArrowheads="1"/>
        </xdr:cNvSpPr>
      </xdr:nvSpPr>
      <xdr:spPr bwMode="auto">
        <a:xfrm>
          <a:off x="0" y="0"/>
          <a:ext cx="10801350" cy="11572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50</xdr:row>
      <xdr:rowOff>104775</xdr:rowOff>
    </xdr:to>
    <xdr:sp macro="" textlink="">
      <xdr:nvSpPr>
        <xdr:cNvPr id="22" name="AutoShape 3"/>
        <xdr:cNvSpPr>
          <a:spLocks noChangeArrowheads="1"/>
        </xdr:cNvSpPr>
      </xdr:nvSpPr>
      <xdr:spPr bwMode="auto">
        <a:xfrm>
          <a:off x="0" y="0"/>
          <a:ext cx="10801350" cy="11572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50</xdr:row>
      <xdr:rowOff>104775</xdr:rowOff>
    </xdr:to>
    <xdr:sp macro="" textlink="">
      <xdr:nvSpPr>
        <xdr:cNvPr id="23" name="AutoShape 3"/>
        <xdr:cNvSpPr>
          <a:spLocks noChangeArrowheads="1"/>
        </xdr:cNvSpPr>
      </xdr:nvSpPr>
      <xdr:spPr bwMode="auto">
        <a:xfrm>
          <a:off x="0" y="0"/>
          <a:ext cx="10801350" cy="11572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51</xdr:row>
      <xdr:rowOff>104775</xdr:rowOff>
    </xdr:to>
    <xdr:sp macro="" textlink="">
      <xdr:nvSpPr>
        <xdr:cNvPr id="24" name="AutoShape 3"/>
        <xdr:cNvSpPr>
          <a:spLocks noChangeArrowheads="1"/>
        </xdr:cNvSpPr>
      </xdr:nvSpPr>
      <xdr:spPr bwMode="auto">
        <a:xfrm>
          <a:off x="0" y="0"/>
          <a:ext cx="10801350" cy="117252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51</xdr:row>
      <xdr:rowOff>104775</xdr:rowOff>
    </xdr:to>
    <xdr:sp macro="" textlink="">
      <xdr:nvSpPr>
        <xdr:cNvPr id="25" name="AutoShape 3"/>
        <xdr:cNvSpPr>
          <a:spLocks noChangeArrowheads="1"/>
        </xdr:cNvSpPr>
      </xdr:nvSpPr>
      <xdr:spPr bwMode="auto">
        <a:xfrm>
          <a:off x="0" y="0"/>
          <a:ext cx="10801350" cy="11725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34</xdr:row>
      <xdr:rowOff>104775</xdr:rowOff>
    </xdr:to>
    <xdr:sp macro="" textlink="">
      <xdr:nvSpPr>
        <xdr:cNvPr id="26" name="AutoShape 3"/>
        <xdr:cNvSpPr>
          <a:spLocks noChangeArrowheads="1"/>
        </xdr:cNvSpPr>
      </xdr:nvSpPr>
      <xdr:spPr bwMode="auto">
        <a:xfrm>
          <a:off x="0" y="0"/>
          <a:ext cx="10801350" cy="7915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34</xdr:row>
      <xdr:rowOff>104775</xdr:rowOff>
    </xdr:to>
    <xdr:sp macro="" textlink="">
      <xdr:nvSpPr>
        <xdr:cNvPr id="27" name="AutoShape 3"/>
        <xdr:cNvSpPr>
          <a:spLocks noChangeArrowheads="1"/>
        </xdr:cNvSpPr>
      </xdr:nvSpPr>
      <xdr:spPr bwMode="auto">
        <a:xfrm>
          <a:off x="0" y="0"/>
          <a:ext cx="10801350" cy="7915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34</xdr:row>
      <xdr:rowOff>104775</xdr:rowOff>
    </xdr:to>
    <xdr:sp macro="" textlink="">
      <xdr:nvSpPr>
        <xdr:cNvPr id="28" name="AutoShape 3"/>
        <xdr:cNvSpPr>
          <a:spLocks noChangeArrowheads="1"/>
        </xdr:cNvSpPr>
      </xdr:nvSpPr>
      <xdr:spPr bwMode="auto">
        <a:xfrm>
          <a:off x="0" y="0"/>
          <a:ext cx="10801350" cy="7915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34</xdr:row>
      <xdr:rowOff>104775</xdr:rowOff>
    </xdr:to>
    <xdr:sp macro="" textlink="">
      <xdr:nvSpPr>
        <xdr:cNvPr id="29" name="AutoShape 3"/>
        <xdr:cNvSpPr>
          <a:spLocks noChangeArrowheads="1"/>
        </xdr:cNvSpPr>
      </xdr:nvSpPr>
      <xdr:spPr bwMode="auto">
        <a:xfrm>
          <a:off x="0" y="0"/>
          <a:ext cx="10801350" cy="7915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34</xdr:row>
      <xdr:rowOff>104775</xdr:rowOff>
    </xdr:to>
    <xdr:sp macro="" textlink="">
      <xdr:nvSpPr>
        <xdr:cNvPr id="30" name="AutoShape 3"/>
        <xdr:cNvSpPr>
          <a:spLocks noChangeArrowheads="1"/>
        </xdr:cNvSpPr>
      </xdr:nvSpPr>
      <xdr:spPr bwMode="auto">
        <a:xfrm>
          <a:off x="0" y="0"/>
          <a:ext cx="10801350" cy="7915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34</xdr:row>
      <xdr:rowOff>104775</xdr:rowOff>
    </xdr:to>
    <xdr:sp macro="" textlink="">
      <xdr:nvSpPr>
        <xdr:cNvPr id="31" name="AutoShape 3"/>
        <xdr:cNvSpPr>
          <a:spLocks noChangeArrowheads="1"/>
        </xdr:cNvSpPr>
      </xdr:nvSpPr>
      <xdr:spPr bwMode="auto">
        <a:xfrm>
          <a:off x="0" y="0"/>
          <a:ext cx="10801350" cy="7915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647700</xdr:colOff>
      <xdr:row>37</xdr:row>
      <xdr:rowOff>0</xdr:rowOff>
    </xdr:to>
    <xdr:sp macro="" textlink="">
      <xdr:nvSpPr>
        <xdr:cNvPr id="32" name="AutoShape 3"/>
        <xdr:cNvSpPr>
          <a:spLocks noChangeArrowheads="1"/>
        </xdr:cNvSpPr>
      </xdr:nvSpPr>
      <xdr:spPr bwMode="auto">
        <a:xfrm>
          <a:off x="0" y="0"/>
          <a:ext cx="9525000" cy="8382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647700</xdr:colOff>
      <xdr:row>37</xdr:row>
      <xdr:rowOff>0</xdr:rowOff>
    </xdr:to>
    <xdr:sp macro="" textlink="">
      <xdr:nvSpPr>
        <xdr:cNvPr id="33" name="AutoShape 3"/>
        <xdr:cNvSpPr>
          <a:spLocks noChangeArrowheads="1"/>
        </xdr:cNvSpPr>
      </xdr:nvSpPr>
      <xdr:spPr bwMode="auto">
        <a:xfrm>
          <a:off x="0" y="0"/>
          <a:ext cx="9525000" cy="8382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228600</xdr:colOff>
      <xdr:row>54</xdr:row>
      <xdr:rowOff>114300</xdr:rowOff>
    </xdr:to>
    <xdr:sp macro="" textlink="">
      <xdr:nvSpPr>
        <xdr:cNvPr id="4377" name="AutoShape 281"/>
        <xdr:cNvSpPr>
          <a:spLocks noChangeArrowheads="1"/>
        </xdr:cNvSpPr>
      </xdr:nvSpPr>
      <xdr:spPr bwMode="auto">
        <a:xfrm>
          <a:off x="0" y="0"/>
          <a:ext cx="9525000" cy="8382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12"/>
  <sheetViews>
    <sheetView workbookViewId="0">
      <pane ySplit="2" topLeftCell="A3" activePane="bottomLeft" state="frozen"/>
      <selection pane="bottomLeft" activeCell="A108" sqref="A1:XFD108"/>
    </sheetView>
  </sheetViews>
  <sheetFormatPr baseColWidth="10" defaultColWidth="17.33203125" defaultRowHeight="12" x14ac:dyDescent="0"/>
  <cols>
    <col min="1" max="1" width="13.5" customWidth="1"/>
    <col min="2" max="2" width="9.6640625" customWidth="1"/>
    <col min="3" max="3" width="9.5" customWidth="1"/>
    <col min="4" max="4" width="10.5" customWidth="1"/>
    <col min="5" max="5" width="11" customWidth="1"/>
    <col min="6" max="6" width="14.5" customWidth="1"/>
    <col min="7" max="7" width="14.6640625" customWidth="1"/>
    <col min="8" max="8" width="9.83203125" customWidth="1"/>
    <col min="9" max="9" width="8" customWidth="1"/>
    <col min="10" max="10" width="15.33203125" customWidth="1"/>
    <col min="11" max="11" width="16.5" customWidth="1"/>
    <col min="12" max="12" width="15.1640625" customWidth="1"/>
    <col min="13" max="13" width="14.5" customWidth="1"/>
    <col min="14" max="15" width="11.83203125" customWidth="1"/>
    <col min="16" max="16" width="8.6640625" customWidth="1"/>
    <col min="17" max="17" width="9.6640625" customWidth="1"/>
    <col min="18" max="18" width="11.5" customWidth="1"/>
    <col min="19" max="19" width="16.83203125" customWidth="1"/>
    <col min="20" max="20" width="10.6640625" customWidth="1"/>
    <col min="21" max="21" width="41.5" customWidth="1"/>
    <col min="22" max="31" width="14.5" customWidth="1"/>
  </cols>
  <sheetData>
    <row r="1" spans="1:31">
      <c r="B1" s="1"/>
      <c r="C1" s="1"/>
      <c r="D1" s="1"/>
      <c r="E1" s="1"/>
      <c r="F1" s="1"/>
      <c r="G1" s="1"/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2" t="s">
        <v>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21" t="s">
        <v>1262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4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>
        <v>1</v>
      </c>
      <c r="B3" t="s">
        <v>27</v>
      </c>
      <c r="C3" t="s">
        <v>28</v>
      </c>
      <c r="D3">
        <v>2011</v>
      </c>
      <c r="E3" s="9" t="s">
        <v>29</v>
      </c>
      <c r="F3" s="9" t="s">
        <v>30</v>
      </c>
      <c r="G3" s="9" t="s">
        <v>31</v>
      </c>
      <c r="H3" s="9">
        <f>0.1*0.1</f>
        <v>1.0000000000000002E-2</v>
      </c>
      <c r="I3" s="5">
        <v>10</v>
      </c>
      <c r="J3" s="6">
        <f>(H3*I3)/10000</f>
        <v>1.0000000000000003E-5</v>
      </c>
      <c r="K3">
        <f>1/(3600 * 24)</f>
        <v>1.1574074074074073E-5</v>
      </c>
      <c r="L3" s="5">
        <f>(1/6)</f>
        <v>0.16666666666666666</v>
      </c>
      <c r="M3" s="5">
        <f>1/(3600 * 24)*6*60*6</f>
        <v>2.5000000000000001E-2</v>
      </c>
      <c r="N3" s="5">
        <v>1642</v>
      </c>
      <c r="O3" s="5">
        <v>0</v>
      </c>
      <c r="P3" s="5">
        <v>0</v>
      </c>
      <c r="Q3" s="5">
        <v>1</v>
      </c>
      <c r="R3" s="5">
        <v>0</v>
      </c>
      <c r="S3" s="5"/>
      <c r="T3" s="5"/>
      <c r="U3" s="5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>
      <c r="A4">
        <v>1</v>
      </c>
      <c r="B4" t="s">
        <v>27</v>
      </c>
      <c r="C4" t="s">
        <v>28</v>
      </c>
      <c r="D4">
        <v>2011</v>
      </c>
      <c r="E4" s="9" t="s">
        <v>29</v>
      </c>
      <c r="F4" s="9" t="s">
        <v>30</v>
      </c>
      <c r="G4" s="9" t="s">
        <v>31</v>
      </c>
      <c r="H4">
        <f>500*500</f>
        <v>250000</v>
      </c>
      <c r="I4" s="5">
        <v>2</v>
      </c>
      <c r="J4" s="6">
        <f>(H4*I4)/10000</f>
        <v>50</v>
      </c>
      <c r="K4">
        <f>1/(3600 * 24)</f>
        <v>1.1574074074074073E-5</v>
      </c>
      <c r="L4" s="5">
        <v>1</v>
      </c>
      <c r="M4" s="5">
        <f>1/(3600*24)*365.25*3</f>
        <v>1.2682291666666666E-2</v>
      </c>
      <c r="N4" s="5">
        <f>365*3</f>
        <v>1095</v>
      </c>
      <c r="O4" s="5">
        <v>0</v>
      </c>
      <c r="P4" s="5">
        <v>0</v>
      </c>
      <c r="Q4" s="5">
        <v>1</v>
      </c>
      <c r="R4" s="5">
        <v>0</v>
      </c>
      <c r="S4" s="5"/>
      <c r="T4" s="9" t="s">
        <v>32</v>
      </c>
      <c r="U4" s="5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>
      <c r="A5">
        <v>1</v>
      </c>
      <c r="B5" t="s">
        <v>27</v>
      </c>
      <c r="C5" t="s">
        <v>28</v>
      </c>
      <c r="D5">
        <v>2011</v>
      </c>
      <c r="E5" s="9" t="s">
        <v>29</v>
      </c>
      <c r="F5" s="9" t="s">
        <v>30</v>
      </c>
      <c r="G5" s="9" t="s">
        <v>31</v>
      </c>
      <c r="H5">
        <f>0.08*0.08*10</f>
        <v>6.4000000000000001E-2</v>
      </c>
      <c r="I5" s="5">
        <v>2</v>
      </c>
      <c r="J5" s="6">
        <f>(H5*I5)/10000</f>
        <v>1.2799999999999999E-5</v>
      </c>
      <c r="K5">
        <f>9/24</f>
        <v>0.375</v>
      </c>
      <c r="L5" s="5">
        <v>270</v>
      </c>
      <c r="M5" s="5">
        <f>(9/24)*((13*12)/9)</f>
        <v>6.5</v>
      </c>
      <c r="N5" s="5">
        <f>13*365.25</f>
        <v>4748.25</v>
      </c>
      <c r="O5" s="5">
        <v>0</v>
      </c>
      <c r="P5" s="5">
        <v>2</v>
      </c>
      <c r="Q5" s="5">
        <v>0</v>
      </c>
      <c r="R5" s="5">
        <v>0</v>
      </c>
      <c r="S5" s="5"/>
      <c r="T5" s="10" t="s">
        <v>13</v>
      </c>
      <c r="U5" s="5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>
      <c r="A6">
        <v>1</v>
      </c>
      <c r="B6" t="s">
        <v>27</v>
      </c>
      <c r="C6" t="s">
        <v>28</v>
      </c>
      <c r="D6">
        <v>2011</v>
      </c>
      <c r="E6" s="9" t="s">
        <v>29</v>
      </c>
      <c r="F6" s="9" t="s">
        <v>30</v>
      </c>
      <c r="G6" s="9" t="s">
        <v>31</v>
      </c>
      <c r="H6">
        <f>0.05*0.15</f>
        <v>7.4999999999999997E-3</v>
      </c>
      <c r="I6" s="10">
        <v>204</v>
      </c>
      <c r="J6" s="6">
        <f>(H6*I6)/10000</f>
        <v>1.5300000000000001E-4</v>
      </c>
      <c r="K6" s="5">
        <f>20/60/24</f>
        <v>1.3888888888888888E-2</v>
      </c>
      <c r="L6" s="5">
        <v>20</v>
      </c>
      <c r="M6" s="5">
        <f>12*30</f>
        <v>360</v>
      </c>
      <c r="N6">
        <v>4565</v>
      </c>
      <c r="O6" s="5">
        <v>0</v>
      </c>
      <c r="P6" s="5">
        <v>1</v>
      </c>
      <c r="Q6" s="5">
        <v>0</v>
      </c>
      <c r="R6" s="5">
        <v>0</v>
      </c>
      <c r="S6" s="5"/>
      <c r="T6" s="5"/>
      <c r="U6" s="5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s="24" customFormat="1">
      <c r="B7" s="24" t="s">
        <v>33</v>
      </c>
      <c r="C7" s="24" t="s">
        <v>1336</v>
      </c>
      <c r="D7" s="24">
        <v>2007</v>
      </c>
      <c r="E7" s="25" t="s">
        <v>1250</v>
      </c>
      <c r="F7" s="25"/>
      <c r="G7" s="25"/>
      <c r="I7" s="26"/>
      <c r="J7" s="27"/>
      <c r="K7" s="28"/>
      <c r="L7" s="28"/>
      <c r="M7" s="28"/>
      <c r="O7" s="28"/>
      <c r="P7" s="28"/>
      <c r="Q7" s="28"/>
      <c r="R7" s="28"/>
      <c r="S7" s="28"/>
      <c r="T7" s="28"/>
      <c r="U7" s="25"/>
      <c r="V7" s="29"/>
      <c r="W7" s="29"/>
      <c r="X7" s="29"/>
      <c r="Y7" s="29"/>
      <c r="Z7" s="29"/>
      <c r="AA7" s="29"/>
      <c r="AB7" s="29"/>
      <c r="AC7" s="29"/>
      <c r="AD7" s="29"/>
      <c r="AE7" s="29"/>
    </row>
    <row r="8" spans="1:31" s="24" customFormat="1">
      <c r="B8" s="24" t="s">
        <v>50</v>
      </c>
      <c r="C8" s="24" t="s">
        <v>1246</v>
      </c>
      <c r="D8" s="24">
        <v>2009</v>
      </c>
      <c r="E8" s="25" t="s">
        <v>1247</v>
      </c>
      <c r="F8" s="25"/>
      <c r="G8" s="25"/>
      <c r="I8" s="26"/>
      <c r="J8" s="27"/>
      <c r="K8" s="28"/>
      <c r="L8" s="28"/>
      <c r="M8" s="28"/>
      <c r="O8" s="28"/>
      <c r="P8" s="28"/>
      <c r="Q8" s="28"/>
      <c r="R8" s="28"/>
      <c r="S8" s="28"/>
      <c r="T8" s="28"/>
      <c r="U8" s="28"/>
      <c r="V8" s="29"/>
      <c r="W8" s="29"/>
      <c r="X8" s="29"/>
      <c r="Y8" s="29"/>
      <c r="Z8" s="29"/>
      <c r="AA8" s="29"/>
      <c r="AB8" s="29"/>
      <c r="AC8" s="29"/>
      <c r="AD8" s="29"/>
      <c r="AE8" s="29"/>
    </row>
    <row r="9" spans="1:31">
      <c r="A9">
        <v>2</v>
      </c>
      <c r="B9" t="s">
        <v>54</v>
      </c>
      <c r="C9" t="s">
        <v>1248</v>
      </c>
      <c r="D9">
        <v>2012</v>
      </c>
      <c r="E9" s="9" t="s">
        <v>29</v>
      </c>
      <c r="F9" s="9" t="s">
        <v>1249</v>
      </c>
      <c r="G9" s="9" t="s">
        <v>1251</v>
      </c>
      <c r="H9">
        <f>PI()*(0.01)^2</f>
        <v>3.1415926535897931E-4</v>
      </c>
      <c r="I9" s="10">
        <v>200</v>
      </c>
      <c r="J9" s="6">
        <f t="shared" ref="J9:J27" si="0">(H9*I9)/10000</f>
        <v>6.2831853071795867E-6</v>
      </c>
      <c r="K9">
        <f>10/1440</f>
        <v>6.9444444444444441E-3</v>
      </c>
      <c r="L9" s="10">
        <v>181</v>
      </c>
      <c r="M9">
        <f>200*K9</f>
        <v>1.3888888888888888</v>
      </c>
      <c r="N9">
        <v>181</v>
      </c>
      <c r="O9" s="10">
        <v>0</v>
      </c>
      <c r="P9" s="10">
        <v>1</v>
      </c>
      <c r="Q9" s="10">
        <v>0</v>
      </c>
      <c r="R9" s="10">
        <v>1</v>
      </c>
      <c r="T9" s="11" t="s">
        <v>17</v>
      </c>
    </row>
    <row r="10" spans="1:31">
      <c r="A10">
        <v>2</v>
      </c>
      <c r="B10" t="s">
        <v>54</v>
      </c>
      <c r="C10" t="s">
        <v>1248</v>
      </c>
      <c r="D10">
        <v>2012</v>
      </c>
      <c r="E10" s="9" t="s">
        <v>29</v>
      </c>
      <c r="F10" s="9" t="s">
        <v>1249</v>
      </c>
      <c r="G10" s="9" t="s">
        <v>1251</v>
      </c>
      <c r="H10">
        <f>1</f>
        <v>1</v>
      </c>
      <c r="I10" s="10">
        <v>200</v>
      </c>
      <c r="J10" s="6">
        <f t="shared" si="0"/>
        <v>0.02</v>
      </c>
      <c r="K10">
        <f>30/60/1440</f>
        <v>3.4722222222222224E-4</v>
      </c>
      <c r="L10" s="10">
        <v>181</v>
      </c>
      <c r="M10">
        <f>200*K10</f>
        <v>6.9444444444444448E-2</v>
      </c>
      <c r="N10">
        <v>181</v>
      </c>
      <c r="O10" s="10">
        <v>1</v>
      </c>
      <c r="P10" s="10">
        <v>0</v>
      </c>
      <c r="Q10" s="10">
        <v>0</v>
      </c>
      <c r="R10" s="10">
        <v>1</v>
      </c>
      <c r="T10" s="11" t="s">
        <v>1252</v>
      </c>
    </row>
    <row r="11" spans="1:31">
      <c r="A11">
        <v>2</v>
      </c>
      <c r="B11" t="s">
        <v>54</v>
      </c>
      <c r="C11" t="s">
        <v>1248</v>
      </c>
      <c r="D11">
        <v>2012</v>
      </c>
      <c r="E11" s="9" t="s">
        <v>29</v>
      </c>
      <c r="F11" s="9" t="s">
        <v>1249</v>
      </c>
      <c r="G11" s="9" t="s">
        <v>1251</v>
      </c>
      <c r="H11">
        <f>PI()*50^2</f>
        <v>7853.981633974483</v>
      </c>
      <c r="I11" s="5">
        <v>200</v>
      </c>
      <c r="J11" s="6">
        <f t="shared" si="0"/>
        <v>157.07963267948966</v>
      </c>
      <c r="K11" s="5">
        <f>1/60/1440</f>
        <v>1.1574074074074073E-5</v>
      </c>
      <c r="L11" s="10">
        <v>181</v>
      </c>
      <c r="M11">
        <f>200*K11</f>
        <v>2.3148148148148147E-3</v>
      </c>
      <c r="N11" s="5">
        <v>181</v>
      </c>
      <c r="O11" s="5">
        <v>1</v>
      </c>
      <c r="P11" s="5">
        <v>3</v>
      </c>
      <c r="Q11" s="5">
        <v>0</v>
      </c>
      <c r="R11" s="5">
        <v>1</v>
      </c>
      <c r="S11" s="5"/>
      <c r="T11" s="11" t="s">
        <v>17</v>
      </c>
      <c r="U11" s="5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>
      <c r="A12">
        <v>2</v>
      </c>
      <c r="B12" t="s">
        <v>54</v>
      </c>
      <c r="C12" t="s">
        <v>1248</v>
      </c>
      <c r="D12">
        <v>2012</v>
      </c>
      <c r="E12" s="9" t="s">
        <v>29</v>
      </c>
      <c r="F12" s="9" t="s">
        <v>1249</v>
      </c>
      <c r="G12" s="9" t="s">
        <v>1251</v>
      </c>
      <c r="H12">
        <f>PI()*0.1^2</f>
        <v>3.1415926535897934E-2</v>
      </c>
      <c r="I12" s="5">
        <v>200</v>
      </c>
      <c r="J12" s="6">
        <f t="shared" si="0"/>
        <v>6.2831853071795873E-4</v>
      </c>
      <c r="K12" s="5">
        <f>0.5/1440</f>
        <v>3.4722222222222224E-4</v>
      </c>
      <c r="L12" s="10">
        <v>181</v>
      </c>
      <c r="M12">
        <f>200*K12</f>
        <v>6.9444444444444448E-2</v>
      </c>
      <c r="N12" s="5">
        <v>181</v>
      </c>
      <c r="O12" s="5">
        <v>0</v>
      </c>
      <c r="P12" s="5">
        <v>2</v>
      </c>
      <c r="Q12" s="5">
        <v>0</v>
      </c>
      <c r="R12" s="5">
        <v>1</v>
      </c>
      <c r="S12" s="5"/>
      <c r="T12" s="11" t="s">
        <v>17</v>
      </c>
      <c r="U12" s="5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>
      <c r="A13">
        <v>2</v>
      </c>
      <c r="B13" t="s">
        <v>54</v>
      </c>
      <c r="C13" t="s">
        <v>1248</v>
      </c>
      <c r="D13">
        <v>2012</v>
      </c>
      <c r="E13" s="9" t="s">
        <v>29</v>
      </c>
      <c r="F13" s="9" t="s">
        <v>1249</v>
      </c>
      <c r="G13" s="9" t="s">
        <v>1251</v>
      </c>
      <c r="H13">
        <f>PI()*0.25^2</f>
        <v>0.19634954084936207</v>
      </c>
      <c r="I13" s="5">
        <v>200</v>
      </c>
      <c r="J13" s="6">
        <f t="shared" si="0"/>
        <v>3.9269908169872417E-3</v>
      </c>
      <c r="K13" s="5">
        <f>0.5/1440</f>
        <v>3.4722222222222224E-4</v>
      </c>
      <c r="L13" s="10">
        <v>181</v>
      </c>
      <c r="M13">
        <f>200*K13</f>
        <v>6.9444444444444448E-2</v>
      </c>
      <c r="N13" s="10">
        <v>181</v>
      </c>
      <c r="O13" s="5">
        <v>0</v>
      </c>
      <c r="P13" s="5">
        <v>2</v>
      </c>
      <c r="Q13" s="5">
        <v>0</v>
      </c>
      <c r="R13" s="5">
        <v>1</v>
      </c>
      <c r="S13" s="5"/>
      <c r="T13" s="11" t="s">
        <v>17</v>
      </c>
      <c r="U13" s="5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s="24" customFormat="1">
      <c r="B14" s="24" t="s">
        <v>58</v>
      </c>
      <c r="C14" s="24" t="s">
        <v>1337</v>
      </c>
      <c r="D14" s="24">
        <v>2013</v>
      </c>
      <c r="E14" s="25" t="s">
        <v>1247</v>
      </c>
      <c r="F14" s="25"/>
      <c r="G14" s="25"/>
      <c r="I14" s="28"/>
      <c r="J14" s="27"/>
      <c r="K14" s="28"/>
      <c r="L14" s="26"/>
      <c r="N14" s="26"/>
      <c r="O14" s="28"/>
      <c r="P14" s="28"/>
      <c r="Q14" s="28"/>
      <c r="R14" s="28"/>
      <c r="S14" s="28"/>
      <c r="T14" s="30"/>
      <c r="U14" s="28"/>
      <c r="V14" s="29"/>
      <c r="W14" s="29"/>
      <c r="X14" s="29"/>
      <c r="Y14" s="29"/>
      <c r="Z14" s="29"/>
      <c r="AA14" s="29"/>
      <c r="AB14" s="29"/>
      <c r="AC14" s="29"/>
      <c r="AD14" s="29"/>
      <c r="AE14" s="29"/>
    </row>
    <row r="15" spans="1:31">
      <c r="A15">
        <v>3</v>
      </c>
      <c r="B15" t="s">
        <v>62</v>
      </c>
      <c r="C15" s="5" t="s">
        <v>1254</v>
      </c>
      <c r="D15">
        <v>2010</v>
      </c>
      <c r="E15" s="9" t="s">
        <v>1255</v>
      </c>
      <c r="F15" s="9" t="s">
        <v>1256</v>
      </c>
      <c r="G15" s="9" t="s">
        <v>1257</v>
      </c>
      <c r="H15">
        <f>0.1*0.12</f>
        <v>1.2E-2</v>
      </c>
      <c r="I15" s="5">
        <f>90</f>
        <v>90</v>
      </c>
      <c r="J15" s="6">
        <f t="shared" si="0"/>
        <v>1.0800000000000001E-4</v>
      </c>
      <c r="K15" s="5">
        <f>60/1440</f>
        <v>4.1666666666666664E-2</v>
      </c>
      <c r="L15" s="5">
        <v>14</v>
      </c>
      <c r="M15" s="5">
        <f t="shared" ref="M15:M21" si="1">K15*I15</f>
        <v>3.75</v>
      </c>
      <c r="N15" s="5">
        <v>518</v>
      </c>
      <c r="O15" s="5">
        <v>0</v>
      </c>
      <c r="P15" s="5">
        <v>0</v>
      </c>
      <c r="Q15" s="5">
        <v>2</v>
      </c>
      <c r="R15" s="5">
        <v>0</v>
      </c>
      <c r="S15" s="9" t="s">
        <v>1258</v>
      </c>
      <c r="T15" s="5"/>
      <c r="U15" s="5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>
      <c r="A16">
        <v>3</v>
      </c>
      <c r="B16" t="s">
        <v>62</v>
      </c>
      <c r="C16" s="5" t="s">
        <v>1254</v>
      </c>
      <c r="D16">
        <v>2010</v>
      </c>
      <c r="E16" s="9" t="s">
        <v>1255</v>
      </c>
      <c r="F16" s="9" t="s">
        <v>1256</v>
      </c>
      <c r="G16" s="9" t="s">
        <v>1257</v>
      </c>
      <c r="H16">
        <f>0.1*0.12</f>
        <v>1.2E-2</v>
      </c>
      <c r="I16" s="5">
        <f>90</f>
        <v>90</v>
      </c>
      <c r="J16" s="6">
        <f t="shared" si="0"/>
        <v>1.0800000000000001E-4</v>
      </c>
      <c r="K16" s="5">
        <f>60/1440</f>
        <v>4.1666666666666664E-2</v>
      </c>
      <c r="L16" s="5">
        <v>14</v>
      </c>
      <c r="M16" s="5">
        <f t="shared" si="1"/>
        <v>3.75</v>
      </c>
      <c r="N16" s="5">
        <v>518</v>
      </c>
      <c r="O16" s="5">
        <v>0</v>
      </c>
      <c r="P16" s="5">
        <v>0</v>
      </c>
      <c r="Q16" s="5">
        <v>2</v>
      </c>
      <c r="R16" s="5">
        <v>0</v>
      </c>
      <c r="S16" s="9" t="s">
        <v>1258</v>
      </c>
      <c r="T16" s="5"/>
      <c r="U16" s="5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>
      <c r="A17">
        <v>4</v>
      </c>
      <c r="B17" s="11" t="s">
        <v>33</v>
      </c>
      <c r="C17" s="5" t="s">
        <v>1259</v>
      </c>
      <c r="D17">
        <v>2008</v>
      </c>
      <c r="E17" s="10" t="s">
        <v>29</v>
      </c>
      <c r="F17" s="9" t="s">
        <v>1260</v>
      </c>
      <c r="G17" s="9" t="s">
        <v>1261</v>
      </c>
      <c r="H17">
        <v>0.25</v>
      </c>
      <c r="I17" s="5">
        <v>72</v>
      </c>
      <c r="J17" s="6">
        <f t="shared" si="0"/>
        <v>1.8E-3</v>
      </c>
      <c r="K17" s="5">
        <f>0.5/24</f>
        <v>2.0833333333333332E-2</v>
      </c>
      <c r="L17" s="5">
        <f>365*2</f>
        <v>730</v>
      </c>
      <c r="M17" s="5">
        <f t="shared" si="1"/>
        <v>1.5</v>
      </c>
      <c r="N17" s="5">
        <f>365*4</f>
        <v>1460</v>
      </c>
      <c r="O17" s="5">
        <v>3</v>
      </c>
      <c r="P17" s="5">
        <v>3</v>
      </c>
      <c r="Q17" s="5">
        <v>1</v>
      </c>
      <c r="R17" s="5">
        <v>1</v>
      </c>
      <c r="S17" s="5"/>
      <c r="T17" s="9" t="s">
        <v>17</v>
      </c>
      <c r="U17" s="5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>
      <c r="A18">
        <v>4</v>
      </c>
      <c r="B18" s="11" t="s">
        <v>33</v>
      </c>
      <c r="C18" s="5" t="s">
        <v>1264</v>
      </c>
      <c r="D18">
        <v>2008</v>
      </c>
      <c r="E18" s="10" t="s">
        <v>29</v>
      </c>
      <c r="F18" s="9" t="s">
        <v>1260</v>
      </c>
      <c r="G18" s="9" t="s">
        <v>1261</v>
      </c>
      <c r="H18">
        <v>3.5000000000000001E-3</v>
      </c>
      <c r="I18" s="5">
        <v>72</v>
      </c>
      <c r="J18" s="6">
        <f t="shared" si="0"/>
        <v>2.5199999999999999E-5</v>
      </c>
      <c r="K18" s="5">
        <f>0.25/24</f>
        <v>1.0416666666666666E-2</v>
      </c>
      <c r="L18" s="5">
        <f>365*2</f>
        <v>730</v>
      </c>
      <c r="M18" s="5">
        <f t="shared" si="1"/>
        <v>0.75</v>
      </c>
      <c r="N18" s="5">
        <f>365*4</f>
        <v>1460</v>
      </c>
      <c r="O18" s="5">
        <v>3</v>
      </c>
      <c r="P18" s="5">
        <v>2</v>
      </c>
      <c r="Q18" s="5">
        <v>1</v>
      </c>
      <c r="R18" s="5">
        <v>1</v>
      </c>
      <c r="S18" s="5"/>
      <c r="T18" s="9" t="s">
        <v>1263</v>
      </c>
      <c r="U18" s="5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>
      <c r="A19">
        <v>4</v>
      </c>
      <c r="B19" s="11" t="s">
        <v>33</v>
      </c>
      <c r="C19" s="5" t="s">
        <v>1265</v>
      </c>
      <c r="D19">
        <v>2008</v>
      </c>
      <c r="E19" s="10" t="s">
        <v>29</v>
      </c>
      <c r="F19" s="9" t="s">
        <v>1260</v>
      </c>
      <c r="G19" s="9" t="s">
        <v>1261</v>
      </c>
      <c r="H19">
        <f>PI()*0.01^2</f>
        <v>3.1415926535897931E-4</v>
      </c>
      <c r="I19" s="5">
        <v>6</v>
      </c>
      <c r="J19" s="6">
        <f t="shared" si="0"/>
        <v>1.884955592153876E-7</v>
      </c>
      <c r="K19" s="5">
        <f>2/1440</f>
        <v>1.3888888888888889E-3</v>
      </c>
      <c r="L19" s="5">
        <f>365*2</f>
        <v>730</v>
      </c>
      <c r="M19" s="5">
        <f t="shared" si="1"/>
        <v>8.3333333333333332E-3</v>
      </c>
      <c r="N19" s="5">
        <f>365*4</f>
        <v>1460</v>
      </c>
      <c r="O19" s="5">
        <v>0</v>
      </c>
      <c r="P19" s="5">
        <v>1</v>
      </c>
      <c r="Q19" s="5">
        <v>0</v>
      </c>
      <c r="R19" s="5">
        <v>0</v>
      </c>
      <c r="S19" s="5"/>
      <c r="T19" s="5"/>
      <c r="U19" s="5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>
      <c r="A20">
        <v>4</v>
      </c>
      <c r="B20" s="11" t="s">
        <v>33</v>
      </c>
      <c r="C20" s="5" t="s">
        <v>1266</v>
      </c>
      <c r="D20">
        <v>2008</v>
      </c>
      <c r="E20" s="10" t="s">
        <v>29</v>
      </c>
      <c r="F20" s="9" t="s">
        <v>1260</v>
      </c>
      <c r="G20" s="9" t="s">
        <v>1261</v>
      </c>
      <c r="H20">
        <f>0.05*0.05</f>
        <v>2.5000000000000005E-3</v>
      </c>
      <c r="I20" s="5">
        <v>3</v>
      </c>
      <c r="J20" s="6">
        <f t="shared" si="0"/>
        <v>7.5000000000000012E-7</v>
      </c>
      <c r="K20" s="5">
        <f>1/60/1440</f>
        <v>1.1574074074074073E-5</v>
      </c>
      <c r="L20" s="5">
        <f>90/1440</f>
        <v>6.25E-2</v>
      </c>
      <c r="M20" s="5">
        <f t="shared" si="1"/>
        <v>3.4722222222222222E-5</v>
      </c>
      <c r="N20" s="5">
        <f>4*365</f>
        <v>1460</v>
      </c>
      <c r="O20" s="5">
        <v>0</v>
      </c>
      <c r="P20" s="5">
        <v>0</v>
      </c>
      <c r="Q20" s="5">
        <v>0</v>
      </c>
      <c r="R20" s="5">
        <v>0</v>
      </c>
      <c r="S20" s="5"/>
      <c r="T20" s="9" t="s">
        <v>17</v>
      </c>
      <c r="U20" s="5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>
      <c r="A21">
        <v>4</v>
      </c>
      <c r="B21" s="11" t="s">
        <v>33</v>
      </c>
      <c r="C21" s="5" t="s">
        <v>1267</v>
      </c>
      <c r="D21">
        <v>2008</v>
      </c>
      <c r="E21" s="10" t="s">
        <v>29</v>
      </c>
      <c r="F21" s="9" t="s">
        <v>1260</v>
      </c>
      <c r="G21" s="9" t="s">
        <v>1261</v>
      </c>
      <c r="H21">
        <f>0.05*0.05</f>
        <v>2.5000000000000005E-3</v>
      </c>
      <c r="I21" s="5">
        <v>3</v>
      </c>
      <c r="J21" s="6">
        <f t="shared" si="0"/>
        <v>7.5000000000000012E-7</v>
      </c>
      <c r="K21" s="5">
        <f>1/60/1440</f>
        <v>1.1574074074074073E-5</v>
      </c>
      <c r="L21" s="5">
        <f>90/1440</f>
        <v>6.25E-2</v>
      </c>
      <c r="M21" s="5">
        <f t="shared" si="1"/>
        <v>3.4722222222222222E-5</v>
      </c>
      <c r="N21" s="5">
        <v>365</v>
      </c>
      <c r="O21" s="5">
        <v>0</v>
      </c>
      <c r="P21" s="5">
        <v>0</v>
      </c>
      <c r="Q21" s="5">
        <v>0</v>
      </c>
      <c r="R21" s="5">
        <v>0</v>
      </c>
      <c r="S21" s="5"/>
      <c r="T21" s="9" t="s">
        <v>17</v>
      </c>
      <c r="U21" s="5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>
      <c r="A22">
        <v>4</v>
      </c>
      <c r="B22" s="11" t="s">
        <v>33</v>
      </c>
      <c r="C22" s="5" t="s">
        <v>1268</v>
      </c>
      <c r="D22">
        <v>2008</v>
      </c>
      <c r="E22" s="10" t="s">
        <v>29</v>
      </c>
      <c r="F22" s="9" t="s">
        <v>1260</v>
      </c>
      <c r="G22" s="9" t="s">
        <v>1261</v>
      </c>
      <c r="H22">
        <f>0.05*0.05</f>
        <v>2.5000000000000005E-3</v>
      </c>
      <c r="I22" s="5">
        <v>2</v>
      </c>
      <c r="J22" s="6">
        <f t="shared" si="0"/>
        <v>5.0000000000000008E-7</v>
      </c>
      <c r="K22" s="5">
        <f>1/60/1440</f>
        <v>1.1574074074074073E-5</v>
      </c>
      <c r="L22" s="5">
        <f>1</f>
        <v>1</v>
      </c>
      <c r="M22" s="5">
        <f t="shared" ref="M22:M23" si="2">K22*I22</f>
        <v>2.3148148148148147E-5</v>
      </c>
      <c r="N22" s="5">
        <f>4*365</f>
        <v>1460</v>
      </c>
      <c r="O22" s="5">
        <v>0</v>
      </c>
      <c r="P22" s="5">
        <v>0</v>
      </c>
      <c r="Q22" s="5">
        <v>0</v>
      </c>
      <c r="R22" s="5">
        <v>0</v>
      </c>
      <c r="S22" s="5"/>
      <c r="T22" s="9" t="s">
        <v>17</v>
      </c>
      <c r="U22" s="5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>
      <c r="A23">
        <v>4</v>
      </c>
      <c r="B23" s="11" t="s">
        <v>33</v>
      </c>
      <c r="C23" s="5" t="s">
        <v>1269</v>
      </c>
      <c r="D23">
        <v>2008</v>
      </c>
      <c r="E23" s="10" t="s">
        <v>29</v>
      </c>
      <c r="F23" s="9" t="s">
        <v>1260</v>
      </c>
      <c r="G23" s="9" t="s">
        <v>1261</v>
      </c>
      <c r="H23">
        <f>0.05*0.05</f>
        <v>2.5000000000000005E-3</v>
      </c>
      <c r="I23" s="5">
        <v>2</v>
      </c>
      <c r="J23" s="6">
        <f t="shared" si="0"/>
        <v>5.0000000000000008E-7</v>
      </c>
      <c r="K23" s="5">
        <f>1/60/1440</f>
        <v>1.1574074074074073E-5</v>
      </c>
      <c r="L23" s="5">
        <f>(365/4 -14)/14</f>
        <v>5.5178571428571432</v>
      </c>
      <c r="M23" s="5">
        <f t="shared" si="2"/>
        <v>2.3148148148148147E-5</v>
      </c>
      <c r="N23" s="5">
        <v>365</v>
      </c>
      <c r="O23" s="5">
        <v>0</v>
      </c>
      <c r="P23" s="5">
        <v>0</v>
      </c>
      <c r="Q23" s="5">
        <v>0</v>
      </c>
      <c r="R23" s="5">
        <v>0</v>
      </c>
      <c r="S23" s="5"/>
      <c r="T23" s="9" t="s">
        <v>17</v>
      </c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s="24" customFormat="1">
      <c r="B24" s="24" t="s">
        <v>69</v>
      </c>
      <c r="C24" s="28" t="s">
        <v>1338</v>
      </c>
      <c r="D24" s="24">
        <v>2007</v>
      </c>
      <c r="E24" s="26" t="s">
        <v>1270</v>
      </c>
      <c r="F24" s="25"/>
      <c r="G24" s="25"/>
      <c r="I24" s="28"/>
      <c r="J24" s="27"/>
      <c r="K24" s="28"/>
      <c r="L24" s="28"/>
      <c r="M24" s="28"/>
      <c r="N24" s="28"/>
      <c r="O24" s="28"/>
      <c r="P24" s="28"/>
      <c r="Q24" s="28"/>
      <c r="R24" s="28"/>
      <c r="S24" s="28"/>
      <c r="T24" s="25"/>
      <c r="U24" s="28"/>
      <c r="V24" s="29"/>
      <c r="W24" s="29"/>
      <c r="X24" s="29"/>
      <c r="Y24" s="29"/>
      <c r="Z24" s="29"/>
      <c r="AA24" s="29"/>
      <c r="AB24" s="29"/>
      <c r="AC24" s="29"/>
      <c r="AD24" s="29"/>
      <c r="AE24" s="29"/>
    </row>
    <row r="25" spans="1:31" s="24" customFormat="1">
      <c r="B25" s="24" t="s">
        <v>73</v>
      </c>
      <c r="C25" s="28" t="s">
        <v>1339</v>
      </c>
      <c r="D25" s="24">
        <v>2012</v>
      </c>
      <c r="E25" s="26" t="s">
        <v>1247</v>
      </c>
      <c r="G25" s="25"/>
      <c r="I25" s="28"/>
      <c r="J25" s="27"/>
      <c r="K25" s="28"/>
      <c r="L25" s="28"/>
      <c r="M25" s="28"/>
      <c r="N25" s="28"/>
      <c r="O25" s="28"/>
      <c r="P25" s="28"/>
      <c r="Q25" s="28"/>
      <c r="R25" s="28"/>
      <c r="S25" s="28"/>
      <c r="T25" s="25"/>
      <c r="U25" s="28"/>
      <c r="V25" s="29"/>
      <c r="W25" s="29"/>
      <c r="X25" s="29"/>
      <c r="Y25" s="29"/>
      <c r="Z25" s="29"/>
      <c r="AA25" s="29"/>
      <c r="AB25" s="29"/>
      <c r="AC25" s="29"/>
      <c r="AD25" s="29"/>
      <c r="AE25" s="29"/>
    </row>
    <row r="26" spans="1:31" s="24" customFormat="1">
      <c r="B26" s="24" t="s">
        <v>27</v>
      </c>
      <c r="C26" s="28" t="s">
        <v>1340</v>
      </c>
      <c r="D26" s="24">
        <v>2006</v>
      </c>
      <c r="E26" s="26" t="s">
        <v>1278</v>
      </c>
      <c r="F26" s="25"/>
      <c r="G26" s="25"/>
      <c r="I26" s="28"/>
      <c r="J26" s="27"/>
      <c r="K26" s="28"/>
      <c r="L26" s="28"/>
      <c r="M26" s="28"/>
      <c r="N26" s="28"/>
      <c r="O26" s="28"/>
      <c r="P26" s="28"/>
      <c r="Q26" s="28"/>
      <c r="R26" s="28"/>
      <c r="S26" s="28"/>
      <c r="T26" s="25"/>
      <c r="U26" s="28"/>
      <c r="V26" s="29"/>
      <c r="W26" s="29"/>
      <c r="X26" s="29"/>
      <c r="Y26" s="29"/>
      <c r="Z26" s="29"/>
      <c r="AA26" s="29"/>
      <c r="AB26" s="29"/>
      <c r="AC26" s="29"/>
      <c r="AD26" s="29"/>
      <c r="AE26" s="29"/>
    </row>
    <row r="27" spans="1:31">
      <c r="A27">
        <v>5</v>
      </c>
      <c r="B27" s="11" t="s">
        <v>50</v>
      </c>
      <c r="C27" s="9" t="s">
        <v>1271</v>
      </c>
      <c r="D27">
        <v>2010</v>
      </c>
      <c r="E27" s="10" t="s">
        <v>29</v>
      </c>
      <c r="F27" s="9" t="s">
        <v>1272</v>
      </c>
      <c r="G27" s="9" t="s">
        <v>1273</v>
      </c>
      <c r="H27">
        <v>270000</v>
      </c>
      <c r="I27" s="9">
        <v>8</v>
      </c>
      <c r="J27" s="6">
        <f t="shared" si="0"/>
        <v>216</v>
      </c>
      <c r="K27" s="9">
        <f>20*8*(0.5/24)</f>
        <v>3.333333333333333</v>
      </c>
      <c r="L27">
        <f>2.5</f>
        <v>2.5</v>
      </c>
      <c r="M27" s="9">
        <f>I27*K27</f>
        <v>26.666666666666664</v>
      </c>
      <c r="N27">
        <f>3*365+90</f>
        <v>1185</v>
      </c>
      <c r="O27" s="10">
        <v>0</v>
      </c>
      <c r="P27" s="10">
        <v>1</v>
      </c>
      <c r="Q27" s="10">
        <v>0</v>
      </c>
      <c r="R27" s="10">
        <v>1</v>
      </c>
      <c r="T27" s="9" t="s">
        <v>18</v>
      </c>
    </row>
    <row r="28" spans="1:31">
      <c r="A28">
        <v>5</v>
      </c>
      <c r="B28" s="11" t="s">
        <v>50</v>
      </c>
      <c r="C28" s="9" t="s">
        <v>1271</v>
      </c>
      <c r="D28">
        <v>2010</v>
      </c>
      <c r="E28" s="10" t="s">
        <v>29</v>
      </c>
      <c r="F28" s="9" t="s">
        <v>1272</v>
      </c>
      <c r="G28" s="9" t="s">
        <v>1273</v>
      </c>
      <c r="H28" s="9">
        <f>0.5*0.5</f>
        <v>0.25</v>
      </c>
      <c r="I28" s="9">
        <v>326</v>
      </c>
      <c r="J28" s="6">
        <f>(H28*I28)/10000</f>
        <v>8.1499999999999993E-3</v>
      </c>
      <c r="K28" s="9">
        <f>1/24</f>
        <v>4.1666666666666664E-2</v>
      </c>
      <c r="L28">
        <v>0</v>
      </c>
      <c r="M28" s="9">
        <f>I28*K28</f>
        <v>13.583333333333332</v>
      </c>
      <c r="N28">
        <f>3*365+90</f>
        <v>1185</v>
      </c>
      <c r="O28">
        <v>0</v>
      </c>
      <c r="P28" s="10">
        <v>3</v>
      </c>
      <c r="Q28" s="10">
        <v>0</v>
      </c>
      <c r="R28" s="10">
        <v>1</v>
      </c>
      <c r="T28" s="9" t="s">
        <v>18</v>
      </c>
    </row>
    <row r="29" spans="1:31" s="24" customFormat="1">
      <c r="B29" s="24" t="s">
        <v>83</v>
      </c>
      <c r="C29" s="25" t="s">
        <v>1341</v>
      </c>
      <c r="D29" s="24">
        <v>2007</v>
      </c>
      <c r="E29" s="26" t="s">
        <v>1250</v>
      </c>
      <c r="F29" s="25"/>
      <c r="G29" s="25"/>
      <c r="H29" s="25"/>
      <c r="I29" s="25"/>
      <c r="J29" s="27"/>
      <c r="K29" s="25"/>
      <c r="M29" s="25"/>
      <c r="P29" s="26"/>
      <c r="Q29" s="26"/>
      <c r="R29" s="26"/>
      <c r="T29" s="25"/>
      <c r="U29" s="24" t="s">
        <v>1342</v>
      </c>
    </row>
    <row r="30" spans="1:31" s="24" customFormat="1">
      <c r="B30" s="30" t="s">
        <v>87</v>
      </c>
      <c r="C30" s="25" t="s">
        <v>1343</v>
      </c>
      <c r="D30" s="24">
        <v>2012</v>
      </c>
      <c r="E30" s="26" t="s">
        <v>1277</v>
      </c>
      <c r="F30" s="25"/>
      <c r="G30" s="25"/>
      <c r="H30" s="25"/>
      <c r="I30" s="25"/>
      <c r="J30" s="27"/>
      <c r="K30" s="25"/>
      <c r="M30" s="25"/>
      <c r="P30" s="26"/>
      <c r="Q30" s="26"/>
      <c r="R30" s="26"/>
      <c r="T30" s="25"/>
    </row>
    <row r="31" spans="1:31" s="24" customFormat="1">
      <c r="B31" s="30" t="s">
        <v>27</v>
      </c>
      <c r="C31" s="25" t="s">
        <v>1344</v>
      </c>
      <c r="D31" s="24">
        <v>2004</v>
      </c>
      <c r="E31" s="26" t="s">
        <v>1247</v>
      </c>
      <c r="F31" s="25"/>
      <c r="G31" s="25"/>
      <c r="H31" s="25"/>
      <c r="I31" s="25"/>
      <c r="J31" s="27"/>
      <c r="K31" s="25"/>
      <c r="M31" s="25"/>
      <c r="P31" s="26"/>
      <c r="Q31" s="26"/>
      <c r="R31" s="26"/>
      <c r="T31" s="25"/>
    </row>
    <row r="32" spans="1:31" s="24" customFormat="1">
      <c r="B32" s="24" t="s">
        <v>54</v>
      </c>
      <c r="C32" s="25" t="s">
        <v>1345</v>
      </c>
      <c r="D32" s="24">
        <v>2012</v>
      </c>
      <c r="E32" s="26" t="s">
        <v>1247</v>
      </c>
      <c r="F32" s="25"/>
      <c r="G32" s="25"/>
      <c r="H32" s="25"/>
      <c r="I32" s="25"/>
      <c r="J32" s="27"/>
      <c r="K32" s="25"/>
      <c r="M32" s="25"/>
      <c r="P32" s="26"/>
      <c r="Q32" s="26"/>
      <c r="R32" s="26"/>
      <c r="T32" s="25"/>
    </row>
    <row r="33" spans="1:20" s="24" customFormat="1">
      <c r="B33" s="24" t="s">
        <v>27</v>
      </c>
      <c r="C33" s="25" t="s">
        <v>1346</v>
      </c>
      <c r="D33" s="24">
        <v>2009</v>
      </c>
      <c r="E33" s="26" t="s">
        <v>1278</v>
      </c>
      <c r="F33" s="25"/>
      <c r="G33" s="25"/>
      <c r="H33" s="25"/>
      <c r="I33" s="25"/>
      <c r="J33" s="27"/>
      <c r="K33" s="25"/>
      <c r="M33" s="25"/>
      <c r="P33" s="26"/>
      <c r="Q33" s="26"/>
      <c r="R33" s="26"/>
      <c r="T33" s="25"/>
    </row>
    <row r="34" spans="1:20" s="24" customFormat="1">
      <c r="B34" s="24" t="s">
        <v>101</v>
      </c>
      <c r="C34" s="25" t="s">
        <v>1347</v>
      </c>
      <c r="D34" s="24">
        <v>2013</v>
      </c>
      <c r="E34" s="26" t="s">
        <v>1270</v>
      </c>
      <c r="F34" s="25"/>
      <c r="G34" s="25"/>
      <c r="H34" s="25"/>
      <c r="I34" s="25"/>
      <c r="J34" s="27"/>
      <c r="K34" s="25"/>
      <c r="M34" s="25"/>
      <c r="P34" s="26"/>
      <c r="Q34" s="26"/>
      <c r="R34" s="26"/>
      <c r="T34" s="25"/>
    </row>
    <row r="35" spans="1:20" s="24" customFormat="1">
      <c r="B35" s="24" t="s">
        <v>105</v>
      </c>
      <c r="C35" s="25" t="s">
        <v>1348</v>
      </c>
      <c r="D35" s="24">
        <v>2004</v>
      </c>
      <c r="E35" s="26" t="s">
        <v>1270</v>
      </c>
      <c r="F35" s="25"/>
      <c r="G35" s="25"/>
      <c r="H35" s="25"/>
      <c r="I35" s="25"/>
      <c r="J35" s="27"/>
      <c r="K35" s="25"/>
      <c r="M35" s="25"/>
      <c r="P35" s="26"/>
      <c r="Q35" s="26"/>
      <c r="R35" s="26"/>
      <c r="T35" s="25"/>
    </row>
    <row r="36" spans="1:20">
      <c r="A36">
        <v>6</v>
      </c>
      <c r="B36" s="11" t="s">
        <v>1281</v>
      </c>
      <c r="C36" s="9" t="s">
        <v>1282</v>
      </c>
      <c r="D36">
        <v>2007</v>
      </c>
      <c r="E36" s="10" t="s">
        <v>29</v>
      </c>
      <c r="F36" s="9" t="s">
        <v>1283</v>
      </c>
      <c r="G36" s="9" t="s">
        <v>1284</v>
      </c>
      <c r="H36">
        <f>0.5*0.1</f>
        <v>0.05</v>
      </c>
      <c r="I36">
        <f>216+158+56</f>
        <v>430</v>
      </c>
      <c r="J36" s="6">
        <f>(H36*I36)/10000</f>
        <v>2.15E-3</v>
      </c>
      <c r="K36">
        <f>1/24</f>
        <v>4.1666666666666664E-2</v>
      </c>
      <c r="L36">
        <v>45</v>
      </c>
      <c r="M36">
        <f>K36*(451+271+130)</f>
        <v>35.5</v>
      </c>
      <c r="N36">
        <f>16*365</f>
        <v>5840</v>
      </c>
      <c r="O36" s="10">
        <v>0</v>
      </c>
      <c r="P36" s="10">
        <v>1</v>
      </c>
      <c r="Q36" s="10">
        <v>0</v>
      </c>
      <c r="R36" s="10">
        <v>0</v>
      </c>
      <c r="T36" s="9" t="s">
        <v>1285</v>
      </c>
    </row>
    <row r="37" spans="1:20">
      <c r="A37">
        <v>6</v>
      </c>
      <c r="B37" s="11" t="s">
        <v>1281</v>
      </c>
      <c r="C37" s="9" t="s">
        <v>1282</v>
      </c>
      <c r="D37">
        <v>2007</v>
      </c>
      <c r="E37" s="10" t="s">
        <v>29</v>
      </c>
      <c r="F37" s="9" t="s">
        <v>1283</v>
      </c>
      <c r="G37" s="9" t="s">
        <v>1284</v>
      </c>
      <c r="H37">
        <v>1</v>
      </c>
      <c r="I37">
        <f>216+158+56</f>
        <v>430</v>
      </c>
      <c r="J37" s="6">
        <f>(H37*I37)/10000</f>
        <v>4.2999999999999997E-2</v>
      </c>
      <c r="K37">
        <f>2/24</f>
        <v>8.3333333333333329E-2</v>
      </c>
      <c r="L37">
        <v>45</v>
      </c>
      <c r="M37">
        <f>K37*(451+271+130)</f>
        <v>71</v>
      </c>
      <c r="N37">
        <f>16*365</f>
        <v>5840</v>
      </c>
      <c r="O37" s="10">
        <v>0</v>
      </c>
      <c r="P37" s="10">
        <v>1</v>
      </c>
      <c r="Q37" s="10">
        <v>0</v>
      </c>
      <c r="R37" s="10">
        <v>0</v>
      </c>
      <c r="T37" s="9" t="s">
        <v>1285</v>
      </c>
    </row>
    <row r="38" spans="1:20">
      <c r="A38">
        <v>6</v>
      </c>
      <c r="B38" s="11" t="s">
        <v>1281</v>
      </c>
      <c r="C38" s="9" t="s">
        <v>1282</v>
      </c>
      <c r="D38">
        <v>2007</v>
      </c>
      <c r="E38" s="10" t="s">
        <v>29</v>
      </c>
      <c r="F38" s="9" t="s">
        <v>1283</v>
      </c>
      <c r="G38" s="9" t="s">
        <v>1284</v>
      </c>
      <c r="H38">
        <f>1</f>
        <v>1</v>
      </c>
      <c r="I38" s="9">
        <v>1</v>
      </c>
      <c r="J38" s="6">
        <f t="shared" ref="J38:J101" si="3">(H38*I38)/10000</f>
        <v>1E-4</v>
      </c>
      <c r="K38">
        <f>1/(3600 * 24)</f>
        <v>1.1574074074074073E-5</v>
      </c>
      <c r="L38">
        <v>1</v>
      </c>
      <c r="M38">
        <f>K38*90</f>
        <v>1.0416666666666667E-3</v>
      </c>
      <c r="N38">
        <v>90</v>
      </c>
      <c r="O38" s="10">
        <v>0</v>
      </c>
      <c r="P38" s="10">
        <v>1</v>
      </c>
      <c r="Q38" s="10">
        <v>0</v>
      </c>
      <c r="R38" s="10">
        <v>0</v>
      </c>
      <c r="T38" s="9" t="s">
        <v>1285</v>
      </c>
    </row>
    <row r="39" spans="1:20">
      <c r="A39">
        <v>6</v>
      </c>
      <c r="B39" s="11" t="s">
        <v>1281</v>
      </c>
      <c r="C39" s="9" t="s">
        <v>1282</v>
      </c>
      <c r="D39">
        <v>2007</v>
      </c>
      <c r="E39" s="10" t="s">
        <v>29</v>
      </c>
      <c r="F39" s="9" t="s">
        <v>1283</v>
      </c>
      <c r="G39" s="9" t="s">
        <v>1284</v>
      </c>
      <c r="H39">
        <f>1</f>
        <v>1</v>
      </c>
      <c r="I39" s="9">
        <v>1</v>
      </c>
      <c r="J39" s="6">
        <f t="shared" si="3"/>
        <v>1E-4</v>
      </c>
      <c r="K39">
        <f t="shared" ref="K39:K40" si="4">1/(3600 * 24)</f>
        <v>1.1574074074074073E-5</v>
      </c>
      <c r="L39">
        <v>1</v>
      </c>
      <c r="M39">
        <f t="shared" ref="M39:M40" si="5">K39*90</f>
        <v>1.0416666666666667E-3</v>
      </c>
      <c r="N39">
        <v>90</v>
      </c>
      <c r="O39" s="10">
        <v>0</v>
      </c>
      <c r="P39" s="10">
        <v>1</v>
      </c>
      <c r="Q39" s="10">
        <v>0</v>
      </c>
      <c r="R39" s="10">
        <v>0</v>
      </c>
      <c r="T39" s="9" t="s">
        <v>1285</v>
      </c>
    </row>
    <row r="40" spans="1:20">
      <c r="A40">
        <v>6</v>
      </c>
      <c r="B40" s="11" t="s">
        <v>1281</v>
      </c>
      <c r="C40" s="9" t="s">
        <v>1282</v>
      </c>
      <c r="D40">
        <v>2007</v>
      </c>
      <c r="E40" s="10" t="s">
        <v>29</v>
      </c>
      <c r="F40" s="9" t="s">
        <v>1283</v>
      </c>
      <c r="G40" s="9" t="s">
        <v>1284</v>
      </c>
      <c r="H40">
        <f>1</f>
        <v>1</v>
      </c>
      <c r="I40" s="9">
        <v>1</v>
      </c>
      <c r="J40" s="6">
        <f t="shared" si="3"/>
        <v>1E-4</v>
      </c>
      <c r="K40">
        <f t="shared" si="4"/>
        <v>1.1574074074074073E-5</v>
      </c>
      <c r="L40">
        <v>1</v>
      </c>
      <c r="M40">
        <f t="shared" si="5"/>
        <v>1.0416666666666667E-3</v>
      </c>
      <c r="N40">
        <v>90</v>
      </c>
      <c r="O40" s="10">
        <v>0</v>
      </c>
      <c r="P40" s="10">
        <v>1</v>
      </c>
      <c r="Q40" s="10">
        <v>0</v>
      </c>
      <c r="R40" s="10">
        <v>0</v>
      </c>
      <c r="T40" s="9" t="s">
        <v>1285</v>
      </c>
    </row>
    <row r="41" spans="1:20">
      <c r="A41">
        <v>6</v>
      </c>
      <c r="B41" s="11" t="s">
        <v>1281</v>
      </c>
      <c r="C41" s="9" t="s">
        <v>1282</v>
      </c>
      <c r="D41">
        <v>2007</v>
      </c>
      <c r="E41" s="10" t="s">
        <v>29</v>
      </c>
      <c r="F41" s="9" t="s">
        <v>1283</v>
      </c>
      <c r="G41" s="9" t="s">
        <v>1284</v>
      </c>
      <c r="H41">
        <v>500</v>
      </c>
      <c r="I41" s="9">
        <v>10</v>
      </c>
      <c r="J41" s="6">
        <f t="shared" si="3"/>
        <v>0.5</v>
      </c>
      <c r="K41">
        <f>8/24</f>
        <v>0.33333333333333331</v>
      </c>
      <c r="L41">
        <v>365</v>
      </c>
      <c r="M41">
        <f>8/24*16</f>
        <v>5.333333333333333</v>
      </c>
      <c r="N41">
        <f>16*365</f>
        <v>5840</v>
      </c>
      <c r="O41" s="10">
        <v>0</v>
      </c>
      <c r="P41" s="10">
        <v>1</v>
      </c>
      <c r="Q41" s="10">
        <v>0</v>
      </c>
      <c r="R41" s="10">
        <v>0</v>
      </c>
      <c r="T41" t="s">
        <v>1410</v>
      </c>
    </row>
    <row r="42" spans="1:20">
      <c r="A42">
        <v>6</v>
      </c>
      <c r="B42" s="11" t="s">
        <v>1281</v>
      </c>
      <c r="C42" s="9" t="s">
        <v>1282</v>
      </c>
      <c r="D42">
        <v>2007</v>
      </c>
      <c r="E42" s="10" t="s">
        <v>29</v>
      </c>
      <c r="F42" s="9" t="s">
        <v>1283</v>
      </c>
      <c r="G42" s="9" t="s">
        <v>1284</v>
      </c>
      <c r="H42">
        <v>100</v>
      </c>
      <c r="I42" s="9">
        <v>1</v>
      </c>
      <c r="J42" s="6">
        <f t="shared" si="3"/>
        <v>0.01</v>
      </c>
      <c r="K42">
        <f>8/24</f>
        <v>0.33333333333333331</v>
      </c>
      <c r="L42">
        <v>365</v>
      </c>
      <c r="M42">
        <f>8/24*16</f>
        <v>5.333333333333333</v>
      </c>
      <c r="N42">
        <f>16*365</f>
        <v>5840</v>
      </c>
      <c r="O42" s="10">
        <v>0</v>
      </c>
      <c r="P42" s="10">
        <v>1</v>
      </c>
      <c r="Q42" s="10">
        <v>0</v>
      </c>
      <c r="R42" s="10">
        <v>0</v>
      </c>
      <c r="T42" t="s">
        <v>1286</v>
      </c>
    </row>
    <row r="43" spans="1:20" s="24" customFormat="1">
      <c r="B43" s="24" t="s">
        <v>58</v>
      </c>
      <c r="C43" s="25" t="s">
        <v>1349</v>
      </c>
      <c r="D43" s="24">
        <v>2006</v>
      </c>
      <c r="E43" s="26" t="s">
        <v>1247</v>
      </c>
      <c r="F43" s="25"/>
      <c r="G43" s="25"/>
      <c r="I43" s="25"/>
      <c r="J43" s="27"/>
      <c r="O43" s="26"/>
      <c r="P43" s="26"/>
      <c r="Q43" s="26"/>
      <c r="R43" s="26"/>
    </row>
    <row r="44" spans="1:20">
      <c r="A44">
        <v>7</v>
      </c>
      <c r="B44" s="11" t="s">
        <v>33</v>
      </c>
      <c r="C44" s="9" t="s">
        <v>1287</v>
      </c>
      <c r="D44">
        <v>2010</v>
      </c>
      <c r="E44" s="10" t="s">
        <v>29</v>
      </c>
      <c r="F44" s="9" t="s">
        <v>1288</v>
      </c>
      <c r="G44" s="9" t="s">
        <v>1289</v>
      </c>
      <c r="H44">
        <v>0.5</v>
      </c>
      <c r="I44" s="9">
        <f>36*6*60</f>
        <v>12960</v>
      </c>
      <c r="J44" s="6">
        <f t="shared" si="3"/>
        <v>0.64800000000000002</v>
      </c>
      <c r="K44">
        <f>15/1440</f>
        <v>1.0416666666666666E-2</v>
      </c>
      <c r="L44">
        <v>0</v>
      </c>
      <c r="M44">
        <f>K44*I44</f>
        <v>135</v>
      </c>
      <c r="N44">
        <f>365+60</f>
        <v>425</v>
      </c>
      <c r="O44" s="10">
        <v>3</v>
      </c>
      <c r="P44" s="10">
        <v>0</v>
      </c>
      <c r="Q44" s="10">
        <v>0</v>
      </c>
      <c r="R44" s="10">
        <v>2</v>
      </c>
      <c r="T44" t="s">
        <v>1290</v>
      </c>
    </row>
    <row r="45" spans="1:20">
      <c r="A45">
        <v>7</v>
      </c>
      <c r="B45" s="11" t="s">
        <v>33</v>
      </c>
      <c r="C45" s="9" t="s">
        <v>1287</v>
      </c>
      <c r="D45">
        <v>2010</v>
      </c>
      <c r="E45" s="10" t="s">
        <v>29</v>
      </c>
      <c r="F45" s="9" t="s">
        <v>1288</v>
      </c>
      <c r="G45" s="9" t="s">
        <v>1289</v>
      </c>
      <c r="H45">
        <v>0.25</v>
      </c>
      <c r="I45">
        <f>36*6*2</f>
        <v>432</v>
      </c>
      <c r="J45" s="6">
        <f t="shared" si="3"/>
        <v>1.0800000000000001E-2</v>
      </c>
      <c r="K45">
        <f>15/1440</f>
        <v>1.0416666666666666E-2</v>
      </c>
      <c r="L45">
        <v>0</v>
      </c>
      <c r="M45">
        <f>K45*I45</f>
        <v>4.5</v>
      </c>
      <c r="N45">
        <f>365+60</f>
        <v>425</v>
      </c>
      <c r="O45" s="10">
        <v>0</v>
      </c>
      <c r="P45" s="10">
        <v>1</v>
      </c>
      <c r="Q45" s="10">
        <v>1</v>
      </c>
      <c r="R45" s="10">
        <v>0</v>
      </c>
      <c r="T45" t="s">
        <v>1290</v>
      </c>
    </row>
    <row r="46" spans="1:20">
      <c r="A46">
        <v>7</v>
      </c>
      <c r="B46" s="11" t="s">
        <v>33</v>
      </c>
      <c r="C46" s="9" t="s">
        <v>1287</v>
      </c>
      <c r="D46">
        <v>2010</v>
      </c>
      <c r="E46" s="10" t="s">
        <v>29</v>
      </c>
      <c r="F46" s="9" t="s">
        <v>1288</v>
      </c>
      <c r="G46" s="9" t="s">
        <v>1289</v>
      </c>
      <c r="H46">
        <f>PI()*0.05^2</f>
        <v>7.8539816339744835E-3</v>
      </c>
      <c r="I46">
        <f>36*6</f>
        <v>216</v>
      </c>
      <c r="J46" s="6">
        <f t="shared" si="3"/>
        <v>1.6964600329384886E-4</v>
      </c>
      <c r="K46">
        <f>15/1440</f>
        <v>1.0416666666666666E-2</v>
      </c>
      <c r="L46" s="22">
        <v>0</v>
      </c>
      <c r="M46">
        <f>I46*K46</f>
        <v>2.25</v>
      </c>
      <c r="N46">
        <f>365+60</f>
        <v>425</v>
      </c>
      <c r="O46" s="10">
        <v>0</v>
      </c>
      <c r="P46" s="10">
        <v>0</v>
      </c>
      <c r="Q46" s="10">
        <v>1</v>
      </c>
      <c r="R46" s="10">
        <v>0</v>
      </c>
      <c r="T46" t="s">
        <v>14</v>
      </c>
    </row>
    <row r="47" spans="1:20">
      <c r="A47">
        <v>7</v>
      </c>
      <c r="B47" s="11" t="s">
        <v>33</v>
      </c>
      <c r="C47" s="9" t="s">
        <v>1287</v>
      </c>
      <c r="D47">
        <v>2010</v>
      </c>
      <c r="E47" s="10" t="s">
        <v>29</v>
      </c>
      <c r="F47" s="9" t="s">
        <v>1288</v>
      </c>
      <c r="G47" s="9" t="s">
        <v>1289</v>
      </c>
      <c r="H47">
        <f>PI()*0.01^2</f>
        <v>3.1415926535897931E-4</v>
      </c>
      <c r="I47" s="9">
        <f>36*6*60*4</f>
        <v>51840</v>
      </c>
      <c r="J47" s="6">
        <f t="shared" si="3"/>
        <v>1.6286016316209486E-3</v>
      </c>
      <c r="K47">
        <f>4/60/1440</f>
        <v>4.6296296296296294E-5</v>
      </c>
      <c r="L47" s="22">
        <v>0</v>
      </c>
      <c r="M47">
        <f>I47*K47</f>
        <v>2.4</v>
      </c>
      <c r="N47">
        <f>365+60</f>
        <v>425</v>
      </c>
      <c r="O47" s="10">
        <v>0</v>
      </c>
      <c r="P47" s="10">
        <v>0</v>
      </c>
      <c r="Q47" s="10">
        <v>1</v>
      </c>
      <c r="R47" s="10">
        <v>0</v>
      </c>
      <c r="T47" t="s">
        <v>14</v>
      </c>
    </row>
    <row r="48" spans="1:20" s="24" customFormat="1">
      <c r="B48" s="30" t="s">
        <v>87</v>
      </c>
      <c r="C48" s="24" t="s">
        <v>1350</v>
      </c>
      <c r="D48" s="24">
        <v>2011</v>
      </c>
      <c r="E48" s="26" t="s">
        <v>1270</v>
      </c>
      <c r="F48" s="25"/>
      <c r="G48" s="25"/>
      <c r="I48" s="25"/>
      <c r="J48" s="27"/>
      <c r="L48" s="31"/>
      <c r="O48" s="26"/>
      <c r="P48" s="26"/>
      <c r="Q48" s="26"/>
      <c r="R48" s="26"/>
    </row>
    <row r="49" spans="1:20" s="24" customFormat="1">
      <c r="B49" s="30" t="s">
        <v>73</v>
      </c>
      <c r="C49" s="24" t="s">
        <v>1351</v>
      </c>
      <c r="D49" s="24">
        <v>2004</v>
      </c>
      <c r="E49" s="26" t="s">
        <v>1250</v>
      </c>
      <c r="F49" s="25"/>
      <c r="G49" s="25"/>
      <c r="I49" s="25"/>
      <c r="J49" s="27"/>
      <c r="L49" s="31"/>
      <c r="O49" s="26"/>
      <c r="P49" s="26"/>
      <c r="Q49" s="26"/>
      <c r="R49" s="26"/>
    </row>
    <row r="50" spans="1:20" s="24" customFormat="1">
      <c r="B50" s="30" t="s">
        <v>50</v>
      </c>
      <c r="C50" s="24" t="s">
        <v>1352</v>
      </c>
      <c r="D50" s="24">
        <v>2006</v>
      </c>
      <c r="E50" s="26" t="s">
        <v>1247</v>
      </c>
      <c r="F50" s="25"/>
      <c r="G50" s="25"/>
      <c r="I50" s="25"/>
      <c r="J50" s="27"/>
      <c r="L50" s="31"/>
      <c r="O50" s="26"/>
      <c r="P50" s="26"/>
      <c r="Q50" s="26"/>
      <c r="R50" s="26"/>
    </row>
    <row r="51" spans="1:20">
      <c r="A51">
        <v>8</v>
      </c>
      <c r="B51" s="11" t="s">
        <v>73</v>
      </c>
      <c r="C51" s="9" t="s">
        <v>1291</v>
      </c>
      <c r="D51">
        <v>2012</v>
      </c>
      <c r="E51" s="10" t="s">
        <v>29</v>
      </c>
      <c r="F51" s="9" t="s">
        <v>1292</v>
      </c>
      <c r="G51" s="9" t="s">
        <v>1293</v>
      </c>
      <c r="H51">
        <f>10*10</f>
        <v>100</v>
      </c>
      <c r="I51">
        <v>16</v>
      </c>
      <c r="J51" s="6">
        <f t="shared" si="3"/>
        <v>0.16</v>
      </c>
      <c r="K51">
        <f>1/24</f>
        <v>4.1666666666666664E-2</v>
      </c>
      <c r="L51">
        <f>365*(2010-1967)</f>
        <v>15695</v>
      </c>
      <c r="M51">
        <f>K51*32</f>
        <v>1.3333333333333333</v>
      </c>
      <c r="N51">
        <f>365*(2010-1967)</f>
        <v>15695</v>
      </c>
      <c r="O51" s="10">
        <v>1</v>
      </c>
      <c r="P51" s="10">
        <v>0</v>
      </c>
      <c r="Q51" s="10">
        <v>0</v>
      </c>
      <c r="R51" s="10">
        <v>0</v>
      </c>
      <c r="T51" t="s">
        <v>14</v>
      </c>
    </row>
    <row r="52" spans="1:20">
      <c r="A52">
        <v>8</v>
      </c>
      <c r="B52" s="11" t="s">
        <v>73</v>
      </c>
      <c r="C52" s="9" t="s">
        <v>1291</v>
      </c>
      <c r="D52">
        <v>2012</v>
      </c>
      <c r="E52" s="10" t="s">
        <v>29</v>
      </c>
      <c r="F52" s="9" t="s">
        <v>1292</v>
      </c>
      <c r="G52" s="9" t="s">
        <v>1293</v>
      </c>
      <c r="H52">
        <f>0.02*0.01</f>
        <v>2.0000000000000001E-4</v>
      </c>
      <c r="I52">
        <f>2722+3180</f>
        <v>5902</v>
      </c>
      <c r="J52" s="6">
        <f t="shared" si="3"/>
        <v>1.1804000000000002E-4</v>
      </c>
      <c r="K52">
        <f>1/1440</f>
        <v>6.9444444444444447E-4</v>
      </c>
      <c r="L52">
        <v>0</v>
      </c>
      <c r="M52">
        <f>K52*I52</f>
        <v>4.0986111111111114</v>
      </c>
      <c r="N52">
        <f>365*(2010-1967)</f>
        <v>15695</v>
      </c>
      <c r="O52" s="10">
        <v>0</v>
      </c>
      <c r="P52" s="10">
        <v>0</v>
      </c>
      <c r="Q52" s="10">
        <v>1</v>
      </c>
      <c r="R52" s="10">
        <v>0</v>
      </c>
      <c r="T52" t="s">
        <v>22</v>
      </c>
    </row>
    <row r="53" spans="1:20">
      <c r="A53">
        <v>8</v>
      </c>
      <c r="B53" s="11" t="s">
        <v>73</v>
      </c>
      <c r="C53" s="9" t="s">
        <v>1291</v>
      </c>
      <c r="D53">
        <v>2012</v>
      </c>
      <c r="E53" s="10" t="s">
        <v>29</v>
      </c>
      <c r="F53" s="9" t="s">
        <v>1292</v>
      </c>
      <c r="G53" s="9" t="s">
        <v>1293</v>
      </c>
      <c r="H53">
        <f>5000*5000</f>
        <v>25000000</v>
      </c>
      <c r="I53">
        <v>1</v>
      </c>
      <c r="J53" s="6">
        <f t="shared" si="3"/>
        <v>2500</v>
      </c>
      <c r="K53">
        <f>5/24</f>
        <v>0.20833333333333334</v>
      </c>
      <c r="L53">
        <f>365*(2010-1968)</f>
        <v>15330</v>
      </c>
      <c r="M53">
        <f>K53*2</f>
        <v>0.41666666666666669</v>
      </c>
      <c r="N53">
        <f>365*(2010-1968)</f>
        <v>15330</v>
      </c>
      <c r="O53" s="10">
        <v>0</v>
      </c>
      <c r="P53" s="10">
        <v>0</v>
      </c>
      <c r="Q53" s="10">
        <v>0</v>
      </c>
      <c r="R53" s="10">
        <v>0</v>
      </c>
      <c r="T53" t="s">
        <v>1285</v>
      </c>
    </row>
    <row r="54" spans="1:20">
      <c r="A54">
        <v>8</v>
      </c>
      <c r="B54" s="11" t="s">
        <v>73</v>
      </c>
      <c r="C54" s="9" t="s">
        <v>1291</v>
      </c>
      <c r="D54">
        <v>2012</v>
      </c>
      <c r="E54" s="10" t="s">
        <v>29</v>
      </c>
      <c r="F54" s="9" t="s">
        <v>1292</v>
      </c>
      <c r="G54" s="9" t="s">
        <v>1293</v>
      </c>
      <c r="H54">
        <f>0.1*0.1</f>
        <v>1.0000000000000002E-2</v>
      </c>
      <c r="I54">
        <v>1</v>
      </c>
      <c r="J54" s="6">
        <f t="shared" si="3"/>
        <v>1.0000000000000002E-6</v>
      </c>
      <c r="K54">
        <f>1/60/1440</f>
        <v>1.1574074074074073E-5</v>
      </c>
      <c r="L54">
        <v>1</v>
      </c>
      <c r="M54">
        <f>K54*N54</f>
        <v>0.18165509259259258</v>
      </c>
      <c r="N54">
        <f>365*(2010-1967)</f>
        <v>15695</v>
      </c>
      <c r="O54" s="10">
        <v>0</v>
      </c>
      <c r="P54" s="10">
        <v>0</v>
      </c>
      <c r="Q54" s="10">
        <v>0</v>
      </c>
      <c r="R54" s="10">
        <v>0</v>
      </c>
      <c r="T54" t="s">
        <v>13</v>
      </c>
    </row>
    <row r="55" spans="1:20" s="24" customFormat="1">
      <c r="B55" s="30" t="s">
        <v>73</v>
      </c>
      <c r="C55" s="24" t="s">
        <v>1353</v>
      </c>
      <c r="D55" s="24">
        <v>2012</v>
      </c>
      <c r="E55" s="26" t="s">
        <v>1270</v>
      </c>
      <c r="F55" s="25"/>
      <c r="G55" s="25"/>
      <c r="J55" s="27"/>
      <c r="O55" s="26"/>
      <c r="P55" s="26"/>
      <c r="Q55" s="26"/>
      <c r="R55" s="26"/>
    </row>
    <row r="56" spans="1:20">
      <c r="A56">
        <v>9</v>
      </c>
      <c r="B56" s="11" t="s">
        <v>73</v>
      </c>
      <c r="C56" t="s">
        <v>1294</v>
      </c>
      <c r="D56">
        <v>2009</v>
      </c>
      <c r="E56" s="10" t="s">
        <v>1255</v>
      </c>
      <c r="F56" s="9" t="s">
        <v>1296</v>
      </c>
      <c r="G56" s="9" t="s">
        <v>1297</v>
      </c>
      <c r="H56">
        <f>PI()*0.05^2</f>
        <v>7.8539816339744835E-3</v>
      </c>
      <c r="I56">
        <v>23</v>
      </c>
      <c r="J56" s="6">
        <f t="shared" si="3"/>
        <v>1.806415775814131E-5</v>
      </c>
      <c r="K56">
        <f>15/1440</f>
        <v>1.0416666666666666E-2</v>
      </c>
      <c r="L56">
        <v>0</v>
      </c>
      <c r="M56">
        <f>K56*I56</f>
        <v>0.23958333333333331</v>
      </c>
      <c r="N56">
        <v>1</v>
      </c>
      <c r="O56" s="10">
        <v>0</v>
      </c>
      <c r="P56" s="10">
        <v>2</v>
      </c>
      <c r="Q56" s="10">
        <v>2</v>
      </c>
      <c r="R56" s="10">
        <v>0</v>
      </c>
      <c r="T56" t="s">
        <v>1298</v>
      </c>
    </row>
    <row r="57" spans="1:20" s="24" customFormat="1">
      <c r="B57" s="30" t="s">
        <v>50</v>
      </c>
      <c r="C57" s="24" t="s">
        <v>1355</v>
      </c>
      <c r="D57" s="24">
        <v>2014</v>
      </c>
      <c r="E57" s="26" t="s">
        <v>1247</v>
      </c>
      <c r="F57" s="25"/>
      <c r="G57" s="25"/>
      <c r="J57" s="27"/>
      <c r="O57" s="26"/>
      <c r="P57" s="26"/>
      <c r="Q57" s="26"/>
      <c r="R57" s="26"/>
    </row>
    <row r="58" spans="1:20" s="24" customFormat="1">
      <c r="B58" s="30" t="s">
        <v>139</v>
      </c>
      <c r="C58" s="24" t="s">
        <v>1354</v>
      </c>
      <c r="D58" s="24">
        <v>2005</v>
      </c>
      <c r="E58" s="26" t="s">
        <v>1247</v>
      </c>
      <c r="F58" s="25"/>
      <c r="G58" s="25"/>
      <c r="J58" s="27"/>
      <c r="O58" s="26"/>
      <c r="P58" s="26"/>
      <c r="Q58" s="26"/>
      <c r="R58" s="26"/>
    </row>
    <row r="59" spans="1:20">
      <c r="A59">
        <v>10</v>
      </c>
      <c r="B59" s="11" t="s">
        <v>143</v>
      </c>
      <c r="C59" t="s">
        <v>1303</v>
      </c>
      <c r="D59">
        <v>2010</v>
      </c>
      <c r="E59" s="10" t="s">
        <v>1255</v>
      </c>
      <c r="F59" s="9" t="s">
        <v>1299</v>
      </c>
      <c r="G59" s="9" t="s">
        <v>1301</v>
      </c>
      <c r="H59">
        <f>3</f>
        <v>3</v>
      </c>
      <c r="I59">
        <v>220</v>
      </c>
      <c r="J59" s="6">
        <f t="shared" si="3"/>
        <v>6.6000000000000003E-2</v>
      </c>
      <c r="K59">
        <f>2+2/3</f>
        <v>2.6666666666666665</v>
      </c>
      <c r="L59">
        <v>365</v>
      </c>
      <c r="M59">
        <f>K59*I59*14</f>
        <v>8213.3333333333321</v>
      </c>
      <c r="N59">
        <f>14*365</f>
        <v>5110</v>
      </c>
      <c r="O59" s="10">
        <v>0</v>
      </c>
      <c r="P59" s="10">
        <v>1</v>
      </c>
      <c r="Q59" s="10">
        <v>0</v>
      </c>
      <c r="R59" s="10">
        <v>0</v>
      </c>
      <c r="T59" t="s">
        <v>1300</v>
      </c>
    </row>
    <row r="60" spans="1:20">
      <c r="A60">
        <v>11</v>
      </c>
      <c r="B60" s="11" t="s">
        <v>1302</v>
      </c>
      <c r="C60" t="s">
        <v>1304</v>
      </c>
      <c r="D60">
        <v>2004</v>
      </c>
      <c r="E60" s="10" t="s">
        <v>1305</v>
      </c>
      <c r="F60" s="9" t="s">
        <v>1306</v>
      </c>
      <c r="G60" s="9" t="s">
        <v>1307</v>
      </c>
      <c r="H60">
        <f>1*10^10</f>
        <v>10000000000</v>
      </c>
      <c r="I60">
        <v>1</v>
      </c>
      <c r="J60" s="6">
        <f t="shared" si="3"/>
        <v>1000000</v>
      </c>
      <c r="K60">
        <f>2/24</f>
        <v>8.3333333333333329E-2</v>
      </c>
      <c r="L60">
        <f>(19*365 + 7*365 + 14*365)/3</f>
        <v>4866.666666666667</v>
      </c>
      <c r="M60">
        <f>K60*4</f>
        <v>0.33333333333333331</v>
      </c>
      <c r="N60">
        <f>40*365</f>
        <v>14600</v>
      </c>
      <c r="O60" s="10">
        <v>0</v>
      </c>
      <c r="P60" s="10">
        <v>0</v>
      </c>
      <c r="Q60" s="10">
        <v>2</v>
      </c>
      <c r="R60" s="10">
        <v>0</v>
      </c>
      <c r="T60" t="s">
        <v>1308</v>
      </c>
    </row>
    <row r="61" spans="1:20">
      <c r="A61">
        <v>12</v>
      </c>
      <c r="B61" s="11" t="s">
        <v>62</v>
      </c>
      <c r="C61" t="s">
        <v>1309</v>
      </c>
      <c r="D61">
        <v>2011</v>
      </c>
      <c r="E61" s="10" t="s">
        <v>29</v>
      </c>
      <c r="F61" s="9" t="s">
        <v>1310</v>
      </c>
      <c r="G61" s="9" t="s">
        <v>1311</v>
      </c>
      <c r="H61">
        <f>24*25</f>
        <v>600</v>
      </c>
      <c r="I61">
        <v>10</v>
      </c>
      <c r="J61" s="6">
        <f t="shared" si="3"/>
        <v>0.6</v>
      </c>
      <c r="K61">
        <f>1/24</f>
        <v>4.1666666666666664E-2</v>
      </c>
      <c r="L61">
        <v>6</v>
      </c>
      <c r="M61">
        <f>K61*I61</f>
        <v>0.41666666666666663</v>
      </c>
      <c r="N61">
        <v>60</v>
      </c>
      <c r="O61" s="10">
        <v>3</v>
      </c>
      <c r="P61" s="10">
        <v>2</v>
      </c>
      <c r="Q61" s="23">
        <v>2</v>
      </c>
      <c r="R61" s="10">
        <v>2</v>
      </c>
      <c r="T61" t="s">
        <v>1285</v>
      </c>
    </row>
    <row r="62" spans="1:20">
      <c r="A62">
        <v>12</v>
      </c>
      <c r="B62" s="11" t="s">
        <v>62</v>
      </c>
      <c r="C62" t="s">
        <v>1309</v>
      </c>
      <c r="D62">
        <v>2011</v>
      </c>
      <c r="E62" s="10" t="s">
        <v>29</v>
      </c>
      <c r="F62" s="9" t="s">
        <v>1310</v>
      </c>
      <c r="G62" s="9" t="s">
        <v>1311</v>
      </c>
      <c r="H62">
        <v>1</v>
      </c>
      <c r="I62">
        <v>3</v>
      </c>
      <c r="J62" s="6">
        <f t="shared" si="3"/>
        <v>2.9999999999999997E-4</v>
      </c>
      <c r="K62">
        <f>1/24</f>
        <v>4.1666666666666664E-2</v>
      </c>
      <c r="L62">
        <v>6</v>
      </c>
      <c r="M62">
        <f>K62*3</f>
        <v>0.125</v>
      </c>
      <c r="N62">
        <v>60</v>
      </c>
      <c r="O62" s="10">
        <v>3</v>
      </c>
      <c r="P62" s="10">
        <v>0</v>
      </c>
      <c r="Q62" s="10">
        <v>0</v>
      </c>
      <c r="R62" s="10">
        <v>2</v>
      </c>
      <c r="T62" t="s">
        <v>16</v>
      </c>
    </row>
    <row r="63" spans="1:20">
      <c r="A63">
        <v>12</v>
      </c>
      <c r="B63" s="11" t="s">
        <v>62</v>
      </c>
      <c r="C63" t="s">
        <v>1309</v>
      </c>
      <c r="D63">
        <v>2011</v>
      </c>
      <c r="E63" s="10" t="s">
        <v>29</v>
      </c>
      <c r="F63" s="9" t="s">
        <v>1310</v>
      </c>
      <c r="G63" s="9" t="s">
        <v>1311</v>
      </c>
      <c r="H63">
        <f>1*10^-7/3</f>
        <v>3.3333333333333334E-8</v>
      </c>
      <c r="I63">
        <f>106*20</f>
        <v>2120</v>
      </c>
      <c r="J63" s="6">
        <f t="shared" si="3"/>
        <v>7.0666666666666671E-9</v>
      </c>
      <c r="K63">
        <f>5/1440</f>
        <v>3.472222222222222E-3</v>
      </c>
      <c r="L63">
        <v>0</v>
      </c>
      <c r="M63">
        <f>K63*I63</f>
        <v>7.3611111111111107</v>
      </c>
      <c r="N63">
        <f>60</f>
        <v>60</v>
      </c>
      <c r="O63" s="10">
        <v>3</v>
      </c>
      <c r="P63" s="10">
        <v>0</v>
      </c>
      <c r="Q63" s="10">
        <v>2</v>
      </c>
      <c r="R63" s="10">
        <v>2</v>
      </c>
      <c r="T63" t="s">
        <v>1312</v>
      </c>
    </row>
    <row r="64" spans="1:20" s="24" customFormat="1">
      <c r="B64" s="30" t="s">
        <v>27</v>
      </c>
      <c r="C64" s="24" t="s">
        <v>1356</v>
      </c>
      <c r="D64" s="24">
        <v>2005</v>
      </c>
      <c r="E64" s="26" t="s">
        <v>1277</v>
      </c>
      <c r="F64" s="25"/>
      <c r="G64" s="25"/>
      <c r="J64" s="27"/>
      <c r="O64" s="26"/>
      <c r="P64" s="26"/>
      <c r="Q64" s="26"/>
      <c r="R64" s="26"/>
    </row>
    <row r="65" spans="1:21" s="24" customFormat="1">
      <c r="B65" s="30" t="s">
        <v>87</v>
      </c>
      <c r="C65" s="24" t="s">
        <v>1357</v>
      </c>
      <c r="D65" s="24">
        <v>2011</v>
      </c>
      <c r="E65" s="26" t="s">
        <v>1270</v>
      </c>
      <c r="F65" s="25"/>
      <c r="G65" s="25"/>
      <c r="J65" s="27"/>
      <c r="O65" s="26"/>
      <c r="P65" s="26"/>
      <c r="Q65" s="26"/>
      <c r="R65" s="26"/>
    </row>
    <row r="66" spans="1:21">
      <c r="A66">
        <v>13</v>
      </c>
      <c r="B66" s="11" t="s">
        <v>58</v>
      </c>
      <c r="C66" t="s">
        <v>1313</v>
      </c>
      <c r="D66">
        <v>2012</v>
      </c>
      <c r="E66" s="10" t="s">
        <v>29</v>
      </c>
      <c r="F66" s="9" t="s">
        <v>1315</v>
      </c>
      <c r="G66" s="9" t="s">
        <v>1314</v>
      </c>
      <c r="H66">
        <v>1</v>
      </c>
      <c r="I66">
        <v>750</v>
      </c>
      <c r="J66" s="6">
        <f t="shared" si="3"/>
        <v>7.4999999999999997E-2</v>
      </c>
      <c r="K66">
        <f>15/1440</f>
        <v>1.0416666666666666E-2</v>
      </c>
      <c r="L66">
        <f>3</f>
        <v>3</v>
      </c>
      <c r="M66">
        <f>K66*I66*24*17</f>
        <v>3187.5</v>
      </c>
      <c r="N66">
        <f>17*365</f>
        <v>6205</v>
      </c>
      <c r="O66" s="10">
        <v>0</v>
      </c>
      <c r="P66" s="10">
        <v>3</v>
      </c>
      <c r="Q66" s="10">
        <v>0</v>
      </c>
      <c r="R66" s="10">
        <v>0</v>
      </c>
      <c r="T66" t="s">
        <v>1316</v>
      </c>
    </row>
    <row r="67" spans="1:21">
      <c r="A67">
        <v>13</v>
      </c>
      <c r="B67" s="11" t="s">
        <v>58</v>
      </c>
      <c r="C67" t="s">
        <v>1313</v>
      </c>
      <c r="D67">
        <v>2012</v>
      </c>
      <c r="E67" s="10" t="s">
        <v>29</v>
      </c>
      <c r="F67" s="9" t="s">
        <v>1315</v>
      </c>
      <c r="G67" s="9" t="s">
        <v>1314</v>
      </c>
      <c r="H67">
        <f>0.03*0.01</f>
        <v>2.9999999999999997E-4</v>
      </c>
      <c r="I67">
        <v>683</v>
      </c>
      <c r="J67" s="6">
        <f t="shared" si="3"/>
        <v>2.0489999999999999E-5</v>
      </c>
      <c r="K67">
        <f>5/1440</f>
        <v>3.472222222222222E-3</v>
      </c>
      <c r="L67">
        <v>3</v>
      </c>
      <c r="M67">
        <f>K67*I67*24*17</f>
        <v>967.58333333333326</v>
      </c>
      <c r="N67">
        <f>17*365</f>
        <v>6205</v>
      </c>
      <c r="O67" s="10">
        <v>0</v>
      </c>
      <c r="P67" s="10">
        <v>1</v>
      </c>
      <c r="Q67" s="10">
        <v>0</v>
      </c>
      <c r="R67" s="10">
        <v>0</v>
      </c>
      <c r="T67" t="s">
        <v>17</v>
      </c>
    </row>
    <row r="68" spans="1:21">
      <c r="A68" s="12">
        <v>14</v>
      </c>
      <c r="B68" s="11" t="s">
        <v>33</v>
      </c>
      <c r="C68" t="s">
        <v>1319</v>
      </c>
      <c r="D68">
        <v>2010</v>
      </c>
      <c r="E68" s="10" t="s">
        <v>29</v>
      </c>
      <c r="F68" s="9" t="s">
        <v>1318</v>
      </c>
      <c r="G68" s="9" t="s">
        <v>1317</v>
      </c>
      <c r="H68">
        <f>200*2000</f>
        <v>400000</v>
      </c>
      <c r="I68">
        <v>66</v>
      </c>
      <c r="J68" s="6">
        <f t="shared" si="3"/>
        <v>2640</v>
      </c>
      <c r="K68">
        <f>6.65*8/24</f>
        <v>2.2166666666666668</v>
      </c>
      <c r="L68">
        <f>29*30/66</f>
        <v>13.181818181818182</v>
      </c>
      <c r="M68">
        <f>K68*66</f>
        <v>146.30000000000001</v>
      </c>
      <c r="N68">
        <f>29*30</f>
        <v>870</v>
      </c>
      <c r="O68" s="10">
        <v>0</v>
      </c>
      <c r="P68" s="10">
        <v>1</v>
      </c>
      <c r="Q68" s="10">
        <v>0</v>
      </c>
      <c r="R68" s="10">
        <v>1</v>
      </c>
      <c r="T68" t="s">
        <v>1320</v>
      </c>
    </row>
    <row r="69" spans="1:21">
      <c r="A69" s="20">
        <v>14</v>
      </c>
      <c r="B69" s="11" t="s">
        <v>33</v>
      </c>
      <c r="C69" t="s">
        <v>1319</v>
      </c>
      <c r="D69">
        <v>2010</v>
      </c>
      <c r="E69" s="10" t="s">
        <v>29</v>
      </c>
      <c r="F69" s="9" t="s">
        <v>1318</v>
      </c>
      <c r="G69" s="9" t="s">
        <v>1317</v>
      </c>
      <c r="H69">
        <f>800</f>
        <v>800</v>
      </c>
      <c r="I69">
        <v>1</v>
      </c>
      <c r="J69" s="6">
        <f t="shared" si="3"/>
        <v>0.08</v>
      </c>
      <c r="K69">
        <f>4/24</f>
        <v>0.16666666666666666</v>
      </c>
      <c r="L69">
        <v>1</v>
      </c>
      <c r="M69">
        <f>K69*N69</f>
        <v>456.33333333333331</v>
      </c>
      <c r="N69">
        <f>7.5*365+0.5</f>
        <v>2738</v>
      </c>
      <c r="O69" s="10">
        <v>0</v>
      </c>
      <c r="P69" s="10">
        <v>2</v>
      </c>
      <c r="Q69" s="10">
        <v>0</v>
      </c>
      <c r="R69" s="10">
        <v>1</v>
      </c>
      <c r="T69" t="s">
        <v>13</v>
      </c>
      <c r="U69" t="s">
        <v>1321</v>
      </c>
    </row>
    <row r="70" spans="1:21">
      <c r="A70" s="20">
        <v>15</v>
      </c>
      <c r="B70" s="11" t="s">
        <v>73</v>
      </c>
      <c r="C70" t="s">
        <v>1322</v>
      </c>
      <c r="D70">
        <v>2009</v>
      </c>
      <c r="E70" s="10" t="s">
        <v>29</v>
      </c>
      <c r="F70" s="9" t="s">
        <v>1323</v>
      </c>
      <c r="G70" s="9" t="s">
        <v>1324</v>
      </c>
      <c r="H70">
        <f>1</f>
        <v>1</v>
      </c>
      <c r="I70">
        <v>500</v>
      </c>
      <c r="J70" s="6">
        <f t="shared" si="3"/>
        <v>0.05</v>
      </c>
      <c r="K70">
        <f>1/60/1440</f>
        <v>1.1574074074074073E-5</v>
      </c>
      <c r="L70">
        <v>1</v>
      </c>
      <c r="M70">
        <f>K70*(10*365)</f>
        <v>4.2245370370370371E-2</v>
      </c>
      <c r="N70">
        <f>12*365</f>
        <v>4380</v>
      </c>
      <c r="O70" s="10">
        <v>0</v>
      </c>
      <c r="P70" s="10">
        <v>0</v>
      </c>
      <c r="Q70" s="10">
        <v>1</v>
      </c>
      <c r="R70" s="10">
        <v>0</v>
      </c>
      <c r="T70" t="s">
        <v>1325</v>
      </c>
    </row>
    <row r="71" spans="1:21">
      <c r="A71" s="20">
        <v>15</v>
      </c>
      <c r="B71" s="11" t="s">
        <v>73</v>
      </c>
      <c r="C71" t="s">
        <v>1322</v>
      </c>
      <c r="D71">
        <v>2009</v>
      </c>
      <c r="E71" s="10" t="s">
        <v>29</v>
      </c>
      <c r="F71" s="9" t="s">
        <v>1323</v>
      </c>
      <c r="G71" s="9" t="s">
        <v>1324</v>
      </c>
      <c r="H71">
        <f>10000</f>
        <v>10000</v>
      </c>
      <c r="I71">
        <f>1195/5</f>
        <v>239</v>
      </c>
      <c r="J71" s="6">
        <f t="shared" si="3"/>
        <v>239</v>
      </c>
      <c r="K71">
        <f>10*2/24</f>
        <v>0.83333333333333337</v>
      </c>
      <c r="L71">
        <v>365</v>
      </c>
      <c r="M71">
        <f>K71*10*239</f>
        <v>1991.6666666666667</v>
      </c>
      <c r="N71">
        <f>12*365</f>
        <v>4380</v>
      </c>
      <c r="O71" s="10">
        <v>1</v>
      </c>
      <c r="P71" s="10">
        <v>0</v>
      </c>
      <c r="Q71" s="10">
        <v>0</v>
      </c>
      <c r="R71" s="10">
        <v>2</v>
      </c>
      <c r="S71" t="s">
        <v>1326</v>
      </c>
      <c r="T71" s="11" t="s">
        <v>1327</v>
      </c>
    </row>
    <row r="72" spans="1:21" s="24" customFormat="1">
      <c r="B72" s="24" t="s">
        <v>143</v>
      </c>
      <c r="C72" s="24" t="s">
        <v>1358</v>
      </c>
      <c r="D72" s="24">
        <v>2012</v>
      </c>
      <c r="E72" s="26" t="s">
        <v>1277</v>
      </c>
      <c r="F72" s="25"/>
      <c r="G72" s="25"/>
      <c r="J72" s="27"/>
      <c r="O72" s="26"/>
      <c r="P72" s="26"/>
      <c r="Q72" s="26"/>
      <c r="R72" s="26"/>
      <c r="T72" s="30"/>
      <c r="U72" s="24" t="s">
        <v>1359</v>
      </c>
    </row>
    <row r="73" spans="1:21" s="24" customFormat="1">
      <c r="B73" s="24" t="s">
        <v>58</v>
      </c>
      <c r="C73" s="24" t="s">
        <v>1360</v>
      </c>
      <c r="D73" s="24">
        <v>2006</v>
      </c>
      <c r="E73" s="26" t="s">
        <v>1277</v>
      </c>
      <c r="F73" s="25"/>
      <c r="G73" s="25"/>
      <c r="J73" s="27"/>
      <c r="O73" s="26"/>
      <c r="P73" s="26"/>
      <c r="Q73" s="26"/>
      <c r="R73" s="26"/>
      <c r="T73" s="30"/>
    </row>
    <row r="74" spans="1:21" s="24" customFormat="1">
      <c r="B74" s="24" t="s">
        <v>50</v>
      </c>
      <c r="C74" s="24" t="s">
        <v>1361</v>
      </c>
      <c r="D74" s="24">
        <v>2013</v>
      </c>
      <c r="E74" s="26" t="s">
        <v>1247</v>
      </c>
      <c r="F74" s="25"/>
      <c r="G74" s="25"/>
      <c r="J74" s="27"/>
      <c r="O74" s="26"/>
      <c r="P74" s="26"/>
      <c r="Q74" s="26"/>
      <c r="R74" s="26"/>
      <c r="T74" s="30"/>
    </row>
    <row r="75" spans="1:21">
      <c r="A75">
        <v>16</v>
      </c>
      <c r="B75" s="11" t="s">
        <v>1302</v>
      </c>
      <c r="C75" t="s">
        <v>1328</v>
      </c>
      <c r="D75">
        <v>2008</v>
      </c>
      <c r="E75" s="10" t="s">
        <v>1255</v>
      </c>
      <c r="F75" s="10" t="s">
        <v>1329</v>
      </c>
      <c r="G75" s="10" t="s">
        <v>1330</v>
      </c>
      <c r="H75">
        <f>PI()*500^2</f>
        <v>785398.16339744825</v>
      </c>
      <c r="I75">
        <v>13</v>
      </c>
      <c r="J75" s="6">
        <f>(H75*I75)/10000</f>
        <v>1021.0176124166827</v>
      </c>
      <c r="K75">
        <f>8/24</f>
        <v>0.33333333333333331</v>
      </c>
      <c r="L75" s="11">
        <f>40*365</f>
        <v>14600</v>
      </c>
      <c r="M75">
        <f>K75*2</f>
        <v>0.66666666666666663</v>
      </c>
      <c r="N75">
        <f>(2002-1960)*365</f>
        <v>15330</v>
      </c>
      <c r="O75" s="10">
        <v>1</v>
      </c>
      <c r="P75" s="10">
        <v>0</v>
      </c>
      <c r="Q75">
        <v>2</v>
      </c>
      <c r="R75">
        <v>0</v>
      </c>
      <c r="T75" t="s">
        <v>13</v>
      </c>
    </row>
    <row r="76" spans="1:21">
      <c r="A76">
        <v>17</v>
      </c>
      <c r="B76" t="s">
        <v>58</v>
      </c>
      <c r="C76" t="s">
        <v>1331</v>
      </c>
      <c r="D76">
        <v>2011</v>
      </c>
      <c r="E76" t="s">
        <v>29</v>
      </c>
      <c r="F76" t="s">
        <v>1333</v>
      </c>
      <c r="G76" t="s">
        <v>1332</v>
      </c>
      <c r="H76">
        <f>0.3*0.15</f>
        <v>4.4999999999999998E-2</v>
      </c>
      <c r="I76">
        <f>49*2</f>
        <v>98</v>
      </c>
      <c r="J76" s="6">
        <f>(H76*I76)/10000</f>
        <v>4.4100000000000004E-4</v>
      </c>
      <c r="K76">
        <f>30/1440</f>
        <v>2.0833333333333332E-2</v>
      </c>
      <c r="L76">
        <v>0</v>
      </c>
      <c r="M76">
        <f>K76*I76</f>
        <v>2.0416666666666665</v>
      </c>
      <c r="N76">
        <f>4*30</f>
        <v>120</v>
      </c>
      <c r="O76" s="10">
        <v>0</v>
      </c>
      <c r="P76" s="10">
        <v>2</v>
      </c>
      <c r="Q76" s="10">
        <v>0</v>
      </c>
      <c r="R76" s="10">
        <v>0</v>
      </c>
      <c r="T76" s="11" t="s">
        <v>1308</v>
      </c>
    </row>
    <row r="77" spans="1:21">
      <c r="A77">
        <v>17</v>
      </c>
      <c r="B77" t="s">
        <v>58</v>
      </c>
      <c r="C77" t="s">
        <v>1334</v>
      </c>
      <c r="D77">
        <v>2011</v>
      </c>
      <c r="E77" t="s">
        <v>29</v>
      </c>
      <c r="F77" t="s">
        <v>1333</v>
      </c>
      <c r="G77" t="s">
        <v>1332</v>
      </c>
      <c r="H77">
        <f>0.3*0.15</f>
        <v>4.4999999999999998E-2</v>
      </c>
      <c r="I77">
        <v>22</v>
      </c>
      <c r="J77" s="6">
        <f t="shared" ref="J77:J79" si="6">(H77*I77)/10000</f>
        <v>9.8999999999999994E-5</v>
      </c>
      <c r="K77">
        <f>30/1440</f>
        <v>2.0833333333333332E-2</v>
      </c>
      <c r="L77">
        <v>0</v>
      </c>
      <c r="M77">
        <f>K77*I77</f>
        <v>0.45833333333333331</v>
      </c>
      <c r="N77">
        <f>4*30</f>
        <v>120</v>
      </c>
      <c r="O77" s="10">
        <v>0</v>
      </c>
      <c r="P77" s="10">
        <v>1</v>
      </c>
      <c r="Q77" s="10">
        <v>0</v>
      </c>
      <c r="R77" s="10">
        <v>0</v>
      </c>
      <c r="T77" s="11" t="s">
        <v>1308</v>
      </c>
    </row>
    <row r="78" spans="1:21">
      <c r="A78">
        <v>17</v>
      </c>
      <c r="B78" t="s">
        <v>58</v>
      </c>
      <c r="C78" t="s">
        <v>1335</v>
      </c>
      <c r="D78">
        <v>2011</v>
      </c>
      <c r="E78" t="s">
        <v>29</v>
      </c>
      <c r="F78" t="s">
        <v>1333</v>
      </c>
      <c r="G78" t="s">
        <v>1332</v>
      </c>
      <c r="H78">
        <f>0.1*0.05</f>
        <v>5.000000000000001E-3</v>
      </c>
      <c r="I78">
        <f>49+39</f>
        <v>88</v>
      </c>
      <c r="J78" s="6">
        <f t="shared" si="6"/>
        <v>4.4000000000000006E-5</v>
      </c>
      <c r="K78">
        <f>15/1440</f>
        <v>1.0416666666666666E-2</v>
      </c>
      <c r="L78">
        <v>2</v>
      </c>
      <c r="M78">
        <f>K78*I78</f>
        <v>0.91666666666666663</v>
      </c>
      <c r="N78">
        <f>4*30</f>
        <v>120</v>
      </c>
      <c r="O78" s="10">
        <v>0</v>
      </c>
      <c r="P78" s="10">
        <v>1</v>
      </c>
      <c r="Q78" s="10">
        <v>0</v>
      </c>
      <c r="R78" s="10">
        <v>0</v>
      </c>
      <c r="T78" s="11" t="s">
        <v>14</v>
      </c>
    </row>
    <row r="79" spans="1:21">
      <c r="A79">
        <v>17</v>
      </c>
      <c r="B79" t="s">
        <v>58</v>
      </c>
      <c r="C79" t="s">
        <v>1335</v>
      </c>
      <c r="D79">
        <v>2011</v>
      </c>
      <c r="E79" t="s">
        <v>29</v>
      </c>
      <c r="F79" t="s">
        <v>1333</v>
      </c>
      <c r="G79" t="s">
        <v>1332</v>
      </c>
      <c r="H79">
        <f>0.3*0.3</f>
        <v>0.09</v>
      </c>
      <c r="I79">
        <v>36</v>
      </c>
      <c r="J79" s="6">
        <f t="shared" si="6"/>
        <v>3.2399999999999996E-4</v>
      </c>
      <c r="K79">
        <f>(5/3)/24</f>
        <v>6.9444444444444448E-2</v>
      </c>
      <c r="L79">
        <v>4</v>
      </c>
      <c r="M79">
        <f>5*I79</f>
        <v>180</v>
      </c>
      <c r="N79">
        <f>4*30</f>
        <v>120</v>
      </c>
      <c r="O79" s="10">
        <v>0</v>
      </c>
      <c r="P79" s="10">
        <v>1</v>
      </c>
      <c r="Q79" s="10">
        <v>0</v>
      </c>
      <c r="R79" s="10">
        <v>0</v>
      </c>
      <c r="T79" s="11" t="s">
        <v>13</v>
      </c>
    </row>
    <row r="80" spans="1:21" s="24" customFormat="1">
      <c r="B80" s="30" t="s">
        <v>33</v>
      </c>
      <c r="C80" s="24" t="s">
        <v>1362</v>
      </c>
      <c r="D80" s="24">
        <v>2010</v>
      </c>
      <c r="E80" s="24" t="s">
        <v>1247</v>
      </c>
      <c r="F80" s="26"/>
      <c r="G80" s="26"/>
      <c r="J80" s="27"/>
      <c r="U80" s="24" t="s">
        <v>1363</v>
      </c>
    </row>
    <row r="81" spans="1:21" s="24" customFormat="1">
      <c r="B81" s="24" t="s">
        <v>143</v>
      </c>
      <c r="C81" s="24" t="s">
        <v>1364</v>
      </c>
      <c r="D81" s="24">
        <v>2008</v>
      </c>
      <c r="E81" s="24" t="s">
        <v>1247</v>
      </c>
      <c r="J81" s="27"/>
      <c r="U81" s="31"/>
    </row>
    <row r="82" spans="1:21" s="24" customFormat="1">
      <c r="B82" s="30" t="s">
        <v>27</v>
      </c>
      <c r="C82" s="24" t="s">
        <v>1365</v>
      </c>
      <c r="D82" s="24">
        <v>2005</v>
      </c>
      <c r="E82" s="30" t="s">
        <v>1247</v>
      </c>
      <c r="J82" s="27"/>
    </row>
    <row r="83" spans="1:21" s="24" customFormat="1">
      <c r="B83" s="30" t="s">
        <v>27</v>
      </c>
      <c r="C83" s="24" t="s">
        <v>1366</v>
      </c>
      <c r="D83" s="24">
        <v>2014</v>
      </c>
      <c r="E83" s="30" t="s">
        <v>1247</v>
      </c>
      <c r="J83" s="27"/>
    </row>
    <row r="84" spans="1:21" s="24" customFormat="1">
      <c r="B84" s="30" t="s">
        <v>73</v>
      </c>
      <c r="C84" s="24" t="s">
        <v>1367</v>
      </c>
      <c r="D84" s="24">
        <v>2008</v>
      </c>
      <c r="E84" s="30" t="s">
        <v>1250</v>
      </c>
      <c r="J84" s="27"/>
      <c r="U84" s="30" t="s">
        <v>1368</v>
      </c>
    </row>
    <row r="85" spans="1:21" s="24" customFormat="1">
      <c r="B85" s="30" t="s">
        <v>27</v>
      </c>
      <c r="C85" s="24" t="s">
        <v>1369</v>
      </c>
      <c r="D85" s="24">
        <v>2009</v>
      </c>
      <c r="E85" s="30" t="s">
        <v>1247</v>
      </c>
      <c r="J85" s="27"/>
      <c r="U85" s="30" t="s">
        <v>1370</v>
      </c>
    </row>
    <row r="86" spans="1:21" s="24" customFormat="1">
      <c r="B86" s="30" t="s">
        <v>54</v>
      </c>
      <c r="C86" s="24" t="s">
        <v>1371</v>
      </c>
      <c r="D86" s="24">
        <v>2009</v>
      </c>
      <c r="E86" s="30" t="s">
        <v>1270</v>
      </c>
      <c r="J86" s="27"/>
    </row>
    <row r="87" spans="1:21" s="24" customFormat="1">
      <c r="B87" s="30" t="s">
        <v>27</v>
      </c>
      <c r="C87" s="24" t="s">
        <v>1372</v>
      </c>
      <c r="D87" s="24">
        <v>2013</v>
      </c>
      <c r="E87" s="30" t="s">
        <v>1250</v>
      </c>
      <c r="J87" s="27"/>
    </row>
    <row r="88" spans="1:21" s="24" customFormat="1">
      <c r="B88" s="24" t="s">
        <v>62</v>
      </c>
      <c r="C88" s="24" t="s">
        <v>1373</v>
      </c>
      <c r="D88" s="24">
        <v>2007</v>
      </c>
      <c r="E88" s="30" t="s">
        <v>1247</v>
      </c>
      <c r="J88" s="27"/>
    </row>
    <row r="89" spans="1:21" s="24" customFormat="1">
      <c r="B89" s="32" t="s">
        <v>27</v>
      </c>
      <c r="C89" s="24" t="s">
        <v>1374</v>
      </c>
      <c r="D89" s="24">
        <v>2012</v>
      </c>
      <c r="E89" s="30" t="s">
        <v>1247</v>
      </c>
      <c r="J89" s="27"/>
    </row>
    <row r="90" spans="1:21" s="24" customFormat="1">
      <c r="B90" s="32" t="s">
        <v>73</v>
      </c>
      <c r="C90" s="24" t="s">
        <v>1375</v>
      </c>
      <c r="D90" s="24">
        <v>2012</v>
      </c>
      <c r="E90" s="30" t="s">
        <v>1270</v>
      </c>
      <c r="J90" s="27"/>
    </row>
    <row r="91" spans="1:21" s="24" customFormat="1">
      <c r="B91" s="32" t="s">
        <v>87</v>
      </c>
      <c r="C91" s="24" t="s">
        <v>1376</v>
      </c>
      <c r="D91" s="24">
        <v>2014</v>
      </c>
      <c r="E91" s="30" t="s">
        <v>1277</v>
      </c>
      <c r="J91" s="27"/>
      <c r="U91" s="30" t="s">
        <v>1377</v>
      </c>
    </row>
    <row r="92" spans="1:21" s="12" customFormat="1">
      <c r="A92" s="12">
        <v>18</v>
      </c>
      <c r="B92" s="33" t="s">
        <v>216</v>
      </c>
      <c r="C92" s="12" t="s">
        <v>1378</v>
      </c>
      <c r="D92" s="12">
        <v>2010</v>
      </c>
      <c r="E92" s="35" t="s">
        <v>29</v>
      </c>
      <c r="F92" s="19" t="s">
        <v>1380</v>
      </c>
      <c r="G92" s="16" t="s">
        <v>1379</v>
      </c>
      <c r="H92" s="12">
        <f>0.5*0.25</f>
        <v>0.125</v>
      </c>
      <c r="I92" s="12">
        <v>27</v>
      </c>
      <c r="J92" s="34">
        <f t="shared" si="3"/>
        <v>3.3750000000000002E-4</v>
      </c>
      <c r="K92" s="12">
        <f>30/1440</f>
        <v>2.0833333333333332E-2</v>
      </c>
      <c r="L92" s="12">
        <v>0</v>
      </c>
      <c r="M92" s="12">
        <f>K92*I92</f>
        <v>0.5625</v>
      </c>
      <c r="N92" s="12">
        <v>12</v>
      </c>
      <c r="O92" s="12">
        <v>0</v>
      </c>
      <c r="P92" s="20">
        <v>1</v>
      </c>
      <c r="Q92" s="20">
        <v>0</v>
      </c>
      <c r="R92" s="20">
        <v>0</v>
      </c>
      <c r="T92" s="12" t="s">
        <v>1308</v>
      </c>
    </row>
    <row r="93" spans="1:21" s="24" customFormat="1">
      <c r="B93" s="30" t="s">
        <v>50</v>
      </c>
      <c r="C93" s="24" t="s">
        <v>1381</v>
      </c>
      <c r="D93" s="24">
        <v>2007</v>
      </c>
      <c r="E93" s="30" t="s">
        <v>1247</v>
      </c>
      <c r="J93" s="27"/>
    </row>
    <row r="94" spans="1:21" s="24" customFormat="1">
      <c r="B94" s="30" t="s">
        <v>1383</v>
      </c>
      <c r="C94" s="24" t="s">
        <v>1382</v>
      </c>
      <c r="D94" s="24">
        <v>2006</v>
      </c>
      <c r="E94" s="30" t="s">
        <v>1270</v>
      </c>
      <c r="J94" s="27"/>
    </row>
    <row r="95" spans="1:21" s="24" customFormat="1">
      <c r="B95" s="30" t="s">
        <v>139</v>
      </c>
      <c r="C95" s="24" t="s">
        <v>1384</v>
      </c>
      <c r="D95" s="24">
        <v>2008</v>
      </c>
      <c r="E95" s="30" t="s">
        <v>1277</v>
      </c>
      <c r="J95" s="27"/>
    </row>
    <row r="96" spans="1:21">
      <c r="A96">
        <v>19</v>
      </c>
      <c r="B96" t="s">
        <v>229</v>
      </c>
      <c r="C96" t="s">
        <v>1386</v>
      </c>
      <c r="D96">
        <v>2006</v>
      </c>
      <c r="E96" s="16" t="s">
        <v>1255</v>
      </c>
      <c r="F96" s="11" t="s">
        <v>1388</v>
      </c>
      <c r="G96" s="11" t="s">
        <v>1389</v>
      </c>
      <c r="H96">
        <v>60000</v>
      </c>
      <c r="I96">
        <v>2</v>
      </c>
      <c r="J96" s="6">
        <f t="shared" si="3"/>
        <v>12</v>
      </c>
      <c r="K96">
        <f>(5/24)</f>
        <v>0.20833333333333334</v>
      </c>
      <c r="L96">
        <v>365</v>
      </c>
      <c r="M96">
        <f>K96*10*2*15</f>
        <v>62.500000000000007</v>
      </c>
      <c r="N96">
        <f>10*365</f>
        <v>3650</v>
      </c>
      <c r="O96">
        <v>0</v>
      </c>
      <c r="P96">
        <v>1</v>
      </c>
      <c r="Q96">
        <v>0</v>
      </c>
      <c r="R96">
        <v>0</v>
      </c>
      <c r="S96" s="36" t="s">
        <v>1387</v>
      </c>
      <c r="T96" s="11" t="s">
        <v>1390</v>
      </c>
    </row>
    <row r="97" spans="1:21">
      <c r="A97">
        <v>19</v>
      </c>
      <c r="B97" t="s">
        <v>229</v>
      </c>
      <c r="C97" t="s">
        <v>1386</v>
      </c>
      <c r="D97">
        <v>2006</v>
      </c>
      <c r="E97" s="16" t="s">
        <v>1255</v>
      </c>
      <c r="F97" t="s">
        <v>1388</v>
      </c>
      <c r="G97" t="s">
        <v>1396</v>
      </c>
      <c r="H97">
        <v>5000</v>
      </c>
      <c r="I97">
        <v>18</v>
      </c>
      <c r="J97" s="6">
        <f t="shared" si="3"/>
        <v>9</v>
      </c>
      <c r="K97">
        <f>11/24</f>
        <v>0.45833333333333331</v>
      </c>
      <c r="L97">
        <v>365</v>
      </c>
      <c r="M97">
        <f>K97*60*13</f>
        <v>357.5</v>
      </c>
      <c r="N97">
        <f>13*365</f>
        <v>4745</v>
      </c>
      <c r="O97">
        <v>0</v>
      </c>
      <c r="P97">
        <v>1</v>
      </c>
      <c r="Q97">
        <v>0</v>
      </c>
      <c r="R97">
        <v>2</v>
      </c>
      <c r="S97" t="s">
        <v>1391</v>
      </c>
      <c r="T97" t="s">
        <v>1392</v>
      </c>
    </row>
    <row r="98" spans="1:21">
      <c r="A98">
        <v>19</v>
      </c>
      <c r="B98" t="s">
        <v>229</v>
      </c>
      <c r="C98" t="s">
        <v>1386</v>
      </c>
      <c r="D98">
        <v>2006</v>
      </c>
      <c r="E98" s="16" t="s">
        <v>1255</v>
      </c>
      <c r="F98" t="s">
        <v>1388</v>
      </c>
      <c r="G98" t="s">
        <v>1396</v>
      </c>
      <c r="H98">
        <v>5000</v>
      </c>
      <c r="I98">
        <v>18</v>
      </c>
      <c r="J98" s="6">
        <f t="shared" si="3"/>
        <v>9</v>
      </c>
      <c r="K98">
        <f>11/24</f>
        <v>0.45833333333333331</v>
      </c>
      <c r="L98">
        <v>90</v>
      </c>
      <c r="M98">
        <f>K98*40*5*4</f>
        <v>366.66666666666663</v>
      </c>
      <c r="N98">
        <f>5*365</f>
        <v>1825</v>
      </c>
      <c r="O98">
        <v>0</v>
      </c>
      <c r="P98">
        <v>1</v>
      </c>
      <c r="Q98">
        <v>0</v>
      </c>
      <c r="R98">
        <v>0</v>
      </c>
      <c r="T98" t="s">
        <v>1393</v>
      </c>
      <c r="U98" t="s">
        <v>1394</v>
      </c>
    </row>
    <row r="99" spans="1:21">
      <c r="A99">
        <v>19</v>
      </c>
      <c r="B99" t="s">
        <v>229</v>
      </c>
      <c r="C99" t="s">
        <v>1386</v>
      </c>
      <c r="D99">
        <v>2006</v>
      </c>
      <c r="E99" s="16" t="s">
        <v>1255</v>
      </c>
      <c r="F99" t="s">
        <v>1388</v>
      </c>
      <c r="G99" t="s">
        <v>1396</v>
      </c>
      <c r="H99">
        <f>800*10000</f>
        <v>8000000</v>
      </c>
      <c r="I99">
        <v>200</v>
      </c>
      <c r="J99" s="6">
        <f t="shared" si="3"/>
        <v>160000</v>
      </c>
      <c r="K99">
        <f>(12.9/24)/200</f>
        <v>2.6874999999999998E-3</v>
      </c>
      <c r="L99">
        <v>365</v>
      </c>
      <c r="M99">
        <f>K99*19</f>
        <v>5.1062499999999997E-2</v>
      </c>
      <c r="N99">
        <f>(1996-1977)*365</f>
        <v>6935</v>
      </c>
      <c r="O99">
        <v>0</v>
      </c>
      <c r="P99">
        <v>0</v>
      </c>
      <c r="Q99">
        <v>0</v>
      </c>
      <c r="R99">
        <v>2</v>
      </c>
      <c r="S99" t="s">
        <v>1399</v>
      </c>
      <c r="T99" t="s">
        <v>1395</v>
      </c>
    </row>
    <row r="100" spans="1:21">
      <c r="A100">
        <v>19</v>
      </c>
      <c r="B100" t="s">
        <v>229</v>
      </c>
      <c r="C100" t="s">
        <v>1386</v>
      </c>
      <c r="D100">
        <v>2006</v>
      </c>
      <c r="E100" s="16" t="s">
        <v>1255</v>
      </c>
      <c r="F100" t="s">
        <v>1388</v>
      </c>
      <c r="G100" t="s">
        <v>1397</v>
      </c>
      <c r="H100">
        <f>(100*PI()^2)</f>
        <v>986.96044010893581</v>
      </c>
      <c r="I100">
        <f>4*21</f>
        <v>84</v>
      </c>
      <c r="J100" s="6">
        <f t="shared" si="3"/>
        <v>8.2904676969150604</v>
      </c>
      <c r="K100">
        <f>8/24</f>
        <v>0.33333333333333331</v>
      </c>
      <c r="L100">
        <v>14</v>
      </c>
      <c r="M100">
        <f>K100*I100*52*(1995-1967)</f>
        <v>40768</v>
      </c>
      <c r="N100">
        <f>(1995-1967)*365</f>
        <v>10220</v>
      </c>
      <c r="O100">
        <v>0</v>
      </c>
      <c r="P100">
        <v>1</v>
      </c>
      <c r="Q100">
        <v>0</v>
      </c>
      <c r="R100">
        <v>0</v>
      </c>
      <c r="S100" t="s">
        <v>1398</v>
      </c>
      <c r="T100" t="s">
        <v>1400</v>
      </c>
      <c r="U100" t="s">
        <v>1401</v>
      </c>
    </row>
    <row r="101" spans="1:21">
      <c r="A101">
        <v>19</v>
      </c>
      <c r="B101" t="s">
        <v>229</v>
      </c>
      <c r="C101" t="s">
        <v>1386</v>
      </c>
      <c r="D101">
        <v>2006</v>
      </c>
      <c r="E101" s="16" t="s">
        <v>1255</v>
      </c>
      <c r="F101" t="s">
        <v>1388</v>
      </c>
      <c r="G101" t="s">
        <v>1397</v>
      </c>
      <c r="H101">
        <v>2</v>
      </c>
      <c r="I101">
        <v>300</v>
      </c>
      <c r="J101" s="6">
        <f t="shared" si="3"/>
        <v>0.06</v>
      </c>
      <c r="K101">
        <f>3/24</f>
        <v>0.125</v>
      </c>
      <c r="L101">
        <v>0</v>
      </c>
      <c r="M101">
        <f>K101*I101</f>
        <v>37.5</v>
      </c>
      <c r="N101">
        <f>2*365</f>
        <v>730</v>
      </c>
      <c r="O101">
        <v>0</v>
      </c>
      <c r="P101">
        <v>1</v>
      </c>
      <c r="Q101">
        <v>0</v>
      </c>
      <c r="R101">
        <v>0</v>
      </c>
      <c r="S101" t="s">
        <v>1398</v>
      </c>
      <c r="T101" t="s">
        <v>1402</v>
      </c>
      <c r="U101" t="s">
        <v>1401</v>
      </c>
    </row>
    <row r="102" spans="1:21">
      <c r="A102">
        <v>19</v>
      </c>
      <c r="B102" t="s">
        <v>229</v>
      </c>
      <c r="C102" t="s">
        <v>1386</v>
      </c>
      <c r="D102">
        <v>2006</v>
      </c>
      <c r="E102" s="16" t="s">
        <v>1255</v>
      </c>
      <c r="F102" t="s">
        <v>1388</v>
      </c>
      <c r="G102" t="s">
        <v>1397</v>
      </c>
      <c r="H102">
        <f>(100*PI()^2)</f>
        <v>986.96044010893581</v>
      </c>
      <c r="I102">
        <v>84</v>
      </c>
      <c r="J102" s="6">
        <f t="shared" ref="J102:J103" si="7">(H102*I102)/10000</f>
        <v>8.2904676969150604</v>
      </c>
      <c r="K102">
        <f>1/24</f>
        <v>4.1666666666666664E-2</v>
      </c>
      <c r="L102">
        <v>14</v>
      </c>
      <c r="M102">
        <f>K102*I102*52*(1995-1967)</f>
        <v>5096</v>
      </c>
      <c r="N102">
        <f>(1995-1967)*365</f>
        <v>10220</v>
      </c>
      <c r="O102">
        <v>0</v>
      </c>
      <c r="P102">
        <v>1</v>
      </c>
      <c r="Q102">
        <v>0</v>
      </c>
      <c r="R102">
        <v>0</v>
      </c>
      <c r="S102" t="s">
        <v>1398</v>
      </c>
      <c r="T102" t="s">
        <v>1400</v>
      </c>
      <c r="U102" t="s">
        <v>1401</v>
      </c>
    </row>
    <row r="103" spans="1:21">
      <c r="A103">
        <v>19</v>
      </c>
      <c r="B103" t="s">
        <v>229</v>
      </c>
      <c r="C103" t="s">
        <v>1386</v>
      </c>
      <c r="D103">
        <v>2006</v>
      </c>
      <c r="E103" s="16" t="s">
        <v>1255</v>
      </c>
      <c r="F103" t="s">
        <v>1388</v>
      </c>
      <c r="G103" t="s">
        <v>1403</v>
      </c>
      <c r="H103">
        <f>PI()*0.25^2</f>
        <v>0.19634954084936207</v>
      </c>
      <c r="I103">
        <v>1</v>
      </c>
      <c r="J103" s="37">
        <f t="shared" si="7"/>
        <v>1.9634954084936207E-5</v>
      </c>
      <c r="K103">
        <f>5/1440</f>
        <v>3.472222222222222E-3</v>
      </c>
      <c r="L103">
        <v>1</v>
      </c>
      <c r="M103">
        <f>K103*N103</f>
        <v>35.486111111111107</v>
      </c>
      <c r="N103">
        <f>(1995-1967)*365</f>
        <v>10220</v>
      </c>
      <c r="O103">
        <v>0</v>
      </c>
      <c r="P103">
        <v>0</v>
      </c>
      <c r="Q103">
        <v>0</v>
      </c>
      <c r="R103">
        <v>0</v>
      </c>
    </row>
    <row r="104" spans="1:21">
      <c r="A104">
        <v>19</v>
      </c>
      <c r="B104" t="s">
        <v>229</v>
      </c>
      <c r="C104" t="s">
        <v>1386</v>
      </c>
      <c r="D104">
        <v>2006</v>
      </c>
      <c r="E104" s="16" t="s">
        <v>1255</v>
      </c>
      <c r="F104" t="s">
        <v>1388</v>
      </c>
      <c r="G104" t="s">
        <v>1404</v>
      </c>
      <c r="H104">
        <f>PI()*0.25^2</f>
        <v>0.19634954084936207</v>
      </c>
      <c r="I104">
        <v>1</v>
      </c>
      <c r="J104" s="37">
        <f t="shared" ref="J104" si="8">(H104*I104)/10000</f>
        <v>1.9634954084936207E-5</v>
      </c>
      <c r="K104">
        <f>5/1440</f>
        <v>3.472222222222222E-3</v>
      </c>
      <c r="L104">
        <v>1</v>
      </c>
      <c r="M104">
        <f>K104*N104</f>
        <v>22.8125</v>
      </c>
      <c r="N104">
        <f>(1996-1978)*365</f>
        <v>6570</v>
      </c>
      <c r="O104">
        <v>0</v>
      </c>
      <c r="P104">
        <v>0</v>
      </c>
      <c r="Q104">
        <v>0</v>
      </c>
      <c r="R104">
        <v>0</v>
      </c>
    </row>
    <row r="105" spans="1:21" s="24" customFormat="1">
      <c r="B105" s="30" t="s">
        <v>139</v>
      </c>
      <c r="C105" s="24" t="s">
        <v>1385</v>
      </c>
      <c r="D105" s="24">
        <v>2009</v>
      </c>
      <c r="E105" s="30" t="s">
        <v>1270</v>
      </c>
      <c r="J105" s="27">
        <f>(H105*I105)/10000</f>
        <v>0</v>
      </c>
    </row>
    <row r="106" spans="1:21">
      <c r="A106">
        <v>20</v>
      </c>
      <c r="B106" t="s">
        <v>73</v>
      </c>
      <c r="C106" t="s">
        <v>1405</v>
      </c>
      <c r="D106">
        <v>2012</v>
      </c>
      <c r="E106" s="16" t="s">
        <v>1406</v>
      </c>
      <c r="F106" t="s">
        <v>1407</v>
      </c>
      <c r="G106" t="s">
        <v>1408</v>
      </c>
      <c r="H106">
        <f>PI()*0.025^2</f>
        <v>1.9634954084936209E-3</v>
      </c>
      <c r="I106">
        <f>(51+87)/2*6</f>
        <v>414</v>
      </c>
      <c r="J106" s="6">
        <f>(H106*I106)/10000</f>
        <v>8.1288709911635904E-5</v>
      </c>
      <c r="K106">
        <f>30/1440</f>
        <v>2.0833333333333332E-2</v>
      </c>
      <c r="L106">
        <f>14*365</f>
        <v>5110</v>
      </c>
      <c r="M106">
        <f>K106*I106</f>
        <v>8.625</v>
      </c>
      <c r="N106">
        <f>2000*365</f>
        <v>730000</v>
      </c>
      <c r="O106">
        <v>0</v>
      </c>
      <c r="P106">
        <v>0</v>
      </c>
      <c r="Q106">
        <v>0</v>
      </c>
      <c r="R106">
        <v>0</v>
      </c>
      <c r="T106" t="s">
        <v>1409</v>
      </c>
    </row>
    <row r="107" spans="1:21">
      <c r="A107">
        <v>20</v>
      </c>
      <c r="B107" t="s">
        <v>73</v>
      </c>
      <c r="C107" t="s">
        <v>1405</v>
      </c>
      <c r="D107">
        <v>2012</v>
      </c>
      <c r="E107" s="16" t="s">
        <v>1406</v>
      </c>
      <c r="F107" t="s">
        <v>1407</v>
      </c>
      <c r="G107" t="s">
        <v>1408</v>
      </c>
      <c r="H107">
        <v>475000</v>
      </c>
      <c r="I107">
        <v>6</v>
      </c>
      <c r="J107" s="6">
        <f t="shared" ref="J107:J108" si="9">(H107*I107)/10000</f>
        <v>285</v>
      </c>
      <c r="K107">
        <f>6/24</f>
        <v>0.25</v>
      </c>
      <c r="L107">
        <v>0</v>
      </c>
      <c r="M107">
        <f>K107*6</f>
        <v>1.5</v>
      </c>
      <c r="N107">
        <v>1</v>
      </c>
      <c r="O107">
        <v>0</v>
      </c>
      <c r="P107">
        <v>0</v>
      </c>
      <c r="Q107">
        <v>0</v>
      </c>
      <c r="R107">
        <v>0</v>
      </c>
      <c r="T107" t="s">
        <v>19</v>
      </c>
    </row>
    <row r="108" spans="1:21">
      <c r="A108">
        <v>20</v>
      </c>
      <c r="B108" t="s">
        <v>73</v>
      </c>
      <c r="C108" t="s">
        <v>1405</v>
      </c>
      <c r="D108">
        <v>2012</v>
      </c>
      <c r="E108" s="16" t="s">
        <v>1406</v>
      </c>
      <c r="F108" t="s">
        <v>1407</v>
      </c>
      <c r="G108" t="s">
        <v>1408</v>
      </c>
      <c r="H108">
        <v>1</v>
      </c>
      <c r="I108">
        <v>4</v>
      </c>
      <c r="J108" s="6">
        <f t="shared" si="9"/>
        <v>4.0000000000000002E-4</v>
      </c>
      <c r="K108">
        <f>15/1440</f>
        <v>1.0416666666666666E-2</v>
      </c>
      <c r="L108">
        <v>1</v>
      </c>
      <c r="M108">
        <f>N108*K108</f>
        <v>399.21875</v>
      </c>
      <c r="N108">
        <f>105*365</f>
        <v>38325</v>
      </c>
      <c r="O108">
        <v>0</v>
      </c>
      <c r="P108">
        <v>0</v>
      </c>
      <c r="Q108">
        <v>0</v>
      </c>
      <c r="R108">
        <v>0</v>
      </c>
      <c r="T108" t="s">
        <v>1390</v>
      </c>
    </row>
    <row r="109" spans="1:21">
      <c r="J109" s="6"/>
    </row>
    <row r="110" spans="1:21">
      <c r="J110" s="6"/>
    </row>
    <row r="111" spans="1:21">
      <c r="J111" s="6"/>
    </row>
    <row r="112" spans="1:21">
      <c r="J112" s="6"/>
    </row>
  </sheetData>
  <pageMargins left="0.7" right="0.7" top="0.75" bottom="0.75" header="0.3" footer="0.3"/>
  <pageSetup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67"/>
  <sheetViews>
    <sheetView tabSelected="1" workbookViewId="0">
      <selection activeCell="A2" sqref="A2:XFD67"/>
    </sheetView>
  </sheetViews>
  <sheetFormatPr baseColWidth="10" defaultRowHeight="12" x14ac:dyDescent="0"/>
  <cols>
    <col min="10" max="10" width="13.6640625" customWidth="1"/>
  </cols>
  <sheetData>
    <row r="1" spans="1:31">
      <c r="B1" s="1"/>
      <c r="C1" s="1"/>
      <c r="D1" s="1"/>
      <c r="E1" s="1"/>
      <c r="F1" s="1"/>
      <c r="G1" s="1"/>
      <c r="H1" s="1" t="s">
        <v>0</v>
      </c>
      <c r="I1" s="1" t="s">
        <v>1</v>
      </c>
      <c r="J1" s="1" t="s">
        <v>2</v>
      </c>
      <c r="K1" s="1" t="s">
        <v>3</v>
      </c>
      <c r="L1" s="1" t="s">
        <v>3</v>
      </c>
      <c r="M1" s="1" t="s">
        <v>3</v>
      </c>
      <c r="N1" s="2" t="s">
        <v>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21" t="s">
        <v>1262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4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>
        <v>1</v>
      </c>
      <c r="B3" t="s">
        <v>27</v>
      </c>
      <c r="C3" t="s">
        <v>28</v>
      </c>
      <c r="D3">
        <v>2011</v>
      </c>
      <c r="E3" s="9" t="s">
        <v>29</v>
      </c>
      <c r="F3" s="9" t="s">
        <v>30</v>
      </c>
      <c r="G3" s="9" t="s">
        <v>31</v>
      </c>
      <c r="H3" s="9">
        <f>0.1*0.1</f>
        <v>1.0000000000000002E-2</v>
      </c>
      <c r="I3" s="5">
        <v>10</v>
      </c>
      <c r="J3" s="6">
        <f>(H3*I3)/10000</f>
        <v>1.0000000000000003E-5</v>
      </c>
      <c r="K3">
        <f>1/(3600 * 24)</f>
        <v>1.1574074074074073E-5</v>
      </c>
      <c r="L3" s="5">
        <f>(1/6)</f>
        <v>0.16666666666666666</v>
      </c>
      <c r="M3" s="5">
        <f>1/(3600 * 24)*6*60*6</f>
        <v>2.5000000000000001E-2</v>
      </c>
      <c r="N3" s="5">
        <v>1642</v>
      </c>
      <c r="O3" s="5">
        <v>0</v>
      </c>
      <c r="P3" s="5">
        <v>0</v>
      </c>
      <c r="Q3" s="5">
        <v>1</v>
      </c>
      <c r="R3" s="5">
        <v>0</v>
      </c>
      <c r="S3" s="5"/>
      <c r="T3" s="5"/>
      <c r="U3" s="5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>
      <c r="A4">
        <v>1</v>
      </c>
      <c r="B4" t="s">
        <v>27</v>
      </c>
      <c r="C4" t="s">
        <v>28</v>
      </c>
      <c r="D4">
        <v>2011</v>
      </c>
      <c r="E4" s="9" t="s">
        <v>29</v>
      </c>
      <c r="F4" s="9" t="s">
        <v>30</v>
      </c>
      <c r="G4" s="9" t="s">
        <v>31</v>
      </c>
      <c r="H4">
        <f>500*500</f>
        <v>250000</v>
      </c>
      <c r="I4" s="5">
        <v>2</v>
      </c>
      <c r="J4" s="6">
        <f>(H4*I4)/10000</f>
        <v>50</v>
      </c>
      <c r="K4">
        <f>1/(3600 * 24)</f>
        <v>1.1574074074074073E-5</v>
      </c>
      <c r="L4" s="5">
        <v>1</v>
      </c>
      <c r="M4" s="5">
        <f>1/(3600*24)*365.25*3</f>
        <v>1.2682291666666666E-2</v>
      </c>
      <c r="N4" s="5">
        <f>365*3</f>
        <v>1095</v>
      </c>
      <c r="O4" s="5">
        <v>0</v>
      </c>
      <c r="P4" s="5">
        <v>0</v>
      </c>
      <c r="Q4" s="5">
        <v>1</v>
      </c>
      <c r="R4" s="5">
        <v>0</v>
      </c>
      <c r="S4" s="5"/>
      <c r="T4" s="9" t="s">
        <v>32</v>
      </c>
      <c r="U4" s="5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>
      <c r="A5">
        <v>1</v>
      </c>
      <c r="B5" t="s">
        <v>27</v>
      </c>
      <c r="C5" t="s">
        <v>28</v>
      </c>
      <c r="D5">
        <v>2011</v>
      </c>
      <c r="E5" s="9" t="s">
        <v>29</v>
      </c>
      <c r="F5" s="9" t="s">
        <v>30</v>
      </c>
      <c r="G5" s="9" t="s">
        <v>31</v>
      </c>
      <c r="H5">
        <f>0.08*0.08*10</f>
        <v>6.4000000000000001E-2</v>
      </c>
      <c r="I5" s="5">
        <v>2</v>
      </c>
      <c r="J5" s="6">
        <f>(H5*I5)/10000</f>
        <v>1.2799999999999999E-5</v>
      </c>
      <c r="K5">
        <f>9/24</f>
        <v>0.375</v>
      </c>
      <c r="L5" s="5">
        <v>270</v>
      </c>
      <c r="M5" s="5">
        <f>(9/24)*((13*12)/9)</f>
        <v>6.5</v>
      </c>
      <c r="N5" s="5">
        <f>13*365.25</f>
        <v>4748.25</v>
      </c>
      <c r="O5" s="5">
        <v>0</v>
      </c>
      <c r="P5" s="5">
        <v>2</v>
      </c>
      <c r="Q5" s="5">
        <v>0</v>
      </c>
      <c r="R5" s="5">
        <v>0</v>
      </c>
      <c r="S5" s="5"/>
      <c r="T5" s="10" t="s">
        <v>13</v>
      </c>
      <c r="U5" s="5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>
      <c r="A6">
        <v>1</v>
      </c>
      <c r="B6" t="s">
        <v>27</v>
      </c>
      <c r="C6" t="s">
        <v>28</v>
      </c>
      <c r="D6">
        <v>2011</v>
      </c>
      <c r="E6" s="9" t="s">
        <v>29</v>
      </c>
      <c r="F6" s="9" t="s">
        <v>30</v>
      </c>
      <c r="G6" s="9" t="s">
        <v>31</v>
      </c>
      <c r="H6">
        <f>0.05*0.15</f>
        <v>7.4999999999999997E-3</v>
      </c>
      <c r="I6" s="10">
        <v>204</v>
      </c>
      <c r="J6" s="6">
        <f>(H6*I6)/10000</f>
        <v>1.5300000000000001E-4</v>
      </c>
      <c r="K6" s="5">
        <f>20/60/24</f>
        <v>1.3888888888888888E-2</v>
      </c>
      <c r="L6" s="5">
        <v>20</v>
      </c>
      <c r="M6" s="5">
        <f>12*30</f>
        <v>360</v>
      </c>
      <c r="N6">
        <v>4565</v>
      </c>
      <c r="O6" s="5">
        <v>0</v>
      </c>
      <c r="P6" s="5">
        <v>1</v>
      </c>
      <c r="Q6" s="5">
        <v>0</v>
      </c>
      <c r="R6" s="5">
        <v>0</v>
      </c>
      <c r="S6" s="5"/>
      <c r="T6" s="5"/>
      <c r="U6" s="5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>
      <c r="A7">
        <v>2</v>
      </c>
      <c r="B7" t="s">
        <v>54</v>
      </c>
      <c r="C7" t="s">
        <v>1248</v>
      </c>
      <c r="D7">
        <v>2012</v>
      </c>
      <c r="E7" s="9" t="s">
        <v>29</v>
      </c>
      <c r="F7" s="9" t="s">
        <v>1249</v>
      </c>
      <c r="G7" s="9" t="s">
        <v>1251</v>
      </c>
      <c r="H7">
        <f>PI()*(0.01)^2</f>
        <v>3.1415926535897931E-4</v>
      </c>
      <c r="I7" s="10">
        <v>200</v>
      </c>
      <c r="J7" s="6">
        <f t="shared" ref="J7:J21" si="0">(H7*I7)/10000</f>
        <v>6.2831853071795867E-6</v>
      </c>
      <c r="K7">
        <f>10/1440</f>
        <v>6.9444444444444441E-3</v>
      </c>
      <c r="L7" s="10">
        <v>181</v>
      </c>
      <c r="M7">
        <f>200*K7</f>
        <v>1.3888888888888888</v>
      </c>
      <c r="N7">
        <v>181</v>
      </c>
      <c r="O7" s="10">
        <v>0</v>
      </c>
      <c r="P7" s="10">
        <v>1</v>
      </c>
      <c r="Q7" s="10">
        <v>0</v>
      </c>
      <c r="R7" s="10">
        <v>1</v>
      </c>
      <c r="T7" s="11" t="s">
        <v>17</v>
      </c>
    </row>
    <row r="8" spans="1:31">
      <c r="A8">
        <v>2</v>
      </c>
      <c r="B8" t="s">
        <v>54</v>
      </c>
      <c r="C8" t="s">
        <v>1248</v>
      </c>
      <c r="D8">
        <v>2012</v>
      </c>
      <c r="E8" s="9" t="s">
        <v>29</v>
      </c>
      <c r="F8" s="9" t="s">
        <v>1249</v>
      </c>
      <c r="G8" s="9" t="s">
        <v>1251</v>
      </c>
      <c r="H8">
        <f>1</f>
        <v>1</v>
      </c>
      <c r="I8" s="10">
        <v>200</v>
      </c>
      <c r="J8" s="6">
        <f t="shared" si="0"/>
        <v>0.02</v>
      </c>
      <c r="K8">
        <f>30/60/1440</f>
        <v>3.4722222222222224E-4</v>
      </c>
      <c r="L8" s="10">
        <v>181</v>
      </c>
      <c r="M8">
        <f>200*K8</f>
        <v>6.9444444444444448E-2</v>
      </c>
      <c r="N8">
        <v>181</v>
      </c>
      <c r="O8" s="10">
        <v>1</v>
      </c>
      <c r="P8" s="10">
        <v>0</v>
      </c>
      <c r="Q8" s="10">
        <v>0</v>
      </c>
      <c r="R8" s="10">
        <v>1</v>
      </c>
      <c r="T8" s="11" t="s">
        <v>1252</v>
      </c>
    </row>
    <row r="9" spans="1:31">
      <c r="A9">
        <v>2</v>
      </c>
      <c r="B9" t="s">
        <v>54</v>
      </c>
      <c r="C9" t="s">
        <v>1248</v>
      </c>
      <c r="D9">
        <v>2012</v>
      </c>
      <c r="E9" s="9" t="s">
        <v>29</v>
      </c>
      <c r="F9" s="9" t="s">
        <v>1249</v>
      </c>
      <c r="G9" s="9" t="s">
        <v>1251</v>
      </c>
      <c r="H9">
        <f>PI()*50^2</f>
        <v>7853.981633974483</v>
      </c>
      <c r="I9" s="5">
        <v>200</v>
      </c>
      <c r="J9" s="6">
        <f t="shared" si="0"/>
        <v>157.07963267948966</v>
      </c>
      <c r="K9" s="5">
        <f>1/60/1440</f>
        <v>1.1574074074074073E-5</v>
      </c>
      <c r="L9" s="10">
        <v>181</v>
      </c>
      <c r="M9">
        <f>200*K9</f>
        <v>2.3148148148148147E-3</v>
      </c>
      <c r="N9" s="5">
        <v>181</v>
      </c>
      <c r="O9" s="5">
        <v>1</v>
      </c>
      <c r="P9" s="5">
        <v>3</v>
      </c>
      <c r="Q9" s="5">
        <v>0</v>
      </c>
      <c r="R9" s="5">
        <v>1</v>
      </c>
      <c r="S9" s="5"/>
      <c r="T9" s="11" t="s">
        <v>17</v>
      </c>
      <c r="U9" s="5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>
      <c r="A10">
        <v>2</v>
      </c>
      <c r="B10" t="s">
        <v>54</v>
      </c>
      <c r="C10" t="s">
        <v>1248</v>
      </c>
      <c r="D10">
        <v>2012</v>
      </c>
      <c r="E10" s="9" t="s">
        <v>29</v>
      </c>
      <c r="F10" s="9" t="s">
        <v>1249</v>
      </c>
      <c r="G10" s="9" t="s">
        <v>1251</v>
      </c>
      <c r="H10">
        <f>PI()*0.1^2</f>
        <v>3.1415926535897934E-2</v>
      </c>
      <c r="I10" s="5">
        <v>200</v>
      </c>
      <c r="J10" s="6">
        <f t="shared" si="0"/>
        <v>6.2831853071795873E-4</v>
      </c>
      <c r="K10" s="5">
        <f>0.5/1440</f>
        <v>3.4722222222222224E-4</v>
      </c>
      <c r="L10" s="10">
        <v>181</v>
      </c>
      <c r="M10">
        <f>200*K10</f>
        <v>6.9444444444444448E-2</v>
      </c>
      <c r="N10" s="5">
        <v>181</v>
      </c>
      <c r="O10" s="5">
        <v>0</v>
      </c>
      <c r="P10" s="5">
        <v>2</v>
      </c>
      <c r="Q10" s="5">
        <v>0</v>
      </c>
      <c r="R10" s="5">
        <v>1</v>
      </c>
      <c r="S10" s="5"/>
      <c r="T10" s="11" t="s">
        <v>17</v>
      </c>
      <c r="U10" s="5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>
      <c r="A11">
        <v>2</v>
      </c>
      <c r="B11" t="s">
        <v>54</v>
      </c>
      <c r="C11" t="s">
        <v>1248</v>
      </c>
      <c r="D11">
        <v>2012</v>
      </c>
      <c r="E11" s="9" t="s">
        <v>29</v>
      </c>
      <c r="F11" s="9" t="s">
        <v>1249</v>
      </c>
      <c r="G11" s="9" t="s">
        <v>1251</v>
      </c>
      <c r="H11">
        <f>PI()*0.25^2</f>
        <v>0.19634954084936207</v>
      </c>
      <c r="I11" s="5">
        <v>200</v>
      </c>
      <c r="J11" s="6">
        <f t="shared" si="0"/>
        <v>3.9269908169872417E-3</v>
      </c>
      <c r="K11" s="5">
        <f>0.5/1440</f>
        <v>3.4722222222222224E-4</v>
      </c>
      <c r="L11" s="10">
        <v>181</v>
      </c>
      <c r="M11">
        <f>200*K11</f>
        <v>6.9444444444444448E-2</v>
      </c>
      <c r="N11" s="10">
        <v>181</v>
      </c>
      <c r="O11" s="5">
        <v>0</v>
      </c>
      <c r="P11" s="5">
        <v>2</v>
      </c>
      <c r="Q11" s="5">
        <v>0</v>
      </c>
      <c r="R11" s="5">
        <v>1</v>
      </c>
      <c r="S11" s="5"/>
      <c r="T11" s="11" t="s">
        <v>17</v>
      </c>
      <c r="U11" s="5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>
      <c r="A12">
        <v>3</v>
      </c>
      <c r="B12" t="s">
        <v>62</v>
      </c>
      <c r="C12" s="5" t="s">
        <v>1254</v>
      </c>
      <c r="D12">
        <v>2010</v>
      </c>
      <c r="E12" s="9" t="s">
        <v>1255</v>
      </c>
      <c r="F12" s="9" t="s">
        <v>1256</v>
      </c>
      <c r="G12" s="9" t="s">
        <v>1257</v>
      </c>
      <c r="H12">
        <f>0.1*0.12</f>
        <v>1.2E-2</v>
      </c>
      <c r="I12" s="5">
        <f>90</f>
        <v>90</v>
      </c>
      <c r="J12" s="6">
        <f t="shared" si="0"/>
        <v>1.0800000000000001E-4</v>
      </c>
      <c r="K12" s="5">
        <f>60/1440</f>
        <v>4.1666666666666664E-2</v>
      </c>
      <c r="L12" s="5">
        <v>14</v>
      </c>
      <c r="M12" s="5">
        <f t="shared" ref="M12:M20" si="1">K12*I12</f>
        <v>3.75</v>
      </c>
      <c r="N12" s="5">
        <v>518</v>
      </c>
      <c r="O12" s="5">
        <v>0</v>
      </c>
      <c r="P12" s="5">
        <v>0</v>
      </c>
      <c r="Q12" s="5">
        <v>2</v>
      </c>
      <c r="R12" s="5">
        <v>0</v>
      </c>
      <c r="S12" s="9" t="s">
        <v>1258</v>
      </c>
      <c r="T12" s="5"/>
      <c r="U12" s="5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>
      <c r="A13">
        <v>3</v>
      </c>
      <c r="B13" t="s">
        <v>62</v>
      </c>
      <c r="C13" s="5" t="s">
        <v>1254</v>
      </c>
      <c r="D13">
        <v>2010</v>
      </c>
      <c r="E13" s="9" t="s">
        <v>1255</v>
      </c>
      <c r="F13" s="9" t="s">
        <v>1256</v>
      </c>
      <c r="G13" s="9" t="s">
        <v>1257</v>
      </c>
      <c r="H13">
        <f>0.1*0.12</f>
        <v>1.2E-2</v>
      </c>
      <c r="I13" s="5">
        <f>90</f>
        <v>90</v>
      </c>
      <c r="J13" s="6">
        <f t="shared" si="0"/>
        <v>1.0800000000000001E-4</v>
      </c>
      <c r="K13" s="5">
        <f>60/1440</f>
        <v>4.1666666666666664E-2</v>
      </c>
      <c r="L13" s="5">
        <v>14</v>
      </c>
      <c r="M13" s="5">
        <f t="shared" si="1"/>
        <v>3.75</v>
      </c>
      <c r="N13" s="5">
        <v>518</v>
      </c>
      <c r="O13" s="5">
        <v>0</v>
      </c>
      <c r="P13" s="5">
        <v>0</v>
      </c>
      <c r="Q13" s="5">
        <v>2</v>
      </c>
      <c r="R13" s="5">
        <v>0</v>
      </c>
      <c r="S13" s="9" t="s">
        <v>1258</v>
      </c>
      <c r="T13" s="5"/>
      <c r="U13" s="5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>
      <c r="A14">
        <v>4</v>
      </c>
      <c r="B14" s="11" t="s">
        <v>33</v>
      </c>
      <c r="C14" s="5" t="s">
        <v>1259</v>
      </c>
      <c r="D14">
        <v>2008</v>
      </c>
      <c r="E14" s="10" t="s">
        <v>29</v>
      </c>
      <c r="F14" s="9" t="s">
        <v>1260</v>
      </c>
      <c r="G14" s="9" t="s">
        <v>1261</v>
      </c>
      <c r="H14">
        <v>0.25</v>
      </c>
      <c r="I14" s="5">
        <v>72</v>
      </c>
      <c r="J14" s="6">
        <f t="shared" si="0"/>
        <v>1.8E-3</v>
      </c>
      <c r="K14" s="5">
        <f>0.5/24</f>
        <v>2.0833333333333332E-2</v>
      </c>
      <c r="L14" s="5">
        <f>365*2</f>
        <v>730</v>
      </c>
      <c r="M14" s="5">
        <f t="shared" si="1"/>
        <v>1.5</v>
      </c>
      <c r="N14" s="5">
        <f>365*4</f>
        <v>1460</v>
      </c>
      <c r="O14" s="5">
        <v>3</v>
      </c>
      <c r="P14" s="5">
        <v>3</v>
      </c>
      <c r="Q14" s="5">
        <v>1</v>
      </c>
      <c r="R14" s="5">
        <v>1</v>
      </c>
      <c r="S14" s="5"/>
      <c r="T14" s="9" t="s">
        <v>17</v>
      </c>
      <c r="U14" s="5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>
      <c r="A15">
        <v>4</v>
      </c>
      <c r="B15" s="11" t="s">
        <v>33</v>
      </c>
      <c r="C15" s="5" t="s">
        <v>1264</v>
      </c>
      <c r="D15">
        <v>2008</v>
      </c>
      <c r="E15" s="10" t="s">
        <v>29</v>
      </c>
      <c r="F15" s="9" t="s">
        <v>1260</v>
      </c>
      <c r="G15" s="9" t="s">
        <v>1261</v>
      </c>
      <c r="H15">
        <v>3.5000000000000001E-3</v>
      </c>
      <c r="I15" s="5">
        <v>72</v>
      </c>
      <c r="J15" s="6">
        <f t="shared" si="0"/>
        <v>2.5199999999999999E-5</v>
      </c>
      <c r="K15" s="5">
        <f>0.25/24</f>
        <v>1.0416666666666666E-2</v>
      </c>
      <c r="L15" s="5">
        <f>365*2</f>
        <v>730</v>
      </c>
      <c r="M15" s="5">
        <f t="shared" si="1"/>
        <v>0.75</v>
      </c>
      <c r="N15" s="5">
        <f>365*4</f>
        <v>1460</v>
      </c>
      <c r="O15" s="5">
        <v>3</v>
      </c>
      <c r="P15" s="5">
        <v>2</v>
      </c>
      <c r="Q15" s="5">
        <v>1</v>
      </c>
      <c r="R15" s="5">
        <v>1</v>
      </c>
      <c r="S15" s="5"/>
      <c r="T15" s="9" t="s">
        <v>1263</v>
      </c>
      <c r="U15" s="5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>
      <c r="A16">
        <v>4</v>
      </c>
      <c r="B16" s="11" t="s">
        <v>33</v>
      </c>
      <c r="C16" s="5" t="s">
        <v>1265</v>
      </c>
      <c r="D16">
        <v>2008</v>
      </c>
      <c r="E16" s="10" t="s">
        <v>29</v>
      </c>
      <c r="F16" s="9" t="s">
        <v>1260</v>
      </c>
      <c r="G16" s="9" t="s">
        <v>1261</v>
      </c>
      <c r="H16">
        <f>PI()*0.01^2</f>
        <v>3.1415926535897931E-4</v>
      </c>
      <c r="I16" s="5">
        <v>6</v>
      </c>
      <c r="J16" s="6">
        <f t="shared" si="0"/>
        <v>1.884955592153876E-7</v>
      </c>
      <c r="K16" s="5">
        <f>2/1440</f>
        <v>1.3888888888888889E-3</v>
      </c>
      <c r="L16" s="5">
        <f>365*2</f>
        <v>730</v>
      </c>
      <c r="M16" s="5">
        <f t="shared" si="1"/>
        <v>8.3333333333333332E-3</v>
      </c>
      <c r="N16" s="5">
        <f>365*4</f>
        <v>1460</v>
      </c>
      <c r="O16" s="5">
        <v>0</v>
      </c>
      <c r="P16" s="5">
        <v>1</v>
      </c>
      <c r="Q16" s="5">
        <v>0</v>
      </c>
      <c r="R16" s="5">
        <v>0</v>
      </c>
      <c r="S16" s="5"/>
      <c r="T16" s="5"/>
      <c r="U16" s="5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>
      <c r="A17">
        <v>4</v>
      </c>
      <c r="B17" s="11" t="s">
        <v>33</v>
      </c>
      <c r="C17" s="5" t="s">
        <v>1266</v>
      </c>
      <c r="D17">
        <v>2008</v>
      </c>
      <c r="E17" s="10" t="s">
        <v>29</v>
      </c>
      <c r="F17" s="9" t="s">
        <v>1260</v>
      </c>
      <c r="G17" s="9" t="s">
        <v>1261</v>
      </c>
      <c r="H17">
        <f>0.05*0.05</f>
        <v>2.5000000000000005E-3</v>
      </c>
      <c r="I17" s="5">
        <v>3</v>
      </c>
      <c r="J17" s="6">
        <f t="shared" si="0"/>
        <v>7.5000000000000012E-7</v>
      </c>
      <c r="K17" s="5">
        <f>1/60/1440</f>
        <v>1.1574074074074073E-5</v>
      </c>
      <c r="L17" s="5">
        <f>90/1440</f>
        <v>6.25E-2</v>
      </c>
      <c r="M17" s="5">
        <f t="shared" si="1"/>
        <v>3.4722222222222222E-5</v>
      </c>
      <c r="N17" s="5">
        <f>4*365</f>
        <v>1460</v>
      </c>
      <c r="O17" s="5">
        <v>0</v>
      </c>
      <c r="P17" s="5">
        <v>0</v>
      </c>
      <c r="Q17" s="5">
        <v>0</v>
      </c>
      <c r="R17" s="5">
        <v>0</v>
      </c>
      <c r="S17" s="5"/>
      <c r="T17" s="9" t="s">
        <v>17</v>
      </c>
      <c r="U17" s="5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>
      <c r="A18">
        <v>4</v>
      </c>
      <c r="B18" s="11" t="s">
        <v>33</v>
      </c>
      <c r="C18" s="5" t="s">
        <v>1267</v>
      </c>
      <c r="D18">
        <v>2008</v>
      </c>
      <c r="E18" s="10" t="s">
        <v>29</v>
      </c>
      <c r="F18" s="9" t="s">
        <v>1260</v>
      </c>
      <c r="G18" s="9" t="s">
        <v>1261</v>
      </c>
      <c r="H18">
        <f>0.05*0.05</f>
        <v>2.5000000000000005E-3</v>
      </c>
      <c r="I18" s="5">
        <v>3</v>
      </c>
      <c r="J18" s="6">
        <f t="shared" si="0"/>
        <v>7.5000000000000012E-7</v>
      </c>
      <c r="K18" s="5">
        <f>1/60/1440</f>
        <v>1.1574074074074073E-5</v>
      </c>
      <c r="L18" s="5">
        <f>90/1440</f>
        <v>6.25E-2</v>
      </c>
      <c r="M18" s="5">
        <f t="shared" si="1"/>
        <v>3.4722222222222222E-5</v>
      </c>
      <c r="N18" s="5">
        <v>365</v>
      </c>
      <c r="O18" s="5">
        <v>0</v>
      </c>
      <c r="P18" s="5">
        <v>0</v>
      </c>
      <c r="Q18" s="5">
        <v>0</v>
      </c>
      <c r="R18" s="5">
        <v>0</v>
      </c>
      <c r="S18" s="5"/>
      <c r="T18" s="9" t="s">
        <v>17</v>
      </c>
      <c r="U18" s="5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>
      <c r="A19">
        <v>4</v>
      </c>
      <c r="B19" s="11" t="s">
        <v>33</v>
      </c>
      <c r="C19" s="5" t="s">
        <v>1268</v>
      </c>
      <c r="D19">
        <v>2008</v>
      </c>
      <c r="E19" s="10" t="s">
        <v>29</v>
      </c>
      <c r="F19" s="9" t="s">
        <v>1260</v>
      </c>
      <c r="G19" s="9" t="s">
        <v>1261</v>
      </c>
      <c r="H19">
        <f>0.05*0.05</f>
        <v>2.5000000000000005E-3</v>
      </c>
      <c r="I19" s="5">
        <v>2</v>
      </c>
      <c r="J19" s="6">
        <f t="shared" si="0"/>
        <v>5.0000000000000008E-7</v>
      </c>
      <c r="K19" s="5">
        <f>1/60/1440</f>
        <v>1.1574074074074073E-5</v>
      </c>
      <c r="L19" s="5">
        <f>1</f>
        <v>1</v>
      </c>
      <c r="M19" s="5">
        <f t="shared" si="1"/>
        <v>2.3148148148148147E-5</v>
      </c>
      <c r="N19" s="5">
        <f>4*365</f>
        <v>1460</v>
      </c>
      <c r="O19" s="5">
        <v>0</v>
      </c>
      <c r="P19" s="5">
        <v>0</v>
      </c>
      <c r="Q19" s="5">
        <v>0</v>
      </c>
      <c r="R19" s="5">
        <v>0</v>
      </c>
      <c r="S19" s="5"/>
      <c r="T19" s="9" t="s">
        <v>17</v>
      </c>
      <c r="U19" s="5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>
      <c r="A20">
        <v>4</v>
      </c>
      <c r="B20" s="11" t="s">
        <v>33</v>
      </c>
      <c r="C20" s="5" t="s">
        <v>1269</v>
      </c>
      <c r="D20">
        <v>2008</v>
      </c>
      <c r="E20" s="10" t="s">
        <v>29</v>
      </c>
      <c r="F20" s="9" t="s">
        <v>1260</v>
      </c>
      <c r="G20" s="9" t="s">
        <v>1261</v>
      </c>
      <c r="H20">
        <f>0.05*0.05</f>
        <v>2.5000000000000005E-3</v>
      </c>
      <c r="I20" s="5">
        <v>2</v>
      </c>
      <c r="J20" s="6">
        <f t="shared" si="0"/>
        <v>5.0000000000000008E-7</v>
      </c>
      <c r="K20" s="5">
        <f>1/60/1440</f>
        <v>1.1574074074074073E-5</v>
      </c>
      <c r="L20" s="5">
        <f>(365/4 -14)/14</f>
        <v>5.5178571428571432</v>
      </c>
      <c r="M20" s="5">
        <f t="shared" si="1"/>
        <v>2.3148148148148147E-5</v>
      </c>
      <c r="N20" s="5">
        <v>365</v>
      </c>
      <c r="O20" s="5">
        <v>0</v>
      </c>
      <c r="P20" s="5">
        <v>0</v>
      </c>
      <c r="Q20" s="5">
        <v>0</v>
      </c>
      <c r="R20" s="5">
        <v>0</v>
      </c>
      <c r="S20" s="5"/>
      <c r="T20" s="9" t="s">
        <v>17</v>
      </c>
      <c r="U20" s="5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>
      <c r="A21">
        <v>5</v>
      </c>
      <c r="B21" s="11" t="s">
        <v>50</v>
      </c>
      <c r="C21" s="9" t="s">
        <v>1271</v>
      </c>
      <c r="D21">
        <v>2010</v>
      </c>
      <c r="E21" s="10" t="s">
        <v>29</v>
      </c>
      <c r="F21" s="9" t="s">
        <v>1272</v>
      </c>
      <c r="G21" s="9" t="s">
        <v>1273</v>
      </c>
      <c r="H21">
        <v>270000</v>
      </c>
      <c r="I21" s="9">
        <v>8</v>
      </c>
      <c r="J21" s="6">
        <f t="shared" si="0"/>
        <v>216</v>
      </c>
      <c r="K21" s="9">
        <f>20*8*(0.5/24)</f>
        <v>3.333333333333333</v>
      </c>
      <c r="L21">
        <f>2.5</f>
        <v>2.5</v>
      </c>
      <c r="M21" s="9">
        <f>I21*K21</f>
        <v>26.666666666666664</v>
      </c>
      <c r="N21">
        <f>3*365+90</f>
        <v>1185</v>
      </c>
      <c r="O21" s="10">
        <v>0</v>
      </c>
      <c r="P21" s="10">
        <v>1</v>
      </c>
      <c r="Q21" s="10">
        <v>0</v>
      </c>
      <c r="R21" s="10">
        <v>1</v>
      </c>
      <c r="T21" s="9" t="s">
        <v>18</v>
      </c>
    </row>
    <row r="22" spans="1:31">
      <c r="A22">
        <v>5</v>
      </c>
      <c r="B22" s="11" t="s">
        <v>50</v>
      </c>
      <c r="C22" s="9" t="s">
        <v>1271</v>
      </c>
      <c r="D22">
        <v>2010</v>
      </c>
      <c r="E22" s="10" t="s">
        <v>29</v>
      </c>
      <c r="F22" s="9" t="s">
        <v>1272</v>
      </c>
      <c r="G22" s="9" t="s">
        <v>1273</v>
      </c>
      <c r="H22" s="9">
        <f>0.5*0.5</f>
        <v>0.25</v>
      </c>
      <c r="I22" s="9">
        <v>326</v>
      </c>
      <c r="J22" s="6">
        <f>(H22*I22)/10000</f>
        <v>8.1499999999999993E-3</v>
      </c>
      <c r="K22" s="9">
        <f>1/24</f>
        <v>4.1666666666666664E-2</v>
      </c>
      <c r="L22">
        <v>0</v>
      </c>
      <c r="M22" s="9">
        <f>I22*K22</f>
        <v>13.583333333333332</v>
      </c>
      <c r="N22">
        <f>3*365+90</f>
        <v>1185</v>
      </c>
      <c r="O22">
        <v>0</v>
      </c>
      <c r="P22" s="10">
        <v>3</v>
      </c>
      <c r="Q22" s="10">
        <v>0</v>
      </c>
      <c r="R22" s="10">
        <v>1</v>
      </c>
      <c r="T22" s="9" t="s">
        <v>18</v>
      </c>
    </row>
    <row r="23" spans="1:31">
      <c r="A23">
        <v>6</v>
      </c>
      <c r="B23" s="11" t="s">
        <v>1281</v>
      </c>
      <c r="C23" s="9" t="s">
        <v>1282</v>
      </c>
      <c r="D23">
        <v>2007</v>
      </c>
      <c r="E23" s="10" t="s">
        <v>29</v>
      </c>
      <c r="F23" s="9" t="s">
        <v>1283</v>
      </c>
      <c r="G23" s="9" t="s">
        <v>1284</v>
      </c>
      <c r="H23">
        <f>0.5*0.1</f>
        <v>0.05</v>
      </c>
      <c r="I23">
        <f>216+158+56</f>
        <v>430</v>
      </c>
      <c r="J23" s="6">
        <f>(H23*I23)/10000</f>
        <v>2.15E-3</v>
      </c>
      <c r="K23">
        <f>1/24</f>
        <v>4.1666666666666664E-2</v>
      </c>
      <c r="L23">
        <v>45</v>
      </c>
      <c r="M23">
        <f>K23*(451+271+130)</f>
        <v>35.5</v>
      </c>
      <c r="N23">
        <f>16*365</f>
        <v>5840</v>
      </c>
      <c r="O23" s="10">
        <v>0</v>
      </c>
      <c r="P23" s="10">
        <v>1</v>
      </c>
      <c r="Q23" s="10">
        <v>0</v>
      </c>
      <c r="R23" s="10">
        <v>0</v>
      </c>
      <c r="T23" s="9" t="s">
        <v>1285</v>
      </c>
    </row>
    <row r="24" spans="1:31">
      <c r="A24">
        <v>6</v>
      </c>
      <c r="B24" s="11" t="s">
        <v>1281</v>
      </c>
      <c r="C24" s="9" t="s">
        <v>1282</v>
      </c>
      <c r="D24">
        <v>2007</v>
      </c>
      <c r="E24" s="10" t="s">
        <v>29</v>
      </c>
      <c r="F24" s="9" t="s">
        <v>1283</v>
      </c>
      <c r="G24" s="9" t="s">
        <v>1284</v>
      </c>
      <c r="H24">
        <v>1</v>
      </c>
      <c r="I24">
        <f>216+158+56</f>
        <v>430</v>
      </c>
      <c r="J24" s="6">
        <f>(H24*I24)/10000</f>
        <v>4.2999999999999997E-2</v>
      </c>
      <c r="K24">
        <f>2/24</f>
        <v>8.3333333333333329E-2</v>
      </c>
      <c r="L24">
        <v>45</v>
      </c>
      <c r="M24">
        <f>K24*(451+271+130)</f>
        <v>71</v>
      </c>
      <c r="N24">
        <f>16*365</f>
        <v>5840</v>
      </c>
      <c r="O24" s="10">
        <v>0</v>
      </c>
      <c r="P24" s="10">
        <v>1</v>
      </c>
      <c r="Q24" s="10">
        <v>0</v>
      </c>
      <c r="R24" s="10">
        <v>0</v>
      </c>
      <c r="T24" s="9" t="s">
        <v>1285</v>
      </c>
    </row>
    <row r="25" spans="1:31">
      <c r="A25">
        <v>6</v>
      </c>
      <c r="B25" s="11" t="s">
        <v>1281</v>
      </c>
      <c r="C25" s="9" t="s">
        <v>1282</v>
      </c>
      <c r="D25">
        <v>2007</v>
      </c>
      <c r="E25" s="10" t="s">
        <v>29</v>
      </c>
      <c r="F25" s="9" t="s">
        <v>1283</v>
      </c>
      <c r="G25" s="9" t="s">
        <v>1284</v>
      </c>
      <c r="H25">
        <f>1</f>
        <v>1</v>
      </c>
      <c r="I25" s="9">
        <v>1</v>
      </c>
      <c r="J25" s="6">
        <f t="shared" ref="J25:J61" si="2">(H25*I25)/10000</f>
        <v>1E-4</v>
      </c>
      <c r="K25">
        <f>1/(3600 * 24)</f>
        <v>1.1574074074074073E-5</v>
      </c>
      <c r="L25">
        <v>1</v>
      </c>
      <c r="M25">
        <f>K25*90</f>
        <v>1.0416666666666667E-3</v>
      </c>
      <c r="N25">
        <v>90</v>
      </c>
      <c r="O25" s="10">
        <v>0</v>
      </c>
      <c r="P25" s="10">
        <v>1</v>
      </c>
      <c r="Q25" s="10">
        <v>0</v>
      </c>
      <c r="R25" s="10">
        <v>0</v>
      </c>
      <c r="T25" s="9" t="s">
        <v>1285</v>
      </c>
    </row>
    <row r="26" spans="1:31">
      <c r="A26">
        <v>6</v>
      </c>
      <c r="B26" s="11" t="s">
        <v>1281</v>
      </c>
      <c r="C26" s="9" t="s">
        <v>1282</v>
      </c>
      <c r="D26">
        <v>2007</v>
      </c>
      <c r="E26" s="10" t="s">
        <v>29</v>
      </c>
      <c r="F26" s="9" t="s">
        <v>1283</v>
      </c>
      <c r="G26" s="9" t="s">
        <v>1284</v>
      </c>
      <c r="H26">
        <f>1</f>
        <v>1</v>
      </c>
      <c r="I26" s="9">
        <v>1</v>
      </c>
      <c r="J26" s="6">
        <f t="shared" si="2"/>
        <v>1E-4</v>
      </c>
      <c r="K26">
        <f t="shared" ref="K26:K27" si="3">1/(3600 * 24)</f>
        <v>1.1574074074074073E-5</v>
      </c>
      <c r="L26">
        <v>1</v>
      </c>
      <c r="M26">
        <f t="shared" ref="M26:M27" si="4">K26*90</f>
        <v>1.0416666666666667E-3</v>
      </c>
      <c r="N26">
        <v>90</v>
      </c>
      <c r="O26" s="10">
        <v>0</v>
      </c>
      <c r="P26" s="10">
        <v>1</v>
      </c>
      <c r="Q26" s="10">
        <v>0</v>
      </c>
      <c r="R26" s="10">
        <v>0</v>
      </c>
      <c r="T26" s="9" t="s">
        <v>1285</v>
      </c>
    </row>
    <row r="27" spans="1:31">
      <c r="A27">
        <v>6</v>
      </c>
      <c r="B27" s="11" t="s">
        <v>1281</v>
      </c>
      <c r="C27" s="9" t="s">
        <v>1282</v>
      </c>
      <c r="D27">
        <v>2007</v>
      </c>
      <c r="E27" s="10" t="s">
        <v>29</v>
      </c>
      <c r="F27" s="9" t="s">
        <v>1283</v>
      </c>
      <c r="G27" s="9" t="s">
        <v>1284</v>
      </c>
      <c r="H27">
        <f>1</f>
        <v>1</v>
      </c>
      <c r="I27" s="9">
        <v>1</v>
      </c>
      <c r="J27" s="6">
        <f t="shared" si="2"/>
        <v>1E-4</v>
      </c>
      <c r="K27">
        <f t="shared" si="3"/>
        <v>1.1574074074074073E-5</v>
      </c>
      <c r="L27">
        <v>1</v>
      </c>
      <c r="M27">
        <f t="shared" si="4"/>
        <v>1.0416666666666667E-3</v>
      </c>
      <c r="N27">
        <v>90</v>
      </c>
      <c r="O27" s="10">
        <v>0</v>
      </c>
      <c r="P27" s="10">
        <v>1</v>
      </c>
      <c r="Q27" s="10">
        <v>0</v>
      </c>
      <c r="R27" s="10">
        <v>0</v>
      </c>
      <c r="T27" s="9" t="s">
        <v>1285</v>
      </c>
    </row>
    <row r="28" spans="1:31">
      <c r="A28">
        <v>6</v>
      </c>
      <c r="B28" s="11" t="s">
        <v>1281</v>
      </c>
      <c r="C28" s="9" t="s">
        <v>1282</v>
      </c>
      <c r="D28">
        <v>2007</v>
      </c>
      <c r="E28" s="10" t="s">
        <v>29</v>
      </c>
      <c r="F28" s="9" t="s">
        <v>1283</v>
      </c>
      <c r="G28" s="9" t="s">
        <v>1284</v>
      </c>
      <c r="H28">
        <v>500</v>
      </c>
      <c r="I28" s="9">
        <v>10</v>
      </c>
      <c r="J28" s="6">
        <f t="shared" si="2"/>
        <v>0.5</v>
      </c>
      <c r="K28">
        <f>8/24</f>
        <v>0.33333333333333331</v>
      </c>
      <c r="L28">
        <v>365</v>
      </c>
      <c r="M28">
        <f>8/24*16</f>
        <v>5.333333333333333</v>
      </c>
      <c r="N28">
        <f>16*365</f>
        <v>5840</v>
      </c>
      <c r="O28" s="10">
        <v>0</v>
      </c>
      <c r="P28" s="10">
        <v>1</v>
      </c>
      <c r="Q28" s="10">
        <v>0</v>
      </c>
      <c r="R28" s="10">
        <v>0</v>
      </c>
      <c r="T28" t="s">
        <v>1410</v>
      </c>
    </row>
    <row r="29" spans="1:31">
      <c r="A29">
        <v>6</v>
      </c>
      <c r="B29" s="11" t="s">
        <v>1281</v>
      </c>
      <c r="C29" s="9" t="s">
        <v>1282</v>
      </c>
      <c r="D29">
        <v>2007</v>
      </c>
      <c r="E29" s="10" t="s">
        <v>29</v>
      </c>
      <c r="F29" s="9" t="s">
        <v>1283</v>
      </c>
      <c r="G29" s="9" t="s">
        <v>1284</v>
      </c>
      <c r="H29">
        <v>100</v>
      </c>
      <c r="I29" s="9">
        <v>1</v>
      </c>
      <c r="J29" s="6">
        <f t="shared" si="2"/>
        <v>0.01</v>
      </c>
      <c r="K29">
        <f>8/24</f>
        <v>0.33333333333333331</v>
      </c>
      <c r="L29">
        <v>365</v>
      </c>
      <c r="M29">
        <f>8/24*16</f>
        <v>5.333333333333333</v>
      </c>
      <c r="N29">
        <f>16*365</f>
        <v>5840</v>
      </c>
      <c r="O29" s="10">
        <v>0</v>
      </c>
      <c r="P29" s="10">
        <v>1</v>
      </c>
      <c r="Q29" s="10">
        <v>0</v>
      </c>
      <c r="R29" s="10">
        <v>0</v>
      </c>
      <c r="T29" t="s">
        <v>1286</v>
      </c>
    </row>
    <row r="30" spans="1:31">
      <c r="A30">
        <v>7</v>
      </c>
      <c r="B30" s="11" t="s">
        <v>33</v>
      </c>
      <c r="C30" s="9" t="s">
        <v>1287</v>
      </c>
      <c r="D30">
        <v>2010</v>
      </c>
      <c r="E30" s="10" t="s">
        <v>29</v>
      </c>
      <c r="F30" s="9" t="s">
        <v>1288</v>
      </c>
      <c r="G30" s="9" t="s">
        <v>1289</v>
      </c>
      <c r="H30">
        <v>0.5</v>
      </c>
      <c r="I30" s="9">
        <f>36*6*60</f>
        <v>12960</v>
      </c>
      <c r="J30" s="6">
        <f t="shared" si="2"/>
        <v>0.64800000000000002</v>
      </c>
      <c r="K30">
        <f>15/1440</f>
        <v>1.0416666666666666E-2</v>
      </c>
      <c r="L30">
        <v>0</v>
      </c>
      <c r="M30">
        <f>K30*I30</f>
        <v>135</v>
      </c>
      <c r="N30">
        <f>365+60</f>
        <v>425</v>
      </c>
      <c r="O30" s="10">
        <v>3</v>
      </c>
      <c r="P30" s="10">
        <v>0</v>
      </c>
      <c r="Q30" s="10">
        <v>0</v>
      </c>
      <c r="R30" s="10">
        <v>2</v>
      </c>
      <c r="T30" t="s">
        <v>1290</v>
      </c>
    </row>
    <row r="31" spans="1:31">
      <c r="A31">
        <v>7</v>
      </c>
      <c r="B31" s="11" t="s">
        <v>33</v>
      </c>
      <c r="C31" s="9" t="s">
        <v>1287</v>
      </c>
      <c r="D31">
        <v>2010</v>
      </c>
      <c r="E31" s="10" t="s">
        <v>29</v>
      </c>
      <c r="F31" s="9" t="s">
        <v>1288</v>
      </c>
      <c r="G31" s="9" t="s">
        <v>1289</v>
      </c>
      <c r="H31">
        <v>0.25</v>
      </c>
      <c r="I31">
        <f>36*6*2</f>
        <v>432</v>
      </c>
      <c r="J31" s="6">
        <f t="shared" si="2"/>
        <v>1.0800000000000001E-2</v>
      </c>
      <c r="K31">
        <f>15/1440</f>
        <v>1.0416666666666666E-2</v>
      </c>
      <c r="L31">
        <v>0</v>
      </c>
      <c r="M31">
        <f>K31*I31</f>
        <v>4.5</v>
      </c>
      <c r="N31">
        <f>365+60</f>
        <v>425</v>
      </c>
      <c r="O31" s="10">
        <v>0</v>
      </c>
      <c r="P31" s="10">
        <v>1</v>
      </c>
      <c r="Q31" s="10">
        <v>1</v>
      </c>
      <c r="R31" s="10">
        <v>0</v>
      </c>
      <c r="T31" t="s">
        <v>1290</v>
      </c>
    </row>
    <row r="32" spans="1:31">
      <c r="A32">
        <v>7</v>
      </c>
      <c r="B32" s="11" t="s">
        <v>33</v>
      </c>
      <c r="C32" s="9" t="s">
        <v>1287</v>
      </c>
      <c r="D32">
        <v>2010</v>
      </c>
      <c r="E32" s="10" t="s">
        <v>29</v>
      </c>
      <c r="F32" s="9" t="s">
        <v>1288</v>
      </c>
      <c r="G32" s="9" t="s">
        <v>1289</v>
      </c>
      <c r="H32">
        <f>PI()*0.05^2</f>
        <v>7.8539816339744835E-3</v>
      </c>
      <c r="I32">
        <f>36*6</f>
        <v>216</v>
      </c>
      <c r="J32" s="6">
        <f t="shared" si="2"/>
        <v>1.6964600329384886E-4</v>
      </c>
      <c r="K32">
        <f>15/1440</f>
        <v>1.0416666666666666E-2</v>
      </c>
      <c r="L32" s="22">
        <v>0</v>
      </c>
      <c r="M32">
        <f>I32*K32</f>
        <v>2.25</v>
      </c>
      <c r="N32">
        <f>365+60</f>
        <v>425</v>
      </c>
      <c r="O32" s="10">
        <v>0</v>
      </c>
      <c r="P32" s="10">
        <v>0</v>
      </c>
      <c r="Q32" s="10">
        <v>1</v>
      </c>
      <c r="R32" s="10">
        <v>0</v>
      </c>
      <c r="T32" t="s">
        <v>14</v>
      </c>
    </row>
    <row r="33" spans="1:21">
      <c r="A33">
        <v>7</v>
      </c>
      <c r="B33" s="11" t="s">
        <v>33</v>
      </c>
      <c r="C33" s="9" t="s">
        <v>1287</v>
      </c>
      <c r="D33">
        <v>2010</v>
      </c>
      <c r="E33" s="10" t="s">
        <v>29</v>
      </c>
      <c r="F33" s="9" t="s">
        <v>1288</v>
      </c>
      <c r="G33" s="9" t="s">
        <v>1289</v>
      </c>
      <c r="H33">
        <f>PI()*0.01^2</f>
        <v>3.1415926535897931E-4</v>
      </c>
      <c r="I33" s="9">
        <f>36*6*60*4</f>
        <v>51840</v>
      </c>
      <c r="J33" s="6">
        <f t="shared" si="2"/>
        <v>1.6286016316209486E-3</v>
      </c>
      <c r="K33">
        <f>4/60/1440</f>
        <v>4.6296296296296294E-5</v>
      </c>
      <c r="L33" s="22">
        <v>0</v>
      </c>
      <c r="M33">
        <f>I33*K33</f>
        <v>2.4</v>
      </c>
      <c r="N33">
        <f>365+60</f>
        <v>425</v>
      </c>
      <c r="O33" s="10">
        <v>0</v>
      </c>
      <c r="P33" s="10">
        <v>0</v>
      </c>
      <c r="Q33" s="10">
        <v>1</v>
      </c>
      <c r="R33" s="10">
        <v>0</v>
      </c>
      <c r="T33" t="s">
        <v>14</v>
      </c>
    </row>
    <row r="34" spans="1:21">
      <c r="A34">
        <v>8</v>
      </c>
      <c r="B34" s="11" t="s">
        <v>73</v>
      </c>
      <c r="C34" s="9" t="s">
        <v>1291</v>
      </c>
      <c r="D34">
        <v>2012</v>
      </c>
      <c r="E34" s="10" t="s">
        <v>29</v>
      </c>
      <c r="F34" s="9" t="s">
        <v>1292</v>
      </c>
      <c r="G34" s="9" t="s">
        <v>1293</v>
      </c>
      <c r="H34">
        <f>10*10</f>
        <v>100</v>
      </c>
      <c r="I34">
        <v>16</v>
      </c>
      <c r="J34" s="6">
        <f t="shared" si="2"/>
        <v>0.16</v>
      </c>
      <c r="K34">
        <f>1/24</f>
        <v>4.1666666666666664E-2</v>
      </c>
      <c r="L34">
        <f>365*(2010-1967)</f>
        <v>15695</v>
      </c>
      <c r="M34">
        <f>K34*32</f>
        <v>1.3333333333333333</v>
      </c>
      <c r="N34">
        <f>365*(2010-1967)</f>
        <v>15695</v>
      </c>
      <c r="O34" s="10">
        <v>1</v>
      </c>
      <c r="P34" s="10">
        <v>0</v>
      </c>
      <c r="Q34" s="10">
        <v>0</v>
      </c>
      <c r="R34" s="10">
        <v>0</v>
      </c>
      <c r="T34" t="s">
        <v>14</v>
      </c>
    </row>
    <row r="35" spans="1:21">
      <c r="A35">
        <v>8</v>
      </c>
      <c r="B35" s="11" t="s">
        <v>73</v>
      </c>
      <c r="C35" s="9" t="s">
        <v>1291</v>
      </c>
      <c r="D35">
        <v>2012</v>
      </c>
      <c r="E35" s="10" t="s">
        <v>29</v>
      </c>
      <c r="F35" s="9" t="s">
        <v>1292</v>
      </c>
      <c r="G35" s="9" t="s">
        <v>1293</v>
      </c>
      <c r="H35">
        <f>0.02*0.01</f>
        <v>2.0000000000000001E-4</v>
      </c>
      <c r="I35">
        <f>2722+3180</f>
        <v>5902</v>
      </c>
      <c r="J35" s="6">
        <f t="shared" si="2"/>
        <v>1.1804000000000002E-4</v>
      </c>
      <c r="K35">
        <f>1/1440</f>
        <v>6.9444444444444447E-4</v>
      </c>
      <c r="L35">
        <v>0</v>
      </c>
      <c r="M35">
        <f>K35*I35</f>
        <v>4.0986111111111114</v>
      </c>
      <c r="N35">
        <f>365*(2010-1967)</f>
        <v>15695</v>
      </c>
      <c r="O35" s="10">
        <v>0</v>
      </c>
      <c r="P35" s="10">
        <v>0</v>
      </c>
      <c r="Q35" s="10">
        <v>1</v>
      </c>
      <c r="R35" s="10">
        <v>0</v>
      </c>
      <c r="T35" t="s">
        <v>22</v>
      </c>
    </row>
    <row r="36" spans="1:21">
      <c r="A36">
        <v>8</v>
      </c>
      <c r="B36" s="11" t="s">
        <v>73</v>
      </c>
      <c r="C36" s="9" t="s">
        <v>1291</v>
      </c>
      <c r="D36">
        <v>2012</v>
      </c>
      <c r="E36" s="10" t="s">
        <v>29</v>
      </c>
      <c r="F36" s="9" t="s">
        <v>1292</v>
      </c>
      <c r="G36" s="9" t="s">
        <v>1293</v>
      </c>
      <c r="H36">
        <f>5000*5000</f>
        <v>25000000</v>
      </c>
      <c r="I36">
        <v>1</v>
      </c>
      <c r="J36" s="6">
        <f t="shared" si="2"/>
        <v>2500</v>
      </c>
      <c r="K36">
        <f>5/24</f>
        <v>0.20833333333333334</v>
      </c>
      <c r="L36">
        <f>365*(2010-1968)</f>
        <v>15330</v>
      </c>
      <c r="M36">
        <f>K36*2</f>
        <v>0.41666666666666669</v>
      </c>
      <c r="N36">
        <f>365*(2010-1968)</f>
        <v>15330</v>
      </c>
      <c r="O36" s="10">
        <v>0</v>
      </c>
      <c r="P36" s="10">
        <v>0</v>
      </c>
      <c r="Q36" s="10">
        <v>0</v>
      </c>
      <c r="R36" s="10">
        <v>0</v>
      </c>
      <c r="T36" t="s">
        <v>1285</v>
      </c>
    </row>
    <row r="37" spans="1:21">
      <c r="A37">
        <v>8</v>
      </c>
      <c r="B37" s="11" t="s">
        <v>73</v>
      </c>
      <c r="C37" s="9" t="s">
        <v>1291</v>
      </c>
      <c r="D37">
        <v>2012</v>
      </c>
      <c r="E37" s="10" t="s">
        <v>29</v>
      </c>
      <c r="F37" s="9" t="s">
        <v>1292</v>
      </c>
      <c r="G37" s="9" t="s">
        <v>1293</v>
      </c>
      <c r="H37">
        <f>0.1*0.1</f>
        <v>1.0000000000000002E-2</v>
      </c>
      <c r="I37">
        <v>1</v>
      </c>
      <c r="J37" s="6">
        <f t="shared" si="2"/>
        <v>1.0000000000000002E-6</v>
      </c>
      <c r="K37">
        <f>1/60/1440</f>
        <v>1.1574074074074073E-5</v>
      </c>
      <c r="L37">
        <v>1</v>
      </c>
      <c r="M37">
        <f>K37*N37</f>
        <v>0.18165509259259258</v>
      </c>
      <c r="N37">
        <f>365*(2010-1967)</f>
        <v>15695</v>
      </c>
      <c r="O37" s="10">
        <v>0</v>
      </c>
      <c r="P37" s="10">
        <v>0</v>
      </c>
      <c r="Q37" s="10">
        <v>0</v>
      </c>
      <c r="R37" s="10">
        <v>0</v>
      </c>
      <c r="T37" t="s">
        <v>13</v>
      </c>
    </row>
    <row r="38" spans="1:21">
      <c r="A38">
        <v>9</v>
      </c>
      <c r="B38" s="11" t="s">
        <v>73</v>
      </c>
      <c r="C38" t="s">
        <v>1294</v>
      </c>
      <c r="D38">
        <v>2009</v>
      </c>
      <c r="E38" s="10" t="s">
        <v>1255</v>
      </c>
      <c r="F38" s="9" t="s">
        <v>1296</v>
      </c>
      <c r="G38" s="9" t="s">
        <v>1297</v>
      </c>
      <c r="H38">
        <f>PI()*0.05^2</f>
        <v>7.8539816339744835E-3</v>
      </c>
      <c r="I38">
        <v>23</v>
      </c>
      <c r="J38" s="6">
        <f t="shared" si="2"/>
        <v>1.806415775814131E-5</v>
      </c>
      <c r="K38">
        <f>15/1440</f>
        <v>1.0416666666666666E-2</v>
      </c>
      <c r="L38">
        <v>0</v>
      </c>
      <c r="M38">
        <f>K38*I38</f>
        <v>0.23958333333333331</v>
      </c>
      <c r="N38">
        <v>1</v>
      </c>
      <c r="O38" s="10">
        <v>0</v>
      </c>
      <c r="P38" s="10">
        <v>2</v>
      </c>
      <c r="Q38" s="10">
        <v>2</v>
      </c>
      <c r="R38" s="10">
        <v>0</v>
      </c>
      <c r="T38" t="s">
        <v>1298</v>
      </c>
    </row>
    <row r="39" spans="1:21">
      <c r="A39">
        <v>10</v>
      </c>
      <c r="B39" s="11" t="s">
        <v>143</v>
      </c>
      <c r="C39" t="s">
        <v>1303</v>
      </c>
      <c r="D39">
        <v>2010</v>
      </c>
      <c r="E39" s="10" t="s">
        <v>1255</v>
      </c>
      <c r="F39" s="9" t="s">
        <v>1299</v>
      </c>
      <c r="G39" s="9" t="s">
        <v>1301</v>
      </c>
      <c r="H39">
        <f>3</f>
        <v>3</v>
      </c>
      <c r="I39">
        <v>220</v>
      </c>
      <c r="J39" s="6">
        <f t="shared" si="2"/>
        <v>6.6000000000000003E-2</v>
      </c>
      <c r="K39">
        <f>2+2/3</f>
        <v>2.6666666666666665</v>
      </c>
      <c r="L39">
        <v>365</v>
      </c>
      <c r="M39">
        <f>K39*I39*14</f>
        <v>8213.3333333333321</v>
      </c>
      <c r="N39">
        <f>14*365</f>
        <v>5110</v>
      </c>
      <c r="O39" s="10">
        <v>0</v>
      </c>
      <c r="P39" s="10">
        <v>1</v>
      </c>
      <c r="Q39" s="10">
        <v>0</v>
      </c>
      <c r="R39" s="10">
        <v>0</v>
      </c>
      <c r="T39" t="s">
        <v>1300</v>
      </c>
    </row>
    <row r="40" spans="1:21">
      <c r="A40">
        <v>11</v>
      </c>
      <c r="B40" s="11" t="s">
        <v>1302</v>
      </c>
      <c r="C40" t="s">
        <v>1304</v>
      </c>
      <c r="D40">
        <v>2004</v>
      </c>
      <c r="E40" s="10" t="s">
        <v>1305</v>
      </c>
      <c r="F40" s="9" t="s">
        <v>1306</v>
      </c>
      <c r="G40" s="9" t="s">
        <v>1307</v>
      </c>
      <c r="H40">
        <f>1*10^10</f>
        <v>10000000000</v>
      </c>
      <c r="I40">
        <v>1</v>
      </c>
      <c r="J40" s="6">
        <f t="shared" si="2"/>
        <v>1000000</v>
      </c>
      <c r="K40">
        <f>2/24</f>
        <v>8.3333333333333329E-2</v>
      </c>
      <c r="L40">
        <f>(19*365 + 7*365 + 14*365)/3</f>
        <v>4866.666666666667</v>
      </c>
      <c r="M40">
        <f>K40*4</f>
        <v>0.33333333333333331</v>
      </c>
      <c r="N40">
        <f>40*365</f>
        <v>14600</v>
      </c>
      <c r="O40" s="10">
        <v>0</v>
      </c>
      <c r="P40" s="10">
        <v>0</v>
      </c>
      <c r="Q40" s="10">
        <v>2</v>
      </c>
      <c r="R40" s="10">
        <v>0</v>
      </c>
      <c r="T40" t="s">
        <v>1308</v>
      </c>
    </row>
    <row r="41" spans="1:21">
      <c r="A41">
        <v>12</v>
      </c>
      <c r="B41" s="11" t="s">
        <v>62</v>
      </c>
      <c r="C41" t="s">
        <v>1309</v>
      </c>
      <c r="D41">
        <v>2011</v>
      </c>
      <c r="E41" s="10" t="s">
        <v>29</v>
      </c>
      <c r="F41" s="9" t="s">
        <v>1310</v>
      </c>
      <c r="G41" s="9" t="s">
        <v>1311</v>
      </c>
      <c r="H41">
        <f>24*25</f>
        <v>600</v>
      </c>
      <c r="I41">
        <v>10</v>
      </c>
      <c r="J41" s="6">
        <f t="shared" si="2"/>
        <v>0.6</v>
      </c>
      <c r="K41">
        <f>1/24</f>
        <v>4.1666666666666664E-2</v>
      </c>
      <c r="L41">
        <v>6</v>
      </c>
      <c r="M41">
        <f>K41*I41</f>
        <v>0.41666666666666663</v>
      </c>
      <c r="N41">
        <v>60</v>
      </c>
      <c r="O41" s="10">
        <v>3</v>
      </c>
      <c r="P41" s="10">
        <v>2</v>
      </c>
      <c r="Q41" s="23">
        <v>2</v>
      </c>
      <c r="R41" s="10">
        <v>2</v>
      </c>
      <c r="T41" t="s">
        <v>1285</v>
      </c>
    </row>
    <row r="42" spans="1:21">
      <c r="A42">
        <v>12</v>
      </c>
      <c r="B42" s="11" t="s">
        <v>62</v>
      </c>
      <c r="C42" t="s">
        <v>1309</v>
      </c>
      <c r="D42">
        <v>2011</v>
      </c>
      <c r="E42" s="10" t="s">
        <v>29</v>
      </c>
      <c r="F42" s="9" t="s">
        <v>1310</v>
      </c>
      <c r="G42" s="9" t="s">
        <v>1311</v>
      </c>
      <c r="H42">
        <v>1</v>
      </c>
      <c r="I42">
        <v>3</v>
      </c>
      <c r="J42" s="6">
        <f t="shared" si="2"/>
        <v>2.9999999999999997E-4</v>
      </c>
      <c r="K42">
        <f>1/24</f>
        <v>4.1666666666666664E-2</v>
      </c>
      <c r="L42">
        <v>6</v>
      </c>
      <c r="M42">
        <f>K42*3</f>
        <v>0.125</v>
      </c>
      <c r="N42">
        <v>60</v>
      </c>
      <c r="O42" s="10">
        <v>3</v>
      </c>
      <c r="P42" s="10">
        <v>0</v>
      </c>
      <c r="Q42" s="10">
        <v>0</v>
      </c>
      <c r="R42" s="10">
        <v>2</v>
      </c>
      <c r="T42" t="s">
        <v>16</v>
      </c>
    </row>
    <row r="43" spans="1:21">
      <c r="A43">
        <v>12</v>
      </c>
      <c r="B43" s="11" t="s">
        <v>62</v>
      </c>
      <c r="C43" t="s">
        <v>1309</v>
      </c>
      <c r="D43">
        <v>2011</v>
      </c>
      <c r="E43" s="10" t="s">
        <v>29</v>
      </c>
      <c r="F43" s="9" t="s">
        <v>1310</v>
      </c>
      <c r="G43" s="9" t="s">
        <v>1311</v>
      </c>
      <c r="H43">
        <f>1*10^-7/3</f>
        <v>3.3333333333333334E-8</v>
      </c>
      <c r="I43">
        <f>106*20</f>
        <v>2120</v>
      </c>
      <c r="J43" s="6">
        <f t="shared" si="2"/>
        <v>7.0666666666666671E-9</v>
      </c>
      <c r="K43">
        <f>5/1440</f>
        <v>3.472222222222222E-3</v>
      </c>
      <c r="L43">
        <v>0</v>
      </c>
      <c r="M43">
        <f>K43*I43</f>
        <v>7.3611111111111107</v>
      </c>
      <c r="N43">
        <f>60</f>
        <v>60</v>
      </c>
      <c r="O43" s="10">
        <v>3</v>
      </c>
      <c r="P43" s="10">
        <v>0</v>
      </c>
      <c r="Q43" s="10">
        <v>2</v>
      </c>
      <c r="R43" s="10">
        <v>2</v>
      </c>
      <c r="T43" t="s">
        <v>1312</v>
      </c>
    </row>
    <row r="44" spans="1:21">
      <c r="A44">
        <v>13</v>
      </c>
      <c r="B44" s="11" t="s">
        <v>58</v>
      </c>
      <c r="C44" t="s">
        <v>1313</v>
      </c>
      <c r="D44">
        <v>2012</v>
      </c>
      <c r="E44" s="10" t="s">
        <v>29</v>
      </c>
      <c r="F44" s="9" t="s">
        <v>1315</v>
      </c>
      <c r="G44" s="9" t="s">
        <v>1314</v>
      </c>
      <c r="H44">
        <v>1</v>
      </c>
      <c r="I44">
        <v>750</v>
      </c>
      <c r="J44" s="6">
        <f t="shared" si="2"/>
        <v>7.4999999999999997E-2</v>
      </c>
      <c r="K44">
        <f>15/1440</f>
        <v>1.0416666666666666E-2</v>
      </c>
      <c r="L44">
        <f>3</f>
        <v>3</v>
      </c>
      <c r="M44">
        <f>K44*I44*24*17</f>
        <v>3187.5</v>
      </c>
      <c r="N44">
        <f>17*365</f>
        <v>6205</v>
      </c>
      <c r="O44" s="10">
        <v>0</v>
      </c>
      <c r="P44" s="10">
        <v>3</v>
      </c>
      <c r="Q44" s="10">
        <v>0</v>
      </c>
      <c r="R44" s="10">
        <v>0</v>
      </c>
      <c r="T44" t="s">
        <v>1316</v>
      </c>
    </row>
    <row r="45" spans="1:21">
      <c r="A45">
        <v>13</v>
      </c>
      <c r="B45" s="11" t="s">
        <v>58</v>
      </c>
      <c r="C45" t="s">
        <v>1313</v>
      </c>
      <c r="D45">
        <v>2012</v>
      </c>
      <c r="E45" s="10" t="s">
        <v>29</v>
      </c>
      <c r="F45" s="9" t="s">
        <v>1315</v>
      </c>
      <c r="G45" s="9" t="s">
        <v>1314</v>
      </c>
      <c r="H45">
        <f>0.03*0.01</f>
        <v>2.9999999999999997E-4</v>
      </c>
      <c r="I45">
        <v>683</v>
      </c>
      <c r="J45" s="6">
        <f t="shared" si="2"/>
        <v>2.0489999999999999E-5</v>
      </c>
      <c r="K45">
        <f>5/1440</f>
        <v>3.472222222222222E-3</v>
      </c>
      <c r="L45">
        <v>3</v>
      </c>
      <c r="M45">
        <f>K45*I45*24*17</f>
        <v>967.58333333333326</v>
      </c>
      <c r="N45">
        <f>17*365</f>
        <v>6205</v>
      </c>
      <c r="O45" s="10">
        <v>0</v>
      </c>
      <c r="P45" s="10">
        <v>1</v>
      </c>
      <c r="Q45" s="10">
        <v>0</v>
      </c>
      <c r="R45" s="10">
        <v>0</v>
      </c>
      <c r="T45" t="s">
        <v>17</v>
      </c>
    </row>
    <row r="46" spans="1:21">
      <c r="A46" s="12">
        <v>14</v>
      </c>
      <c r="B46" s="11" t="s">
        <v>33</v>
      </c>
      <c r="C46" t="s">
        <v>1319</v>
      </c>
      <c r="D46">
        <v>2010</v>
      </c>
      <c r="E46" s="10" t="s">
        <v>29</v>
      </c>
      <c r="F46" s="9" t="s">
        <v>1318</v>
      </c>
      <c r="G46" s="9" t="s">
        <v>1317</v>
      </c>
      <c r="H46">
        <f>200*2000</f>
        <v>400000</v>
      </c>
      <c r="I46">
        <v>66</v>
      </c>
      <c r="J46" s="6">
        <f t="shared" si="2"/>
        <v>2640</v>
      </c>
      <c r="K46">
        <f>6.65*8/24</f>
        <v>2.2166666666666668</v>
      </c>
      <c r="L46">
        <f>29*30/66</f>
        <v>13.181818181818182</v>
      </c>
      <c r="M46">
        <f>K46*66</f>
        <v>146.30000000000001</v>
      </c>
      <c r="N46">
        <f>29*30</f>
        <v>870</v>
      </c>
      <c r="O46" s="10">
        <v>0</v>
      </c>
      <c r="P46" s="10">
        <v>1</v>
      </c>
      <c r="Q46" s="10">
        <v>0</v>
      </c>
      <c r="R46" s="10">
        <v>1</v>
      </c>
      <c r="T46" t="s">
        <v>1320</v>
      </c>
    </row>
    <row r="47" spans="1:21">
      <c r="A47" s="20">
        <v>14</v>
      </c>
      <c r="B47" s="11" t="s">
        <v>33</v>
      </c>
      <c r="C47" t="s">
        <v>1319</v>
      </c>
      <c r="D47">
        <v>2010</v>
      </c>
      <c r="E47" s="10" t="s">
        <v>29</v>
      </c>
      <c r="F47" s="9" t="s">
        <v>1318</v>
      </c>
      <c r="G47" s="9" t="s">
        <v>1317</v>
      </c>
      <c r="H47">
        <f>800</f>
        <v>800</v>
      </c>
      <c r="I47">
        <v>1</v>
      </c>
      <c r="J47" s="6">
        <f t="shared" si="2"/>
        <v>0.08</v>
      </c>
      <c r="K47">
        <f>4/24</f>
        <v>0.16666666666666666</v>
      </c>
      <c r="L47">
        <v>1</v>
      </c>
      <c r="M47">
        <f>K47*N47</f>
        <v>456.33333333333331</v>
      </c>
      <c r="N47">
        <f>7.5*365+0.5</f>
        <v>2738</v>
      </c>
      <c r="O47" s="10">
        <v>0</v>
      </c>
      <c r="P47" s="10">
        <v>2</v>
      </c>
      <c r="Q47" s="10">
        <v>0</v>
      </c>
      <c r="R47" s="10">
        <v>1</v>
      </c>
      <c r="T47" t="s">
        <v>13</v>
      </c>
      <c r="U47" t="s">
        <v>1321</v>
      </c>
    </row>
    <row r="48" spans="1:21">
      <c r="A48" s="20">
        <v>15</v>
      </c>
      <c r="B48" s="11" t="s">
        <v>73</v>
      </c>
      <c r="C48" t="s">
        <v>1322</v>
      </c>
      <c r="D48">
        <v>2009</v>
      </c>
      <c r="E48" s="10" t="s">
        <v>29</v>
      </c>
      <c r="F48" s="9" t="s">
        <v>1323</v>
      </c>
      <c r="G48" s="9" t="s">
        <v>1324</v>
      </c>
      <c r="H48">
        <f>1</f>
        <v>1</v>
      </c>
      <c r="I48">
        <v>500</v>
      </c>
      <c r="J48" s="6">
        <f t="shared" si="2"/>
        <v>0.05</v>
      </c>
      <c r="K48">
        <f>1/60/1440</f>
        <v>1.1574074074074073E-5</v>
      </c>
      <c r="L48">
        <v>1</v>
      </c>
      <c r="M48">
        <f>K48*(10*365)</f>
        <v>4.2245370370370371E-2</v>
      </c>
      <c r="N48">
        <f>12*365</f>
        <v>4380</v>
      </c>
      <c r="O48" s="10">
        <v>0</v>
      </c>
      <c r="P48" s="10">
        <v>0</v>
      </c>
      <c r="Q48" s="10">
        <v>1</v>
      </c>
      <c r="R48" s="10">
        <v>0</v>
      </c>
      <c r="T48" t="s">
        <v>1325</v>
      </c>
    </row>
    <row r="49" spans="1:21">
      <c r="A49" s="20">
        <v>15</v>
      </c>
      <c r="B49" s="11" t="s">
        <v>73</v>
      </c>
      <c r="C49" t="s">
        <v>1322</v>
      </c>
      <c r="D49">
        <v>2009</v>
      </c>
      <c r="E49" s="10" t="s">
        <v>29</v>
      </c>
      <c r="F49" s="9" t="s">
        <v>1323</v>
      </c>
      <c r="G49" s="9" t="s">
        <v>1324</v>
      </c>
      <c r="H49">
        <f>10000</f>
        <v>10000</v>
      </c>
      <c r="I49">
        <f>1195/5</f>
        <v>239</v>
      </c>
      <c r="J49" s="6">
        <f t="shared" si="2"/>
        <v>239</v>
      </c>
      <c r="K49">
        <f>10*2/24</f>
        <v>0.83333333333333337</v>
      </c>
      <c r="L49">
        <v>365</v>
      </c>
      <c r="M49">
        <f>K49*10*239</f>
        <v>1991.6666666666667</v>
      </c>
      <c r="N49">
        <f>12*365</f>
        <v>4380</v>
      </c>
      <c r="O49" s="10">
        <v>1</v>
      </c>
      <c r="P49" s="10">
        <v>0</v>
      </c>
      <c r="Q49" s="10">
        <v>0</v>
      </c>
      <c r="R49" s="10">
        <v>2</v>
      </c>
      <c r="S49" t="s">
        <v>1326</v>
      </c>
      <c r="T49" s="11" t="s">
        <v>1327</v>
      </c>
    </row>
    <row r="50" spans="1:21">
      <c r="A50">
        <v>16</v>
      </c>
      <c r="B50" s="11" t="s">
        <v>1302</v>
      </c>
      <c r="C50" t="s">
        <v>1328</v>
      </c>
      <c r="D50">
        <v>2008</v>
      </c>
      <c r="E50" s="10" t="s">
        <v>1255</v>
      </c>
      <c r="F50" s="10" t="s">
        <v>1329</v>
      </c>
      <c r="G50" s="10" t="s">
        <v>1330</v>
      </c>
      <c r="H50">
        <f>PI()*500^2</f>
        <v>785398.16339744825</v>
      </c>
      <c r="I50">
        <v>13</v>
      </c>
      <c r="J50" s="6">
        <f>(H50*I50)/10000</f>
        <v>1021.0176124166827</v>
      </c>
      <c r="K50">
        <f>8/24</f>
        <v>0.33333333333333331</v>
      </c>
      <c r="L50" s="11">
        <f>40*365</f>
        <v>14600</v>
      </c>
      <c r="M50">
        <f>K50*2</f>
        <v>0.66666666666666663</v>
      </c>
      <c r="N50">
        <f>(2002-1960)*365</f>
        <v>15330</v>
      </c>
      <c r="O50" s="10">
        <v>1</v>
      </c>
      <c r="P50" s="10">
        <v>0</v>
      </c>
      <c r="Q50">
        <v>2</v>
      </c>
      <c r="R50">
        <v>0</v>
      </c>
      <c r="T50" t="s">
        <v>13</v>
      </c>
    </row>
    <row r="51" spans="1:21">
      <c r="A51">
        <v>17</v>
      </c>
      <c r="B51" t="s">
        <v>58</v>
      </c>
      <c r="C51" t="s">
        <v>1331</v>
      </c>
      <c r="D51">
        <v>2011</v>
      </c>
      <c r="E51" t="s">
        <v>29</v>
      </c>
      <c r="F51" t="s">
        <v>1333</v>
      </c>
      <c r="G51" t="s">
        <v>1332</v>
      </c>
      <c r="H51">
        <f>0.3*0.15</f>
        <v>4.4999999999999998E-2</v>
      </c>
      <c r="I51">
        <f>49*2</f>
        <v>98</v>
      </c>
      <c r="J51" s="6">
        <f>(H51*I51)/10000</f>
        <v>4.4100000000000004E-4</v>
      </c>
      <c r="K51">
        <f>30/1440</f>
        <v>2.0833333333333332E-2</v>
      </c>
      <c r="L51">
        <v>0</v>
      </c>
      <c r="M51">
        <f>K51*I51</f>
        <v>2.0416666666666665</v>
      </c>
      <c r="N51">
        <f>4*30</f>
        <v>120</v>
      </c>
      <c r="O51" s="10">
        <v>0</v>
      </c>
      <c r="P51" s="10">
        <v>2</v>
      </c>
      <c r="Q51" s="10">
        <v>0</v>
      </c>
      <c r="R51" s="10">
        <v>0</v>
      </c>
      <c r="T51" s="11" t="s">
        <v>1308</v>
      </c>
    </row>
    <row r="52" spans="1:21">
      <c r="A52">
        <v>17</v>
      </c>
      <c r="B52" t="s">
        <v>58</v>
      </c>
      <c r="C52" t="s">
        <v>1334</v>
      </c>
      <c r="D52">
        <v>2011</v>
      </c>
      <c r="E52" t="s">
        <v>29</v>
      </c>
      <c r="F52" t="s">
        <v>1333</v>
      </c>
      <c r="G52" t="s">
        <v>1332</v>
      </c>
      <c r="H52">
        <f>0.3*0.15</f>
        <v>4.4999999999999998E-2</v>
      </c>
      <c r="I52">
        <v>22</v>
      </c>
      <c r="J52" s="6">
        <f t="shared" ref="J52:J54" si="5">(H52*I52)/10000</f>
        <v>9.8999999999999994E-5</v>
      </c>
      <c r="K52">
        <f>30/1440</f>
        <v>2.0833333333333332E-2</v>
      </c>
      <c r="L52">
        <v>0</v>
      </c>
      <c r="M52">
        <f>K52*I52</f>
        <v>0.45833333333333331</v>
      </c>
      <c r="N52">
        <f>4*30</f>
        <v>120</v>
      </c>
      <c r="O52" s="10">
        <v>0</v>
      </c>
      <c r="P52" s="10">
        <v>1</v>
      </c>
      <c r="Q52" s="10">
        <v>0</v>
      </c>
      <c r="R52" s="10">
        <v>0</v>
      </c>
      <c r="T52" s="11" t="s">
        <v>1308</v>
      </c>
    </row>
    <row r="53" spans="1:21">
      <c r="A53">
        <v>17</v>
      </c>
      <c r="B53" t="s">
        <v>58</v>
      </c>
      <c r="C53" t="s">
        <v>1335</v>
      </c>
      <c r="D53">
        <v>2011</v>
      </c>
      <c r="E53" t="s">
        <v>29</v>
      </c>
      <c r="F53" t="s">
        <v>1333</v>
      </c>
      <c r="G53" t="s">
        <v>1332</v>
      </c>
      <c r="H53">
        <f>0.1*0.05</f>
        <v>5.000000000000001E-3</v>
      </c>
      <c r="I53">
        <f>49+39</f>
        <v>88</v>
      </c>
      <c r="J53" s="6">
        <f t="shared" si="5"/>
        <v>4.4000000000000006E-5</v>
      </c>
      <c r="K53">
        <f>15/1440</f>
        <v>1.0416666666666666E-2</v>
      </c>
      <c r="L53">
        <v>2</v>
      </c>
      <c r="M53">
        <f>K53*I53</f>
        <v>0.91666666666666663</v>
      </c>
      <c r="N53">
        <f>4*30</f>
        <v>120</v>
      </c>
      <c r="O53" s="10">
        <v>0</v>
      </c>
      <c r="P53" s="10">
        <v>1</v>
      </c>
      <c r="Q53" s="10">
        <v>0</v>
      </c>
      <c r="R53" s="10">
        <v>0</v>
      </c>
      <c r="T53" s="11" t="s">
        <v>14</v>
      </c>
    </row>
    <row r="54" spans="1:21">
      <c r="A54">
        <v>17</v>
      </c>
      <c r="B54" t="s">
        <v>58</v>
      </c>
      <c r="C54" t="s">
        <v>1335</v>
      </c>
      <c r="D54">
        <v>2011</v>
      </c>
      <c r="E54" t="s">
        <v>29</v>
      </c>
      <c r="F54" t="s">
        <v>1333</v>
      </c>
      <c r="G54" t="s">
        <v>1332</v>
      </c>
      <c r="H54">
        <f>0.3*0.3</f>
        <v>0.09</v>
      </c>
      <c r="I54">
        <v>36</v>
      </c>
      <c r="J54" s="6">
        <f t="shared" si="5"/>
        <v>3.2399999999999996E-4</v>
      </c>
      <c r="K54">
        <f>(5/3)/24</f>
        <v>6.9444444444444448E-2</v>
      </c>
      <c r="L54">
        <v>4</v>
      </c>
      <c r="M54">
        <f>5*I54</f>
        <v>180</v>
      </c>
      <c r="N54">
        <f>4*30</f>
        <v>120</v>
      </c>
      <c r="O54" s="10">
        <v>0</v>
      </c>
      <c r="P54" s="10">
        <v>1</v>
      </c>
      <c r="Q54" s="10">
        <v>0</v>
      </c>
      <c r="R54" s="10">
        <v>0</v>
      </c>
      <c r="T54" s="11" t="s">
        <v>13</v>
      </c>
    </row>
    <row r="55" spans="1:21" s="12" customFormat="1">
      <c r="A55" s="12">
        <v>18</v>
      </c>
      <c r="B55" s="33" t="s">
        <v>216</v>
      </c>
      <c r="C55" s="12" t="s">
        <v>1378</v>
      </c>
      <c r="D55" s="12">
        <v>2010</v>
      </c>
      <c r="E55" s="35" t="s">
        <v>29</v>
      </c>
      <c r="F55" s="19" t="s">
        <v>1380</v>
      </c>
      <c r="G55" s="16" t="s">
        <v>1379</v>
      </c>
      <c r="H55" s="12">
        <f>0.5*0.25</f>
        <v>0.125</v>
      </c>
      <c r="I55" s="12">
        <v>27</v>
      </c>
      <c r="J55" s="34">
        <f t="shared" si="2"/>
        <v>3.3750000000000002E-4</v>
      </c>
      <c r="K55" s="12">
        <f>30/1440</f>
        <v>2.0833333333333332E-2</v>
      </c>
      <c r="L55" s="12">
        <v>0</v>
      </c>
      <c r="M55" s="12">
        <f>K55*I55</f>
        <v>0.5625</v>
      </c>
      <c r="N55" s="12">
        <v>12</v>
      </c>
      <c r="O55" s="12">
        <v>0</v>
      </c>
      <c r="P55" s="20">
        <v>1</v>
      </c>
      <c r="Q55" s="20">
        <v>0</v>
      </c>
      <c r="R55" s="20">
        <v>0</v>
      </c>
      <c r="T55" s="12" t="s">
        <v>1308</v>
      </c>
    </row>
    <row r="56" spans="1:21">
      <c r="A56">
        <v>19</v>
      </c>
      <c r="B56" t="s">
        <v>229</v>
      </c>
      <c r="C56" t="s">
        <v>1386</v>
      </c>
      <c r="D56">
        <v>2006</v>
      </c>
      <c r="E56" s="16" t="s">
        <v>1255</v>
      </c>
      <c r="F56" s="11" t="s">
        <v>1388</v>
      </c>
      <c r="G56" s="11" t="s">
        <v>1389</v>
      </c>
      <c r="H56">
        <v>60000</v>
      </c>
      <c r="I56">
        <v>2</v>
      </c>
      <c r="J56" s="6">
        <f t="shared" si="2"/>
        <v>12</v>
      </c>
      <c r="K56">
        <f>(5/24)</f>
        <v>0.20833333333333334</v>
      </c>
      <c r="L56">
        <v>365</v>
      </c>
      <c r="M56">
        <f>K56*10*2*15</f>
        <v>62.500000000000007</v>
      </c>
      <c r="N56">
        <f>10*365</f>
        <v>3650</v>
      </c>
      <c r="O56">
        <v>0</v>
      </c>
      <c r="P56">
        <v>1</v>
      </c>
      <c r="Q56">
        <v>0</v>
      </c>
      <c r="R56">
        <v>0</v>
      </c>
      <c r="S56" s="36" t="s">
        <v>1387</v>
      </c>
      <c r="T56" s="11" t="s">
        <v>1390</v>
      </c>
    </row>
    <row r="57" spans="1:21">
      <c r="A57">
        <v>19</v>
      </c>
      <c r="B57" t="s">
        <v>229</v>
      </c>
      <c r="C57" t="s">
        <v>1386</v>
      </c>
      <c r="D57">
        <v>2006</v>
      </c>
      <c r="E57" s="16" t="s">
        <v>1255</v>
      </c>
      <c r="F57" t="s">
        <v>1388</v>
      </c>
      <c r="G57" t="s">
        <v>1396</v>
      </c>
      <c r="H57">
        <v>5000</v>
      </c>
      <c r="I57">
        <v>18</v>
      </c>
      <c r="J57" s="6">
        <f t="shared" si="2"/>
        <v>9</v>
      </c>
      <c r="K57">
        <f>11/24</f>
        <v>0.45833333333333331</v>
      </c>
      <c r="L57">
        <v>365</v>
      </c>
      <c r="M57">
        <f>K57*60*13</f>
        <v>357.5</v>
      </c>
      <c r="N57">
        <f>13*365</f>
        <v>4745</v>
      </c>
      <c r="O57">
        <v>0</v>
      </c>
      <c r="P57">
        <v>1</v>
      </c>
      <c r="Q57">
        <v>0</v>
      </c>
      <c r="R57">
        <v>2</v>
      </c>
      <c r="S57" t="s">
        <v>1391</v>
      </c>
      <c r="T57" t="s">
        <v>1392</v>
      </c>
    </row>
    <row r="58" spans="1:21">
      <c r="A58">
        <v>19</v>
      </c>
      <c r="B58" t="s">
        <v>229</v>
      </c>
      <c r="C58" t="s">
        <v>1386</v>
      </c>
      <c r="D58">
        <v>2006</v>
      </c>
      <c r="E58" s="16" t="s">
        <v>1255</v>
      </c>
      <c r="F58" t="s">
        <v>1388</v>
      </c>
      <c r="G58" t="s">
        <v>1396</v>
      </c>
      <c r="H58">
        <v>5000</v>
      </c>
      <c r="I58">
        <v>18</v>
      </c>
      <c r="J58" s="6">
        <f t="shared" si="2"/>
        <v>9</v>
      </c>
      <c r="K58">
        <f>11/24</f>
        <v>0.45833333333333331</v>
      </c>
      <c r="L58">
        <v>90</v>
      </c>
      <c r="M58">
        <f>K58*40*5*4</f>
        <v>366.66666666666663</v>
      </c>
      <c r="N58">
        <f>5*365</f>
        <v>1825</v>
      </c>
      <c r="O58">
        <v>0</v>
      </c>
      <c r="P58">
        <v>1</v>
      </c>
      <c r="Q58">
        <v>0</v>
      </c>
      <c r="R58">
        <v>0</v>
      </c>
      <c r="T58" t="s">
        <v>1393</v>
      </c>
      <c r="U58" t="s">
        <v>1394</v>
      </c>
    </row>
    <row r="59" spans="1:21">
      <c r="A59">
        <v>19</v>
      </c>
      <c r="B59" t="s">
        <v>229</v>
      </c>
      <c r="C59" t="s">
        <v>1386</v>
      </c>
      <c r="D59">
        <v>2006</v>
      </c>
      <c r="E59" s="16" t="s">
        <v>1255</v>
      </c>
      <c r="F59" t="s">
        <v>1388</v>
      </c>
      <c r="G59" t="s">
        <v>1396</v>
      </c>
      <c r="H59">
        <f>800*10000</f>
        <v>8000000</v>
      </c>
      <c r="I59">
        <v>200</v>
      </c>
      <c r="J59" s="6">
        <f t="shared" si="2"/>
        <v>160000</v>
      </c>
      <c r="K59">
        <f>(12.9/24)/200</f>
        <v>2.6874999999999998E-3</v>
      </c>
      <c r="L59">
        <v>365</v>
      </c>
      <c r="M59">
        <f>K59*19</f>
        <v>5.1062499999999997E-2</v>
      </c>
      <c r="N59">
        <f>(1996-1977)*365</f>
        <v>6935</v>
      </c>
      <c r="O59">
        <v>0</v>
      </c>
      <c r="P59">
        <v>0</v>
      </c>
      <c r="Q59">
        <v>0</v>
      </c>
      <c r="R59">
        <v>2</v>
      </c>
      <c r="S59" t="s">
        <v>1399</v>
      </c>
      <c r="T59" t="s">
        <v>1395</v>
      </c>
    </row>
    <row r="60" spans="1:21">
      <c r="A60">
        <v>19</v>
      </c>
      <c r="B60" t="s">
        <v>229</v>
      </c>
      <c r="C60" t="s">
        <v>1386</v>
      </c>
      <c r="D60">
        <v>2006</v>
      </c>
      <c r="E60" s="16" t="s">
        <v>1255</v>
      </c>
      <c r="F60" t="s">
        <v>1388</v>
      </c>
      <c r="G60" t="s">
        <v>1397</v>
      </c>
      <c r="H60">
        <f>(100*PI()^2)</f>
        <v>986.96044010893581</v>
      </c>
      <c r="I60">
        <f>4*21</f>
        <v>84</v>
      </c>
      <c r="J60" s="6">
        <f t="shared" si="2"/>
        <v>8.2904676969150604</v>
      </c>
      <c r="K60">
        <f>8/24</f>
        <v>0.33333333333333331</v>
      </c>
      <c r="L60">
        <v>14</v>
      </c>
      <c r="M60">
        <f>K60*I60*52*(1995-1967)</f>
        <v>40768</v>
      </c>
      <c r="N60">
        <f>(1995-1967)*365</f>
        <v>10220</v>
      </c>
      <c r="O60">
        <v>0</v>
      </c>
      <c r="P60">
        <v>1</v>
      </c>
      <c r="Q60">
        <v>0</v>
      </c>
      <c r="R60">
        <v>0</v>
      </c>
      <c r="S60" t="s">
        <v>1398</v>
      </c>
      <c r="T60" t="s">
        <v>1400</v>
      </c>
      <c r="U60" t="s">
        <v>1401</v>
      </c>
    </row>
    <row r="61" spans="1:21">
      <c r="A61">
        <v>19</v>
      </c>
      <c r="B61" t="s">
        <v>229</v>
      </c>
      <c r="C61" t="s">
        <v>1386</v>
      </c>
      <c r="D61">
        <v>2006</v>
      </c>
      <c r="E61" s="16" t="s">
        <v>1255</v>
      </c>
      <c r="F61" t="s">
        <v>1388</v>
      </c>
      <c r="G61" t="s">
        <v>1397</v>
      </c>
      <c r="H61">
        <v>2</v>
      </c>
      <c r="I61">
        <v>300</v>
      </c>
      <c r="J61" s="6">
        <f t="shared" si="2"/>
        <v>0.06</v>
      </c>
      <c r="K61">
        <f>3/24</f>
        <v>0.125</v>
      </c>
      <c r="L61">
        <v>0</v>
      </c>
      <c r="M61">
        <f>K61*I61</f>
        <v>37.5</v>
      </c>
      <c r="N61">
        <f>2*365</f>
        <v>730</v>
      </c>
      <c r="O61">
        <v>0</v>
      </c>
      <c r="P61">
        <v>1</v>
      </c>
      <c r="Q61">
        <v>0</v>
      </c>
      <c r="R61">
        <v>0</v>
      </c>
      <c r="S61" t="s">
        <v>1398</v>
      </c>
      <c r="T61" t="s">
        <v>1402</v>
      </c>
      <c r="U61" t="s">
        <v>1401</v>
      </c>
    </row>
    <row r="62" spans="1:21">
      <c r="A62">
        <v>19</v>
      </c>
      <c r="B62" t="s">
        <v>229</v>
      </c>
      <c r="C62" t="s">
        <v>1386</v>
      </c>
      <c r="D62">
        <v>2006</v>
      </c>
      <c r="E62" s="16" t="s">
        <v>1255</v>
      </c>
      <c r="F62" t="s">
        <v>1388</v>
      </c>
      <c r="G62" t="s">
        <v>1397</v>
      </c>
      <c r="H62">
        <f>(100*PI()^2)</f>
        <v>986.96044010893581</v>
      </c>
      <c r="I62">
        <v>84</v>
      </c>
      <c r="J62" s="6">
        <f t="shared" ref="J62:J64" si="6">(H62*I62)/10000</f>
        <v>8.2904676969150604</v>
      </c>
      <c r="K62">
        <f>1/24</f>
        <v>4.1666666666666664E-2</v>
      </c>
      <c r="L62">
        <v>14</v>
      </c>
      <c r="M62">
        <f>K62*I62*52*(1995-1967)</f>
        <v>5096</v>
      </c>
      <c r="N62">
        <f>(1995-1967)*365</f>
        <v>10220</v>
      </c>
      <c r="O62">
        <v>0</v>
      </c>
      <c r="P62">
        <v>1</v>
      </c>
      <c r="Q62">
        <v>0</v>
      </c>
      <c r="R62">
        <v>0</v>
      </c>
      <c r="S62" t="s">
        <v>1398</v>
      </c>
      <c r="T62" t="s">
        <v>1400</v>
      </c>
      <c r="U62" t="s">
        <v>1401</v>
      </c>
    </row>
    <row r="63" spans="1:21">
      <c r="A63">
        <v>19</v>
      </c>
      <c r="B63" t="s">
        <v>229</v>
      </c>
      <c r="C63" t="s">
        <v>1386</v>
      </c>
      <c r="D63">
        <v>2006</v>
      </c>
      <c r="E63" s="16" t="s">
        <v>1255</v>
      </c>
      <c r="F63" t="s">
        <v>1388</v>
      </c>
      <c r="G63" t="s">
        <v>1403</v>
      </c>
      <c r="H63">
        <f>PI()*0.25^2</f>
        <v>0.19634954084936207</v>
      </c>
      <c r="I63">
        <v>1</v>
      </c>
      <c r="J63" s="37">
        <f t="shared" si="6"/>
        <v>1.9634954084936207E-5</v>
      </c>
      <c r="K63">
        <f>5/1440</f>
        <v>3.472222222222222E-3</v>
      </c>
      <c r="L63">
        <v>1</v>
      </c>
      <c r="M63">
        <f>K63*N63</f>
        <v>35.486111111111107</v>
      </c>
      <c r="N63">
        <f>(1995-1967)*365</f>
        <v>10220</v>
      </c>
      <c r="O63">
        <v>0</v>
      </c>
      <c r="P63">
        <v>0</v>
      </c>
      <c r="Q63">
        <v>0</v>
      </c>
      <c r="R63">
        <v>0</v>
      </c>
    </row>
    <row r="64" spans="1:21">
      <c r="A64">
        <v>19</v>
      </c>
      <c r="B64" t="s">
        <v>229</v>
      </c>
      <c r="C64" t="s">
        <v>1386</v>
      </c>
      <c r="D64">
        <v>2006</v>
      </c>
      <c r="E64" s="16" t="s">
        <v>1255</v>
      </c>
      <c r="F64" t="s">
        <v>1388</v>
      </c>
      <c r="G64" t="s">
        <v>1404</v>
      </c>
      <c r="H64">
        <f>PI()*0.25^2</f>
        <v>0.19634954084936207</v>
      </c>
      <c r="I64">
        <v>1</v>
      </c>
      <c r="J64" s="37">
        <f t="shared" si="6"/>
        <v>1.9634954084936207E-5</v>
      </c>
      <c r="K64">
        <f>5/1440</f>
        <v>3.472222222222222E-3</v>
      </c>
      <c r="L64">
        <v>1</v>
      </c>
      <c r="M64">
        <f>K64*N64</f>
        <v>22.8125</v>
      </c>
      <c r="N64">
        <f>(1996-1978)*365</f>
        <v>6570</v>
      </c>
      <c r="O64">
        <v>0</v>
      </c>
      <c r="P64">
        <v>0</v>
      </c>
      <c r="Q64">
        <v>0</v>
      </c>
      <c r="R64">
        <v>0</v>
      </c>
    </row>
    <row r="65" spans="1:20">
      <c r="A65">
        <v>20</v>
      </c>
      <c r="B65" t="s">
        <v>73</v>
      </c>
      <c r="C65" t="s">
        <v>1405</v>
      </c>
      <c r="D65">
        <v>2012</v>
      </c>
      <c r="E65" s="16" t="s">
        <v>1406</v>
      </c>
      <c r="F65" t="s">
        <v>1407</v>
      </c>
      <c r="G65" t="s">
        <v>1408</v>
      </c>
      <c r="H65">
        <f>PI()*0.025^2</f>
        <v>1.9634954084936209E-3</v>
      </c>
      <c r="I65">
        <f>(51+87)/2*6</f>
        <v>414</v>
      </c>
      <c r="J65" s="6">
        <f>(H65*I65)/10000</f>
        <v>8.1288709911635904E-5</v>
      </c>
      <c r="K65">
        <f>30/1440</f>
        <v>2.0833333333333332E-2</v>
      </c>
      <c r="L65">
        <f>14*365</f>
        <v>5110</v>
      </c>
      <c r="M65">
        <f>K65*I65</f>
        <v>8.625</v>
      </c>
      <c r="N65">
        <f>2000*365</f>
        <v>730000</v>
      </c>
      <c r="O65">
        <v>0</v>
      </c>
      <c r="P65">
        <v>0</v>
      </c>
      <c r="Q65">
        <v>0</v>
      </c>
      <c r="R65">
        <v>0</v>
      </c>
      <c r="T65" t="s">
        <v>1409</v>
      </c>
    </row>
    <row r="66" spans="1:20">
      <c r="A66">
        <v>20</v>
      </c>
      <c r="B66" t="s">
        <v>73</v>
      </c>
      <c r="C66" t="s">
        <v>1405</v>
      </c>
      <c r="D66">
        <v>2012</v>
      </c>
      <c r="E66" s="16" t="s">
        <v>1406</v>
      </c>
      <c r="F66" t="s">
        <v>1407</v>
      </c>
      <c r="G66" t="s">
        <v>1408</v>
      </c>
      <c r="H66">
        <v>475000</v>
      </c>
      <c r="I66">
        <v>6</v>
      </c>
      <c r="J66" s="6">
        <f t="shared" ref="J66:J67" si="7">(H66*I66)/10000</f>
        <v>285</v>
      </c>
      <c r="K66">
        <f>6/24</f>
        <v>0.25</v>
      </c>
      <c r="L66">
        <v>0</v>
      </c>
      <c r="M66">
        <f>K66*6</f>
        <v>1.5</v>
      </c>
      <c r="N66">
        <v>1</v>
      </c>
      <c r="O66">
        <v>0</v>
      </c>
      <c r="P66">
        <v>0</v>
      </c>
      <c r="Q66">
        <v>0</v>
      </c>
      <c r="R66">
        <v>0</v>
      </c>
      <c r="T66" t="s">
        <v>19</v>
      </c>
    </row>
    <row r="67" spans="1:20">
      <c r="A67">
        <v>20</v>
      </c>
      <c r="B67" t="s">
        <v>73</v>
      </c>
      <c r="C67" t="s">
        <v>1405</v>
      </c>
      <c r="D67">
        <v>2012</v>
      </c>
      <c r="E67" s="16" t="s">
        <v>1406</v>
      </c>
      <c r="F67" t="s">
        <v>1407</v>
      </c>
      <c r="G67" t="s">
        <v>1408</v>
      </c>
      <c r="H67">
        <v>1</v>
      </c>
      <c r="I67">
        <v>4</v>
      </c>
      <c r="J67" s="6">
        <f t="shared" si="7"/>
        <v>4.0000000000000002E-4</v>
      </c>
      <c r="K67">
        <f>15/1440</f>
        <v>1.0416666666666666E-2</v>
      </c>
      <c r="L67">
        <v>1</v>
      </c>
      <c r="M67">
        <f>N67*K67</f>
        <v>399.21875</v>
      </c>
      <c r="N67">
        <f>105*365</f>
        <v>38325</v>
      </c>
      <c r="O67">
        <v>0</v>
      </c>
      <c r="P67">
        <v>0</v>
      </c>
      <c r="Q67">
        <v>0</v>
      </c>
      <c r="R67">
        <v>0</v>
      </c>
      <c r="T67" t="s">
        <v>1390</v>
      </c>
    </row>
  </sheetData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opLeftCell="A14" workbookViewId="0">
      <selection activeCell="A62" sqref="A62:H62"/>
    </sheetView>
  </sheetViews>
  <sheetFormatPr baseColWidth="10" defaultColWidth="8.83203125" defaultRowHeight="12" x14ac:dyDescent="0"/>
  <sheetData>
    <row r="1" spans="1:8"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>
      <c r="A2">
        <v>62890</v>
      </c>
      <c r="B2" t="s">
        <v>42</v>
      </c>
      <c r="C2">
        <v>2011</v>
      </c>
      <c r="D2" t="s">
        <v>43</v>
      </c>
      <c r="E2" t="s">
        <v>27</v>
      </c>
      <c r="F2">
        <v>278</v>
      </c>
      <c r="G2">
        <v>1716</v>
      </c>
      <c r="H2" t="s">
        <v>44</v>
      </c>
    </row>
    <row r="3" spans="1:8">
      <c r="A3">
        <v>51586</v>
      </c>
      <c r="B3" t="s">
        <v>45</v>
      </c>
      <c r="C3">
        <v>2008</v>
      </c>
      <c r="D3" t="s">
        <v>46</v>
      </c>
      <c r="E3" t="s">
        <v>33</v>
      </c>
      <c r="F3">
        <v>141</v>
      </c>
      <c r="G3">
        <v>2</v>
      </c>
      <c r="H3" t="s">
        <v>47</v>
      </c>
    </row>
    <row r="4" spans="1:8">
      <c r="A4">
        <v>54362</v>
      </c>
      <c r="B4" t="s">
        <v>48</v>
      </c>
      <c r="C4">
        <v>2009</v>
      </c>
      <c r="D4" t="s">
        <v>49</v>
      </c>
      <c r="E4" t="s">
        <v>50</v>
      </c>
      <c r="F4">
        <v>159</v>
      </c>
      <c r="G4">
        <v>2</v>
      </c>
      <c r="H4" t="s">
        <v>51</v>
      </c>
    </row>
    <row r="5" spans="1:8">
      <c r="A5">
        <v>70106</v>
      </c>
      <c r="B5" t="s">
        <v>52</v>
      </c>
      <c r="C5">
        <v>2012</v>
      </c>
      <c r="D5" t="s">
        <v>53</v>
      </c>
      <c r="E5" t="s">
        <v>54</v>
      </c>
      <c r="F5">
        <v>100</v>
      </c>
      <c r="G5">
        <v>3</v>
      </c>
      <c r="H5" t="s">
        <v>55</v>
      </c>
    </row>
    <row r="6" spans="1:8">
      <c r="A6">
        <v>73118</v>
      </c>
      <c r="B6" t="s">
        <v>56</v>
      </c>
      <c r="C6">
        <v>2013</v>
      </c>
      <c r="D6" t="s">
        <v>57</v>
      </c>
      <c r="E6" t="s">
        <v>58</v>
      </c>
      <c r="F6">
        <v>24</v>
      </c>
      <c r="G6">
        <v>3</v>
      </c>
      <c r="H6" t="s">
        <v>59</v>
      </c>
    </row>
    <row r="7" spans="1:8">
      <c r="A7">
        <v>60516</v>
      </c>
      <c r="B7" t="s">
        <v>60</v>
      </c>
      <c r="C7">
        <v>2010</v>
      </c>
      <c r="D7" t="s">
        <v>61</v>
      </c>
      <c r="E7" t="s">
        <v>62</v>
      </c>
      <c r="F7">
        <v>7</v>
      </c>
      <c r="G7">
        <v>1</v>
      </c>
      <c r="H7" t="s">
        <v>63</v>
      </c>
    </row>
    <row r="8" spans="1:8">
      <c r="A8">
        <v>52206</v>
      </c>
      <c r="B8" t="s">
        <v>64</v>
      </c>
      <c r="C8">
        <v>2008</v>
      </c>
      <c r="D8" t="s">
        <v>65</v>
      </c>
      <c r="E8" t="s">
        <v>33</v>
      </c>
      <c r="F8">
        <v>141</v>
      </c>
      <c r="G8">
        <v>12</v>
      </c>
      <c r="H8" t="s">
        <v>66</v>
      </c>
    </row>
    <row r="9" spans="1:8">
      <c r="A9">
        <v>45377</v>
      </c>
      <c r="B9" t="s">
        <v>67</v>
      </c>
      <c r="C9">
        <v>2007</v>
      </c>
      <c r="D9" t="s">
        <v>68</v>
      </c>
      <c r="E9" t="s">
        <v>69</v>
      </c>
      <c r="F9">
        <v>10</v>
      </c>
      <c r="G9">
        <v>3</v>
      </c>
      <c r="H9" t="s">
        <v>70</v>
      </c>
    </row>
    <row r="10" spans="1:8">
      <c r="A10">
        <v>67330</v>
      </c>
      <c r="B10" t="s">
        <v>71</v>
      </c>
      <c r="C10">
        <v>2012</v>
      </c>
      <c r="D10" t="s">
        <v>72</v>
      </c>
      <c r="E10" t="s">
        <v>73</v>
      </c>
      <c r="F10">
        <v>18</v>
      </c>
      <c r="G10">
        <v>8</v>
      </c>
      <c r="H10" t="s">
        <v>74</v>
      </c>
    </row>
    <row r="11" spans="1:8">
      <c r="A11">
        <v>44278</v>
      </c>
      <c r="B11" t="s">
        <v>75</v>
      </c>
      <c r="C11">
        <v>2006</v>
      </c>
      <c r="D11" t="s">
        <v>76</v>
      </c>
      <c r="E11" t="s">
        <v>27</v>
      </c>
      <c r="F11">
        <v>273</v>
      </c>
      <c r="G11">
        <v>1604</v>
      </c>
      <c r="H11" t="s">
        <v>77</v>
      </c>
    </row>
    <row r="12" spans="1:8">
      <c r="A12">
        <v>61404</v>
      </c>
      <c r="B12" t="s">
        <v>78</v>
      </c>
      <c r="C12">
        <v>2010</v>
      </c>
      <c r="D12" t="s">
        <v>79</v>
      </c>
      <c r="E12" t="s">
        <v>50</v>
      </c>
      <c r="F12">
        <v>163</v>
      </c>
      <c r="G12">
        <v>4</v>
      </c>
      <c r="H12" t="s">
        <v>80</v>
      </c>
    </row>
    <row r="13" spans="1:8">
      <c r="A13">
        <v>48551</v>
      </c>
      <c r="B13" t="s">
        <v>81</v>
      </c>
      <c r="C13">
        <v>2007</v>
      </c>
      <c r="D13" t="s">
        <v>82</v>
      </c>
      <c r="E13" t="s">
        <v>83</v>
      </c>
      <c r="F13">
        <v>13</v>
      </c>
      <c r="G13">
        <v>5</v>
      </c>
      <c r="H13" t="s">
        <v>84</v>
      </c>
    </row>
    <row r="14" spans="1:8">
      <c r="A14">
        <v>71234</v>
      </c>
      <c r="B14" t="s">
        <v>85</v>
      </c>
      <c r="C14">
        <v>2012</v>
      </c>
      <c r="D14" t="s">
        <v>86</v>
      </c>
      <c r="E14" s="11" t="s">
        <v>87</v>
      </c>
      <c r="F14">
        <v>81</v>
      </c>
      <c r="G14" t="s">
        <v>88</v>
      </c>
      <c r="H14" t="s">
        <v>89</v>
      </c>
    </row>
    <row r="15" spans="1:8">
      <c r="A15">
        <v>36787</v>
      </c>
      <c r="B15" t="s">
        <v>90</v>
      </c>
      <c r="C15">
        <v>2004</v>
      </c>
      <c r="D15" t="s">
        <v>91</v>
      </c>
      <c r="E15" t="s">
        <v>27</v>
      </c>
      <c r="F15">
        <v>271</v>
      </c>
      <c r="G15">
        <v>1551</v>
      </c>
      <c r="H15" t="s">
        <v>92</v>
      </c>
    </row>
    <row r="16" spans="1:8">
      <c r="A16">
        <v>69175</v>
      </c>
      <c r="B16" t="s">
        <v>93</v>
      </c>
      <c r="C16">
        <v>2012</v>
      </c>
      <c r="D16" t="s">
        <v>94</v>
      </c>
      <c r="E16" t="s">
        <v>54</v>
      </c>
      <c r="F16">
        <v>100</v>
      </c>
      <c r="G16">
        <v>3</v>
      </c>
      <c r="H16" t="s">
        <v>95</v>
      </c>
    </row>
    <row r="17" spans="1:8">
      <c r="A17">
        <v>57254</v>
      </c>
      <c r="B17" t="s">
        <v>96</v>
      </c>
      <c r="C17">
        <v>2009</v>
      </c>
      <c r="D17" t="s">
        <v>97</v>
      </c>
      <c r="E17" t="s">
        <v>27</v>
      </c>
      <c r="F17">
        <v>276</v>
      </c>
      <c r="G17">
        <v>1658</v>
      </c>
      <c r="H17" t="s">
        <v>98</v>
      </c>
    </row>
    <row r="18" spans="1:8">
      <c r="A18">
        <v>75086</v>
      </c>
      <c r="B18" t="s">
        <v>99</v>
      </c>
      <c r="C18">
        <v>2013</v>
      </c>
      <c r="D18" t="s">
        <v>100</v>
      </c>
      <c r="E18" t="s">
        <v>101</v>
      </c>
      <c r="F18">
        <v>4</v>
      </c>
      <c r="G18">
        <v>12</v>
      </c>
      <c r="H18" t="s">
        <v>102</v>
      </c>
    </row>
    <row r="19" spans="1:8">
      <c r="A19">
        <v>36577</v>
      </c>
      <c r="B19" t="s">
        <v>103</v>
      </c>
      <c r="C19">
        <v>2004</v>
      </c>
      <c r="D19" t="s">
        <v>104</v>
      </c>
      <c r="E19" t="s">
        <v>105</v>
      </c>
      <c r="F19">
        <v>103</v>
      </c>
      <c r="G19">
        <v>1</v>
      </c>
      <c r="H19" s="8">
        <v>42029</v>
      </c>
    </row>
    <row r="20" spans="1:8">
      <c r="A20">
        <v>45663</v>
      </c>
      <c r="B20" t="s">
        <v>106</v>
      </c>
      <c r="C20">
        <v>2007</v>
      </c>
      <c r="D20" t="s">
        <v>107</v>
      </c>
      <c r="E20" t="s">
        <v>108</v>
      </c>
      <c r="F20">
        <v>169</v>
      </c>
      <c r="G20">
        <v>4</v>
      </c>
      <c r="H20" t="s">
        <v>109</v>
      </c>
    </row>
    <row r="21" spans="1:8">
      <c r="A21">
        <v>49247</v>
      </c>
      <c r="B21" t="s">
        <v>110</v>
      </c>
      <c r="C21">
        <v>2007</v>
      </c>
      <c r="D21" t="s">
        <v>111</v>
      </c>
      <c r="E21" t="s">
        <v>58</v>
      </c>
      <c r="F21">
        <v>18</v>
      </c>
      <c r="G21">
        <v>1</v>
      </c>
      <c r="H21" t="s">
        <v>112</v>
      </c>
    </row>
    <row r="22" spans="1:8">
      <c r="A22">
        <v>64616</v>
      </c>
      <c r="B22" t="s">
        <v>113</v>
      </c>
      <c r="C22">
        <v>2011</v>
      </c>
      <c r="D22" t="s">
        <v>114</v>
      </c>
      <c r="E22" t="s">
        <v>33</v>
      </c>
      <c r="F22">
        <v>144</v>
      </c>
      <c r="G22">
        <v>1</v>
      </c>
      <c r="H22" t="s">
        <v>115</v>
      </c>
    </row>
    <row r="23" spans="1:8">
      <c r="A23">
        <v>62245</v>
      </c>
      <c r="B23" t="s">
        <v>116</v>
      </c>
      <c r="C23">
        <v>2011</v>
      </c>
      <c r="D23" t="s">
        <v>117</v>
      </c>
      <c r="E23" t="s">
        <v>87</v>
      </c>
      <c r="F23">
        <v>71</v>
      </c>
      <c r="G23" t="s">
        <v>88</v>
      </c>
      <c r="H23" t="s">
        <v>118</v>
      </c>
    </row>
    <row r="24" spans="1:8">
      <c r="A24">
        <v>37589</v>
      </c>
      <c r="B24" t="s">
        <v>119</v>
      </c>
      <c r="C24">
        <v>2004</v>
      </c>
      <c r="D24" t="s">
        <v>120</v>
      </c>
      <c r="E24" t="s">
        <v>73</v>
      </c>
      <c r="F24">
        <v>10</v>
      </c>
      <c r="G24">
        <v>10</v>
      </c>
      <c r="H24" t="s">
        <v>121</v>
      </c>
    </row>
    <row r="25" spans="1:8">
      <c r="A25">
        <v>42598</v>
      </c>
      <c r="B25" t="s">
        <v>122</v>
      </c>
      <c r="C25">
        <v>2006</v>
      </c>
      <c r="D25" t="s">
        <v>123</v>
      </c>
      <c r="E25" t="s">
        <v>50</v>
      </c>
      <c r="F25">
        <v>147</v>
      </c>
      <c r="G25">
        <v>3</v>
      </c>
      <c r="H25" t="s">
        <v>124</v>
      </c>
    </row>
    <row r="26" spans="1:8">
      <c r="A26">
        <v>68212</v>
      </c>
      <c r="B26" t="s">
        <v>125</v>
      </c>
      <c r="C26">
        <v>2012</v>
      </c>
      <c r="D26" t="s">
        <v>126</v>
      </c>
      <c r="E26" t="s">
        <v>73</v>
      </c>
      <c r="F26">
        <v>18</v>
      </c>
      <c r="G26">
        <v>1</v>
      </c>
      <c r="H26" t="s">
        <v>127</v>
      </c>
    </row>
    <row r="27" spans="1:8">
      <c r="A27">
        <v>70634</v>
      </c>
      <c r="B27" t="s">
        <v>128</v>
      </c>
      <c r="C27">
        <v>2012</v>
      </c>
      <c r="D27" t="s">
        <v>129</v>
      </c>
      <c r="E27" t="s">
        <v>73</v>
      </c>
      <c r="F27">
        <v>18</v>
      </c>
      <c r="G27">
        <v>7</v>
      </c>
      <c r="H27" t="s">
        <v>130</v>
      </c>
    </row>
    <row r="28" spans="1:8">
      <c r="A28">
        <v>54751</v>
      </c>
      <c r="B28" t="s">
        <v>131</v>
      </c>
      <c r="C28">
        <v>2009</v>
      </c>
      <c r="D28" t="s">
        <v>132</v>
      </c>
      <c r="E28" t="s">
        <v>73</v>
      </c>
      <c r="F28">
        <v>15</v>
      </c>
      <c r="G28">
        <v>11</v>
      </c>
      <c r="H28" t="s">
        <v>133</v>
      </c>
    </row>
    <row r="29" spans="1:8">
      <c r="A29">
        <v>78370</v>
      </c>
      <c r="B29" t="s">
        <v>134</v>
      </c>
      <c r="C29">
        <v>2014</v>
      </c>
      <c r="D29" t="s">
        <v>135</v>
      </c>
      <c r="E29" t="s">
        <v>50</v>
      </c>
      <c r="F29">
        <v>175</v>
      </c>
      <c r="G29">
        <v>1</v>
      </c>
      <c r="H29" t="s">
        <v>136</v>
      </c>
    </row>
    <row r="30" spans="1:8">
      <c r="A30">
        <v>39885</v>
      </c>
      <c r="B30" t="s">
        <v>137</v>
      </c>
      <c r="C30">
        <v>2005</v>
      </c>
      <c r="D30" t="s">
        <v>138</v>
      </c>
      <c r="E30" t="s">
        <v>139</v>
      </c>
      <c r="F30">
        <v>111</v>
      </c>
      <c r="G30">
        <v>2</v>
      </c>
      <c r="H30" t="s">
        <v>140</v>
      </c>
    </row>
    <row r="31" spans="1:8">
      <c r="A31">
        <v>60160</v>
      </c>
      <c r="B31" t="s">
        <v>141</v>
      </c>
      <c r="C31">
        <v>2010</v>
      </c>
      <c r="D31" t="s">
        <v>142</v>
      </c>
      <c r="E31" t="s">
        <v>143</v>
      </c>
      <c r="F31">
        <v>20</v>
      </c>
      <c r="G31">
        <v>6</v>
      </c>
      <c r="H31" t="s">
        <v>144</v>
      </c>
    </row>
    <row r="32" spans="1:8">
      <c r="A32">
        <v>41379</v>
      </c>
      <c r="B32" t="s">
        <v>145</v>
      </c>
      <c r="C32">
        <v>2005</v>
      </c>
      <c r="D32" t="s">
        <v>146</v>
      </c>
      <c r="E32" t="s">
        <v>105</v>
      </c>
      <c r="F32">
        <v>106</v>
      </c>
      <c r="G32">
        <v>1</v>
      </c>
      <c r="H32" t="s">
        <v>147</v>
      </c>
    </row>
    <row r="33" spans="1:8">
      <c r="A33">
        <v>62875</v>
      </c>
      <c r="B33" t="s">
        <v>148</v>
      </c>
      <c r="C33">
        <v>2011</v>
      </c>
      <c r="D33" t="s">
        <v>149</v>
      </c>
      <c r="E33" t="s">
        <v>62</v>
      </c>
      <c r="F33">
        <v>8</v>
      </c>
      <c r="G33">
        <v>2</v>
      </c>
      <c r="H33" t="s">
        <v>150</v>
      </c>
    </row>
    <row r="34" spans="1:8">
      <c r="A34">
        <v>38558</v>
      </c>
      <c r="B34" t="s">
        <v>151</v>
      </c>
      <c r="C34">
        <v>2005</v>
      </c>
      <c r="D34" t="s">
        <v>152</v>
      </c>
      <c r="E34" t="s">
        <v>27</v>
      </c>
      <c r="F34">
        <v>272</v>
      </c>
      <c r="G34">
        <v>1579</v>
      </c>
      <c r="H34" t="s">
        <v>153</v>
      </c>
    </row>
    <row r="35" spans="1:8">
      <c r="A35">
        <v>66304</v>
      </c>
      <c r="B35" t="s">
        <v>154</v>
      </c>
      <c r="C35">
        <v>2011</v>
      </c>
      <c r="D35" t="s">
        <v>155</v>
      </c>
      <c r="E35" t="s">
        <v>87</v>
      </c>
      <c r="F35">
        <v>70</v>
      </c>
      <c r="G35">
        <v>12</v>
      </c>
      <c r="H35" t="s">
        <v>156</v>
      </c>
    </row>
    <row r="36" spans="1:8">
      <c r="A36">
        <v>69595</v>
      </c>
      <c r="B36" t="s">
        <v>157</v>
      </c>
      <c r="C36">
        <v>2012</v>
      </c>
      <c r="D36" t="s">
        <v>158</v>
      </c>
      <c r="E36" t="s">
        <v>50</v>
      </c>
      <c r="F36">
        <v>170</v>
      </c>
      <c r="G36">
        <v>4</v>
      </c>
      <c r="H36" t="s">
        <v>159</v>
      </c>
    </row>
    <row r="37" spans="1:8">
      <c r="A37">
        <v>59629</v>
      </c>
      <c r="B37" t="s">
        <v>160</v>
      </c>
      <c r="C37">
        <v>2010</v>
      </c>
      <c r="D37" t="s">
        <v>161</v>
      </c>
      <c r="E37" t="s">
        <v>33</v>
      </c>
      <c r="F37">
        <v>143</v>
      </c>
      <c r="G37">
        <v>1</v>
      </c>
      <c r="H37" t="s">
        <v>162</v>
      </c>
    </row>
    <row r="38" spans="1:8">
      <c r="A38">
        <v>54543</v>
      </c>
      <c r="B38" t="s">
        <v>163</v>
      </c>
      <c r="C38">
        <v>2009</v>
      </c>
      <c r="D38" t="s">
        <v>164</v>
      </c>
      <c r="E38" t="s">
        <v>73</v>
      </c>
      <c r="F38">
        <v>15</v>
      </c>
      <c r="G38">
        <v>3</v>
      </c>
      <c r="H38" t="s">
        <v>165</v>
      </c>
    </row>
    <row r="39" spans="1:8">
      <c r="A39">
        <v>67885</v>
      </c>
      <c r="B39" t="s">
        <v>166</v>
      </c>
      <c r="C39">
        <v>2012</v>
      </c>
      <c r="D39" t="s">
        <v>167</v>
      </c>
      <c r="E39" t="s">
        <v>143</v>
      </c>
      <c r="F39">
        <v>22</v>
      </c>
      <c r="G39">
        <v>1</v>
      </c>
      <c r="H39" t="s">
        <v>168</v>
      </c>
    </row>
    <row r="40" spans="1:8">
      <c r="A40">
        <v>43978</v>
      </c>
      <c r="B40" t="s">
        <v>169</v>
      </c>
      <c r="C40">
        <v>2006</v>
      </c>
      <c r="D40" t="s">
        <v>170</v>
      </c>
      <c r="E40" t="s">
        <v>58</v>
      </c>
      <c r="F40">
        <v>17</v>
      </c>
      <c r="G40">
        <v>1</v>
      </c>
      <c r="H40" t="s">
        <v>171</v>
      </c>
    </row>
    <row r="41" spans="1:8">
      <c r="A41">
        <v>73940</v>
      </c>
      <c r="B41" t="s">
        <v>172</v>
      </c>
      <c r="C41">
        <v>2013</v>
      </c>
      <c r="D41" t="s">
        <v>173</v>
      </c>
      <c r="E41" t="s">
        <v>50</v>
      </c>
      <c r="F41">
        <v>172</v>
      </c>
      <c r="G41">
        <v>1</v>
      </c>
      <c r="H41" t="s">
        <v>140</v>
      </c>
    </row>
    <row r="42" spans="1:8">
      <c r="A42">
        <v>53548</v>
      </c>
      <c r="B42" t="s">
        <v>174</v>
      </c>
      <c r="C42">
        <v>2009</v>
      </c>
      <c r="D42" t="s">
        <v>175</v>
      </c>
      <c r="E42" t="s">
        <v>105</v>
      </c>
      <c r="F42">
        <v>129</v>
      </c>
      <c r="G42" t="s">
        <v>176</v>
      </c>
      <c r="H42" t="s">
        <v>177</v>
      </c>
    </row>
    <row r="43" spans="1:8">
      <c r="A43">
        <v>65559</v>
      </c>
      <c r="B43" t="s">
        <v>178</v>
      </c>
      <c r="C43">
        <v>2011</v>
      </c>
      <c r="D43" t="s">
        <v>179</v>
      </c>
      <c r="E43" t="s">
        <v>58</v>
      </c>
      <c r="F43">
        <v>22</v>
      </c>
      <c r="G43">
        <v>3</v>
      </c>
      <c r="H43" t="s">
        <v>180</v>
      </c>
    </row>
    <row r="44" spans="1:8">
      <c r="A44">
        <v>59643</v>
      </c>
      <c r="B44" t="s">
        <v>181</v>
      </c>
      <c r="C44">
        <v>2010</v>
      </c>
      <c r="D44" t="s">
        <v>182</v>
      </c>
      <c r="E44" t="s">
        <v>33</v>
      </c>
      <c r="F44">
        <v>143</v>
      </c>
      <c r="G44">
        <v>1</v>
      </c>
      <c r="H44" t="s">
        <v>183</v>
      </c>
    </row>
    <row r="45" spans="1:8">
      <c r="A45">
        <v>50651</v>
      </c>
      <c r="B45" t="s">
        <v>184</v>
      </c>
      <c r="C45">
        <v>2008</v>
      </c>
      <c r="D45" t="s">
        <v>185</v>
      </c>
      <c r="E45" t="s">
        <v>143</v>
      </c>
      <c r="F45">
        <v>18</v>
      </c>
      <c r="G45">
        <v>1</v>
      </c>
      <c r="H45" t="s">
        <v>186</v>
      </c>
    </row>
    <row r="46" spans="1:8">
      <c r="A46">
        <v>38755</v>
      </c>
      <c r="B46" t="s">
        <v>187</v>
      </c>
      <c r="C46">
        <v>2005</v>
      </c>
      <c r="D46" t="s">
        <v>188</v>
      </c>
      <c r="E46" t="s">
        <v>27</v>
      </c>
      <c r="F46">
        <v>272</v>
      </c>
      <c r="G46">
        <v>1575</v>
      </c>
      <c r="H46" t="s">
        <v>189</v>
      </c>
    </row>
    <row r="47" spans="1:8">
      <c r="A47">
        <v>77723</v>
      </c>
      <c r="B47" t="s">
        <v>190</v>
      </c>
      <c r="C47">
        <v>2014</v>
      </c>
      <c r="D47" t="s">
        <v>191</v>
      </c>
      <c r="E47" t="s">
        <v>27</v>
      </c>
      <c r="F47">
        <v>281</v>
      </c>
      <c r="G47">
        <v>1781</v>
      </c>
    </row>
    <row r="48" spans="1:8">
      <c r="A48">
        <v>49634</v>
      </c>
      <c r="B48" t="s">
        <v>192</v>
      </c>
      <c r="C48">
        <v>2008</v>
      </c>
      <c r="D48" t="s">
        <v>193</v>
      </c>
      <c r="E48" t="s">
        <v>73</v>
      </c>
      <c r="F48">
        <v>14</v>
      </c>
      <c r="G48">
        <v>7</v>
      </c>
      <c r="H48" t="s">
        <v>194</v>
      </c>
    </row>
    <row r="49" spans="1:8">
      <c r="A49">
        <v>55754</v>
      </c>
      <c r="B49" t="s">
        <v>195</v>
      </c>
      <c r="C49">
        <v>2009</v>
      </c>
      <c r="D49" t="s">
        <v>196</v>
      </c>
      <c r="E49" t="s">
        <v>27</v>
      </c>
      <c r="F49">
        <v>276</v>
      </c>
      <c r="G49">
        <v>1654</v>
      </c>
      <c r="H49" t="s">
        <v>197</v>
      </c>
    </row>
    <row r="50" spans="1:8">
      <c r="A50">
        <v>57152</v>
      </c>
      <c r="B50" t="s">
        <v>198</v>
      </c>
      <c r="C50">
        <v>2009</v>
      </c>
      <c r="D50" t="s">
        <v>199</v>
      </c>
      <c r="E50" t="s">
        <v>54</v>
      </c>
      <c r="F50">
        <v>97</v>
      </c>
      <c r="G50">
        <v>6</v>
      </c>
      <c r="H50" t="s">
        <v>200</v>
      </c>
    </row>
    <row r="51" spans="1:8">
      <c r="A51">
        <v>73385</v>
      </c>
      <c r="B51" t="s">
        <v>201</v>
      </c>
      <c r="C51">
        <v>2013</v>
      </c>
      <c r="D51" t="s">
        <v>202</v>
      </c>
      <c r="E51" t="s">
        <v>27</v>
      </c>
      <c r="F51">
        <v>280</v>
      </c>
      <c r="G51">
        <v>1762</v>
      </c>
    </row>
    <row r="52" spans="1:8">
      <c r="A52">
        <v>48893</v>
      </c>
      <c r="B52" t="s">
        <v>203</v>
      </c>
      <c r="C52">
        <v>2007</v>
      </c>
      <c r="D52" t="s">
        <v>204</v>
      </c>
      <c r="E52" t="s">
        <v>62</v>
      </c>
      <c r="F52">
        <v>4</v>
      </c>
      <c r="G52">
        <v>3</v>
      </c>
      <c r="H52" t="s">
        <v>205</v>
      </c>
    </row>
    <row r="53" spans="1:8">
      <c r="A53">
        <v>69555</v>
      </c>
      <c r="B53" t="s">
        <v>206</v>
      </c>
      <c r="C53">
        <v>2012</v>
      </c>
      <c r="D53" t="s">
        <v>207</v>
      </c>
      <c r="E53" t="s">
        <v>27</v>
      </c>
      <c r="F53">
        <v>279</v>
      </c>
      <c r="G53">
        <v>1749</v>
      </c>
      <c r="H53" t="s">
        <v>208</v>
      </c>
    </row>
    <row r="54" spans="1:8">
      <c r="A54">
        <v>68114</v>
      </c>
      <c r="B54" t="s">
        <v>209</v>
      </c>
      <c r="C54">
        <v>2012</v>
      </c>
      <c r="D54" t="s">
        <v>210</v>
      </c>
      <c r="E54" t="s">
        <v>73</v>
      </c>
      <c r="F54">
        <v>18</v>
      </c>
      <c r="G54">
        <v>1</v>
      </c>
      <c r="H54" s="8">
        <v>42069</v>
      </c>
    </row>
    <row r="55" spans="1:8">
      <c r="A55">
        <v>77523</v>
      </c>
      <c r="B55" t="s">
        <v>211</v>
      </c>
      <c r="C55">
        <v>2014</v>
      </c>
      <c r="D55" t="s">
        <v>212</v>
      </c>
      <c r="E55" t="s">
        <v>87</v>
      </c>
      <c r="F55">
        <v>102</v>
      </c>
      <c r="G55" t="s">
        <v>88</v>
      </c>
      <c r="H55" t="s">
        <v>213</v>
      </c>
    </row>
    <row r="56" spans="1:8">
      <c r="A56">
        <v>59045</v>
      </c>
      <c r="B56" t="s">
        <v>214</v>
      </c>
      <c r="C56">
        <v>2010</v>
      </c>
      <c r="D56" t="s">
        <v>215</v>
      </c>
      <c r="E56" t="s">
        <v>216</v>
      </c>
      <c r="F56">
        <v>6</v>
      </c>
      <c r="G56">
        <v>1</v>
      </c>
      <c r="H56" t="s">
        <v>217</v>
      </c>
    </row>
    <row r="57" spans="1:8">
      <c r="A57">
        <v>45754</v>
      </c>
      <c r="B57" t="s">
        <v>218</v>
      </c>
      <c r="C57">
        <v>2007</v>
      </c>
      <c r="D57" t="s">
        <v>219</v>
      </c>
      <c r="E57" t="s">
        <v>50</v>
      </c>
      <c r="F57">
        <v>153</v>
      </c>
      <c r="G57">
        <v>2</v>
      </c>
      <c r="H57" t="s">
        <v>220</v>
      </c>
    </row>
    <row r="58" spans="1:8">
      <c r="A58">
        <v>43799</v>
      </c>
      <c r="B58" t="s">
        <v>221</v>
      </c>
      <c r="C58">
        <v>2006</v>
      </c>
      <c r="D58" t="s">
        <v>222</v>
      </c>
      <c r="E58" t="s">
        <v>105</v>
      </c>
      <c r="F58">
        <v>113</v>
      </c>
      <c r="G58" t="s">
        <v>223</v>
      </c>
      <c r="H58" s="8">
        <v>42020</v>
      </c>
    </row>
    <row r="59" spans="1:8">
      <c r="A59">
        <v>50913</v>
      </c>
      <c r="B59" t="s">
        <v>224</v>
      </c>
      <c r="C59">
        <v>2008</v>
      </c>
      <c r="D59" t="s">
        <v>225</v>
      </c>
      <c r="E59" t="s">
        <v>139</v>
      </c>
      <c r="F59">
        <v>117</v>
      </c>
      <c r="G59">
        <v>9</v>
      </c>
      <c r="H59" t="s">
        <v>226</v>
      </c>
    </row>
    <row r="60" spans="1:8">
      <c r="A60">
        <v>42792</v>
      </c>
      <c r="B60" t="s">
        <v>227</v>
      </c>
      <c r="C60">
        <v>2006</v>
      </c>
      <c r="D60" t="s">
        <v>228</v>
      </c>
      <c r="E60" t="s">
        <v>229</v>
      </c>
      <c r="F60">
        <v>76</v>
      </c>
      <c r="G60">
        <v>1</v>
      </c>
      <c r="H60" t="s">
        <v>230</v>
      </c>
    </row>
    <row r="61" spans="1:8">
      <c r="A61">
        <v>54651</v>
      </c>
      <c r="B61" t="s">
        <v>231</v>
      </c>
      <c r="C61">
        <v>2009</v>
      </c>
      <c r="D61" t="s">
        <v>232</v>
      </c>
      <c r="E61" t="s">
        <v>139</v>
      </c>
      <c r="F61">
        <v>118</v>
      </c>
      <c r="G61">
        <v>12</v>
      </c>
      <c r="H61" t="s">
        <v>233</v>
      </c>
    </row>
    <row r="62" spans="1:8">
      <c r="A62">
        <v>69035</v>
      </c>
      <c r="B62" t="s">
        <v>234</v>
      </c>
      <c r="C62">
        <v>2012</v>
      </c>
      <c r="D62" t="s">
        <v>235</v>
      </c>
      <c r="E62" t="s">
        <v>73</v>
      </c>
      <c r="F62">
        <v>18</v>
      </c>
      <c r="G62">
        <v>9</v>
      </c>
      <c r="H62" t="s">
        <v>236</v>
      </c>
    </row>
    <row r="63" spans="1:8">
      <c r="A63">
        <v>40360</v>
      </c>
      <c r="B63" t="s">
        <v>237</v>
      </c>
      <c r="C63">
        <v>2005</v>
      </c>
      <c r="D63" t="s">
        <v>238</v>
      </c>
      <c r="E63" t="s">
        <v>33</v>
      </c>
      <c r="F63">
        <v>124</v>
      </c>
      <c r="G63">
        <v>1</v>
      </c>
      <c r="H63" t="s">
        <v>239</v>
      </c>
    </row>
    <row r="64" spans="1:8">
      <c r="A64">
        <v>46826</v>
      </c>
      <c r="B64" t="s">
        <v>240</v>
      </c>
      <c r="C64">
        <v>2007</v>
      </c>
      <c r="D64" t="s">
        <v>241</v>
      </c>
      <c r="E64" t="s">
        <v>54</v>
      </c>
      <c r="F64">
        <v>95</v>
      </c>
      <c r="G64">
        <v>2</v>
      </c>
      <c r="H64" t="s">
        <v>242</v>
      </c>
    </row>
    <row r="65" spans="1:8">
      <c r="A65">
        <v>45895</v>
      </c>
      <c r="B65" t="s">
        <v>243</v>
      </c>
      <c r="C65">
        <v>2007</v>
      </c>
      <c r="D65" t="s">
        <v>244</v>
      </c>
      <c r="E65" t="s">
        <v>50</v>
      </c>
      <c r="F65">
        <v>153</v>
      </c>
      <c r="G65">
        <v>3</v>
      </c>
      <c r="H65" t="s">
        <v>245</v>
      </c>
    </row>
    <row r="66" spans="1:8">
      <c r="A66">
        <v>55274</v>
      </c>
      <c r="B66" t="s">
        <v>246</v>
      </c>
      <c r="C66">
        <v>2009</v>
      </c>
      <c r="D66" t="s">
        <v>247</v>
      </c>
      <c r="E66" t="s">
        <v>58</v>
      </c>
      <c r="F66">
        <v>20</v>
      </c>
      <c r="G66">
        <v>1</v>
      </c>
      <c r="H66" t="s">
        <v>248</v>
      </c>
    </row>
    <row r="67" spans="1:8">
      <c r="A67">
        <v>64109</v>
      </c>
      <c r="B67" t="s">
        <v>249</v>
      </c>
      <c r="C67">
        <v>2011</v>
      </c>
      <c r="D67" t="s">
        <v>250</v>
      </c>
      <c r="E67" t="s">
        <v>251</v>
      </c>
      <c r="F67">
        <v>9</v>
      </c>
      <c r="G67">
        <v>8</v>
      </c>
      <c r="H67" t="s">
        <v>252</v>
      </c>
    </row>
    <row r="68" spans="1:8">
      <c r="A68">
        <v>45809</v>
      </c>
      <c r="B68" t="s">
        <v>253</v>
      </c>
      <c r="C68">
        <v>2007</v>
      </c>
      <c r="D68" t="s">
        <v>254</v>
      </c>
      <c r="E68" t="s">
        <v>139</v>
      </c>
      <c r="F68">
        <v>116</v>
      </c>
      <c r="G68">
        <v>5</v>
      </c>
      <c r="H68" t="s">
        <v>255</v>
      </c>
    </row>
    <row r="69" spans="1:8">
      <c r="A69">
        <v>77825</v>
      </c>
      <c r="B69" t="s">
        <v>256</v>
      </c>
      <c r="C69">
        <v>2014</v>
      </c>
      <c r="D69" t="s">
        <v>257</v>
      </c>
      <c r="E69" t="s">
        <v>83</v>
      </c>
      <c r="F69">
        <v>20</v>
      </c>
      <c r="G69">
        <v>2</v>
      </c>
      <c r="H69" t="s">
        <v>258</v>
      </c>
    </row>
    <row r="70" spans="1:8">
      <c r="A70">
        <v>75349</v>
      </c>
      <c r="B70" t="s">
        <v>259</v>
      </c>
      <c r="C70">
        <v>2013</v>
      </c>
      <c r="D70" t="s">
        <v>260</v>
      </c>
      <c r="E70" t="s">
        <v>251</v>
      </c>
      <c r="F70">
        <v>11</v>
      </c>
      <c r="G70">
        <v>8</v>
      </c>
      <c r="H70" t="s">
        <v>261</v>
      </c>
    </row>
    <row r="71" spans="1:8">
      <c r="A71">
        <v>36338</v>
      </c>
      <c r="B71" t="s">
        <v>262</v>
      </c>
      <c r="C71">
        <v>2004</v>
      </c>
      <c r="D71" t="s">
        <v>263</v>
      </c>
      <c r="E71" t="s">
        <v>33</v>
      </c>
      <c r="F71">
        <v>115</v>
      </c>
      <c r="G71">
        <v>3</v>
      </c>
      <c r="H71" t="s">
        <v>264</v>
      </c>
    </row>
    <row r="72" spans="1:8">
      <c r="A72">
        <v>42221</v>
      </c>
      <c r="B72" t="s">
        <v>265</v>
      </c>
      <c r="C72">
        <v>2006</v>
      </c>
      <c r="D72" t="s">
        <v>266</v>
      </c>
      <c r="E72" t="s">
        <v>251</v>
      </c>
      <c r="F72">
        <v>4</v>
      </c>
      <c r="G72">
        <v>4</v>
      </c>
      <c r="H72" t="s">
        <v>267</v>
      </c>
    </row>
    <row r="73" spans="1:8">
      <c r="A73">
        <v>75038</v>
      </c>
      <c r="B73" t="s">
        <v>268</v>
      </c>
      <c r="C73">
        <v>2013</v>
      </c>
      <c r="D73" t="s">
        <v>269</v>
      </c>
      <c r="E73" t="s">
        <v>83</v>
      </c>
      <c r="F73">
        <v>19</v>
      </c>
      <c r="G73">
        <v>8</v>
      </c>
      <c r="H73" t="s">
        <v>270</v>
      </c>
    </row>
    <row r="74" spans="1:8">
      <c r="A74">
        <v>75674</v>
      </c>
      <c r="B74" t="s">
        <v>271</v>
      </c>
      <c r="C74">
        <v>2013</v>
      </c>
      <c r="D74" t="s">
        <v>272</v>
      </c>
      <c r="E74" t="s">
        <v>73</v>
      </c>
      <c r="F74">
        <v>19</v>
      </c>
      <c r="G74">
        <v>10</v>
      </c>
      <c r="H74" t="s">
        <v>273</v>
      </c>
    </row>
    <row r="75" spans="1:8">
      <c r="A75">
        <v>39428</v>
      </c>
      <c r="B75" t="s">
        <v>274</v>
      </c>
      <c r="C75">
        <v>2005</v>
      </c>
      <c r="D75" t="s">
        <v>275</v>
      </c>
      <c r="E75" t="s">
        <v>139</v>
      </c>
      <c r="F75">
        <v>108</v>
      </c>
      <c r="G75">
        <v>2</v>
      </c>
      <c r="H75" t="s">
        <v>276</v>
      </c>
    </row>
    <row r="76" spans="1:8">
      <c r="A76">
        <v>64987</v>
      </c>
      <c r="B76" t="s">
        <v>277</v>
      </c>
      <c r="C76">
        <v>2011</v>
      </c>
      <c r="D76" t="s">
        <v>278</v>
      </c>
      <c r="E76" t="s">
        <v>108</v>
      </c>
      <c r="F76">
        <v>177</v>
      </c>
      <c r="G76">
        <v>4</v>
      </c>
      <c r="H76" t="s">
        <v>279</v>
      </c>
    </row>
    <row r="77" spans="1:8">
      <c r="A77">
        <v>67606</v>
      </c>
      <c r="B77" t="s">
        <v>280</v>
      </c>
      <c r="C77">
        <v>2012</v>
      </c>
      <c r="D77" t="s">
        <v>281</v>
      </c>
      <c r="E77" t="s">
        <v>27</v>
      </c>
      <c r="F77">
        <v>279</v>
      </c>
      <c r="G77">
        <v>1744</v>
      </c>
      <c r="H77" t="s">
        <v>282</v>
      </c>
    </row>
    <row r="78" spans="1:8">
      <c r="A78">
        <v>66250</v>
      </c>
      <c r="B78" t="s">
        <v>283</v>
      </c>
      <c r="C78">
        <v>2011</v>
      </c>
      <c r="D78" t="s">
        <v>284</v>
      </c>
      <c r="E78" t="s">
        <v>27</v>
      </c>
      <c r="F78">
        <v>278</v>
      </c>
      <c r="G78">
        <v>1709</v>
      </c>
      <c r="H78" t="s">
        <v>285</v>
      </c>
    </row>
    <row r="79" spans="1:8">
      <c r="A79">
        <v>37188</v>
      </c>
      <c r="B79" t="s">
        <v>286</v>
      </c>
      <c r="C79">
        <v>2004</v>
      </c>
      <c r="D79" t="s">
        <v>287</v>
      </c>
      <c r="E79" t="s">
        <v>87</v>
      </c>
      <c r="F79">
        <v>49</v>
      </c>
      <c r="G79">
        <v>1</v>
      </c>
      <c r="H79" t="s">
        <v>288</v>
      </c>
    </row>
    <row r="80" spans="1:8">
      <c r="A80">
        <v>78107</v>
      </c>
      <c r="B80" t="s">
        <v>289</v>
      </c>
      <c r="C80">
        <v>2014</v>
      </c>
      <c r="D80" t="s">
        <v>290</v>
      </c>
      <c r="E80" t="s">
        <v>50</v>
      </c>
      <c r="F80">
        <v>174</v>
      </c>
      <c r="G80">
        <v>4</v>
      </c>
      <c r="H80" t="s">
        <v>291</v>
      </c>
    </row>
    <row r="81" spans="1:8">
      <c r="A81">
        <v>49538</v>
      </c>
      <c r="B81" t="s">
        <v>292</v>
      </c>
      <c r="C81">
        <v>2008</v>
      </c>
      <c r="D81" t="s">
        <v>293</v>
      </c>
      <c r="E81" t="s">
        <v>294</v>
      </c>
      <c r="F81">
        <v>22</v>
      </c>
      <c r="G81">
        <v>6</v>
      </c>
      <c r="H81" t="s">
        <v>295</v>
      </c>
    </row>
    <row r="82" spans="1:8">
      <c r="A82">
        <v>62676</v>
      </c>
      <c r="B82" t="s">
        <v>296</v>
      </c>
      <c r="C82">
        <v>2011</v>
      </c>
      <c r="D82" t="s">
        <v>297</v>
      </c>
      <c r="E82" t="s">
        <v>87</v>
      </c>
      <c r="F82">
        <v>72</v>
      </c>
      <c r="G82" t="s">
        <v>88</v>
      </c>
      <c r="H82" t="s">
        <v>298</v>
      </c>
    </row>
    <row r="83" spans="1:8">
      <c r="A83">
        <v>57858</v>
      </c>
      <c r="B83" t="s">
        <v>299</v>
      </c>
      <c r="C83">
        <v>2010</v>
      </c>
      <c r="D83" t="s">
        <v>300</v>
      </c>
      <c r="E83" t="s">
        <v>58</v>
      </c>
      <c r="F83">
        <v>21</v>
      </c>
      <c r="G83">
        <v>2</v>
      </c>
      <c r="H83" t="s">
        <v>301</v>
      </c>
    </row>
    <row r="84" spans="1:8">
      <c r="A84">
        <v>71498</v>
      </c>
      <c r="B84" t="s">
        <v>302</v>
      </c>
      <c r="C84">
        <v>2013</v>
      </c>
      <c r="D84" t="s">
        <v>303</v>
      </c>
      <c r="E84" t="s">
        <v>304</v>
      </c>
      <c r="F84">
        <v>22</v>
      </c>
      <c r="G84">
        <v>8</v>
      </c>
      <c r="H84" t="s">
        <v>305</v>
      </c>
    </row>
    <row r="85" spans="1:8">
      <c r="A85">
        <v>37493</v>
      </c>
      <c r="B85" t="s">
        <v>306</v>
      </c>
      <c r="C85">
        <v>2004</v>
      </c>
      <c r="D85" t="s">
        <v>307</v>
      </c>
      <c r="E85" t="s">
        <v>27</v>
      </c>
      <c r="F85">
        <v>271</v>
      </c>
      <c r="G85">
        <v>1546</v>
      </c>
      <c r="H85" t="s">
        <v>308</v>
      </c>
    </row>
    <row r="86" spans="1:8">
      <c r="A86">
        <v>42690</v>
      </c>
      <c r="B86" t="s">
        <v>309</v>
      </c>
      <c r="C86">
        <v>2006</v>
      </c>
      <c r="D86" t="s">
        <v>310</v>
      </c>
      <c r="E86" t="s">
        <v>108</v>
      </c>
      <c r="F86">
        <v>167</v>
      </c>
      <c r="G86">
        <v>1</v>
      </c>
      <c r="H86" t="s">
        <v>311</v>
      </c>
    </row>
    <row r="87" spans="1:8">
      <c r="A87">
        <v>70560</v>
      </c>
      <c r="B87" t="s">
        <v>312</v>
      </c>
      <c r="C87">
        <v>2012</v>
      </c>
      <c r="D87" t="s">
        <v>313</v>
      </c>
      <c r="E87" t="s">
        <v>27</v>
      </c>
      <c r="F87">
        <v>279</v>
      </c>
      <c r="G87">
        <v>1736</v>
      </c>
      <c r="H87" t="s">
        <v>314</v>
      </c>
    </row>
    <row r="88" spans="1:8">
      <c r="A88">
        <v>44824</v>
      </c>
      <c r="B88" t="s">
        <v>315</v>
      </c>
      <c r="C88">
        <v>2006</v>
      </c>
      <c r="D88" t="s">
        <v>316</v>
      </c>
      <c r="E88" t="s">
        <v>317</v>
      </c>
      <c r="F88">
        <v>21</v>
      </c>
      <c r="G88">
        <v>5</v>
      </c>
      <c r="H88" t="s">
        <v>318</v>
      </c>
    </row>
    <row r="89" spans="1:8">
      <c r="A89">
        <v>47607</v>
      </c>
      <c r="B89" t="s">
        <v>319</v>
      </c>
      <c r="C89">
        <v>2007</v>
      </c>
      <c r="D89" t="s">
        <v>320</v>
      </c>
      <c r="E89" t="s">
        <v>69</v>
      </c>
      <c r="F89">
        <v>10</v>
      </c>
      <c r="G89">
        <v>1</v>
      </c>
      <c r="H89" t="s">
        <v>321</v>
      </c>
    </row>
    <row r="90" spans="1:8">
      <c r="A90">
        <v>46829</v>
      </c>
      <c r="B90" t="s">
        <v>322</v>
      </c>
      <c r="C90">
        <v>2007</v>
      </c>
      <c r="D90" t="s">
        <v>323</v>
      </c>
      <c r="E90" t="s">
        <v>105</v>
      </c>
      <c r="F90">
        <v>120</v>
      </c>
      <c r="G90" t="s">
        <v>324</v>
      </c>
      <c r="H90" t="s">
        <v>325</v>
      </c>
    </row>
    <row r="91" spans="1:8">
      <c r="A91">
        <v>53546</v>
      </c>
      <c r="B91" t="s">
        <v>326</v>
      </c>
      <c r="C91">
        <v>2009</v>
      </c>
      <c r="D91" t="s">
        <v>327</v>
      </c>
      <c r="E91" t="s">
        <v>105</v>
      </c>
      <c r="F91">
        <v>131</v>
      </c>
      <c r="G91" t="s">
        <v>328</v>
      </c>
      <c r="H91" t="s">
        <v>329</v>
      </c>
    </row>
    <row r="92" spans="1:8">
      <c r="A92">
        <v>72914</v>
      </c>
      <c r="B92" t="s">
        <v>330</v>
      </c>
      <c r="C92">
        <v>2013</v>
      </c>
      <c r="D92" t="s">
        <v>331</v>
      </c>
      <c r="E92" t="s">
        <v>27</v>
      </c>
      <c r="F92">
        <v>280</v>
      </c>
      <c r="G92">
        <v>1750</v>
      </c>
    </row>
    <row r="93" spans="1:8">
      <c r="A93">
        <v>61521</v>
      </c>
      <c r="B93" t="s">
        <v>332</v>
      </c>
      <c r="C93">
        <v>2010</v>
      </c>
      <c r="D93" t="s">
        <v>333</v>
      </c>
      <c r="E93" t="s">
        <v>251</v>
      </c>
      <c r="F93">
        <v>8</v>
      </c>
      <c r="G93">
        <v>10</v>
      </c>
      <c r="H93" t="s">
        <v>334</v>
      </c>
    </row>
    <row r="94" spans="1:8">
      <c r="A94">
        <v>68650</v>
      </c>
      <c r="B94" t="s">
        <v>335</v>
      </c>
      <c r="C94">
        <v>2012</v>
      </c>
      <c r="D94" t="s">
        <v>336</v>
      </c>
      <c r="E94" t="s">
        <v>216</v>
      </c>
      <c r="F94">
        <v>8</v>
      </c>
      <c r="G94">
        <v>5</v>
      </c>
      <c r="H94" t="s">
        <v>337</v>
      </c>
    </row>
    <row r="95" spans="1:8">
      <c r="A95">
        <v>35702</v>
      </c>
      <c r="B95" t="s">
        <v>338</v>
      </c>
      <c r="C95">
        <v>2004</v>
      </c>
      <c r="D95" t="s">
        <v>339</v>
      </c>
      <c r="E95" t="s">
        <v>139</v>
      </c>
      <c r="F95">
        <v>104</v>
      </c>
      <c r="G95">
        <v>3</v>
      </c>
      <c r="H95" t="s">
        <v>340</v>
      </c>
    </row>
    <row r="96" spans="1:8">
      <c r="A96">
        <v>64124</v>
      </c>
      <c r="B96" t="s">
        <v>341</v>
      </c>
      <c r="C96">
        <v>2011</v>
      </c>
      <c r="D96" t="s">
        <v>342</v>
      </c>
      <c r="E96" t="s">
        <v>87</v>
      </c>
      <c r="F96">
        <v>70</v>
      </c>
      <c r="G96">
        <v>9</v>
      </c>
      <c r="H96" t="s">
        <v>343</v>
      </c>
    </row>
    <row r="97" spans="1:8">
      <c r="A97">
        <v>51742</v>
      </c>
      <c r="B97" t="s">
        <v>344</v>
      </c>
      <c r="C97">
        <v>2008</v>
      </c>
      <c r="D97" t="s">
        <v>345</v>
      </c>
      <c r="E97" t="s">
        <v>58</v>
      </c>
      <c r="F97">
        <v>19</v>
      </c>
      <c r="G97">
        <v>6</v>
      </c>
      <c r="H97" t="s">
        <v>346</v>
      </c>
    </row>
    <row r="98" spans="1:8">
      <c r="A98">
        <v>53367</v>
      </c>
      <c r="B98" t="s">
        <v>347</v>
      </c>
      <c r="C98">
        <v>2009</v>
      </c>
      <c r="D98" t="s">
        <v>348</v>
      </c>
      <c r="E98" t="s">
        <v>27</v>
      </c>
      <c r="F98">
        <v>276</v>
      </c>
      <c r="G98">
        <v>1657</v>
      </c>
      <c r="H98" t="s">
        <v>349</v>
      </c>
    </row>
    <row r="99" spans="1:8">
      <c r="A99">
        <v>61728</v>
      </c>
      <c r="B99" t="s">
        <v>350</v>
      </c>
      <c r="C99">
        <v>2010</v>
      </c>
      <c r="D99" t="s">
        <v>351</v>
      </c>
      <c r="E99" t="s">
        <v>73</v>
      </c>
      <c r="F99">
        <v>16</v>
      </c>
      <c r="G99">
        <v>2</v>
      </c>
      <c r="H99" t="s">
        <v>352</v>
      </c>
    </row>
    <row r="100" spans="1:8">
      <c r="A100">
        <v>71761</v>
      </c>
      <c r="B100" t="s">
        <v>353</v>
      </c>
      <c r="C100">
        <v>2013</v>
      </c>
      <c r="D100" t="s">
        <v>354</v>
      </c>
      <c r="E100" t="s">
        <v>50</v>
      </c>
      <c r="F100">
        <v>171</v>
      </c>
      <c r="G100">
        <v>2</v>
      </c>
      <c r="H100" t="s">
        <v>355</v>
      </c>
    </row>
    <row r="101" spans="1:8">
      <c r="A101">
        <v>47572</v>
      </c>
      <c r="B101" t="s">
        <v>356</v>
      </c>
      <c r="C101">
        <v>2007</v>
      </c>
      <c r="D101" t="s">
        <v>357</v>
      </c>
      <c r="E101" t="s">
        <v>27</v>
      </c>
      <c r="F101">
        <v>274</v>
      </c>
      <c r="G101">
        <v>1612</v>
      </c>
      <c r="H101" t="s">
        <v>358</v>
      </c>
    </row>
    <row r="102" spans="1:8">
      <c r="A102">
        <v>67898</v>
      </c>
      <c r="B102" t="s">
        <v>359</v>
      </c>
      <c r="C102">
        <v>2012</v>
      </c>
      <c r="D102" t="s">
        <v>360</v>
      </c>
      <c r="E102" t="s">
        <v>62</v>
      </c>
      <c r="F102">
        <v>9</v>
      </c>
      <c r="G102">
        <v>11</v>
      </c>
      <c r="H102" t="s">
        <v>361</v>
      </c>
    </row>
    <row r="103" spans="1:8">
      <c r="A103">
        <v>49497</v>
      </c>
      <c r="B103" t="s">
        <v>362</v>
      </c>
      <c r="C103">
        <v>2008</v>
      </c>
      <c r="D103" t="s">
        <v>363</v>
      </c>
      <c r="E103" t="s">
        <v>50</v>
      </c>
      <c r="F103">
        <v>156</v>
      </c>
      <c r="G103">
        <v>3</v>
      </c>
      <c r="H103" t="s">
        <v>364</v>
      </c>
    </row>
    <row r="104" spans="1:8">
      <c r="A104">
        <v>70085</v>
      </c>
      <c r="B104" t="s">
        <v>365</v>
      </c>
      <c r="C104">
        <v>2012</v>
      </c>
      <c r="D104" t="s">
        <v>366</v>
      </c>
      <c r="E104" t="s">
        <v>251</v>
      </c>
      <c r="F104">
        <v>10</v>
      </c>
      <c r="G104">
        <v>5</v>
      </c>
      <c r="H104" t="s">
        <v>367</v>
      </c>
    </row>
    <row r="105" spans="1:8">
      <c r="A105">
        <v>34825</v>
      </c>
      <c r="B105" t="s">
        <v>368</v>
      </c>
      <c r="C105">
        <v>2004</v>
      </c>
      <c r="D105" t="s">
        <v>369</v>
      </c>
      <c r="E105" t="s">
        <v>294</v>
      </c>
      <c r="F105">
        <v>18</v>
      </c>
      <c r="G105">
        <v>6</v>
      </c>
      <c r="H105" t="s">
        <v>370</v>
      </c>
    </row>
    <row r="106" spans="1:8">
      <c r="A106">
        <v>51069</v>
      </c>
      <c r="B106" t="s">
        <v>371</v>
      </c>
      <c r="C106">
        <v>2008</v>
      </c>
      <c r="D106" t="s">
        <v>372</v>
      </c>
      <c r="E106" t="s">
        <v>105</v>
      </c>
      <c r="F106">
        <v>127</v>
      </c>
      <c r="G106" t="s">
        <v>373</v>
      </c>
      <c r="H106" t="s">
        <v>374</v>
      </c>
    </row>
    <row r="107" spans="1:8">
      <c r="A107">
        <v>52014</v>
      </c>
      <c r="B107" t="s">
        <v>375</v>
      </c>
      <c r="C107">
        <v>2008</v>
      </c>
      <c r="D107" t="s">
        <v>376</v>
      </c>
      <c r="E107" t="s">
        <v>304</v>
      </c>
      <c r="F107">
        <v>17</v>
      </c>
      <c r="G107">
        <v>4</v>
      </c>
      <c r="H107" t="s">
        <v>377</v>
      </c>
    </row>
    <row r="108" spans="1:8">
      <c r="A108">
        <v>47430</v>
      </c>
      <c r="B108" t="s">
        <v>378</v>
      </c>
      <c r="C108">
        <v>2007</v>
      </c>
      <c r="D108" t="s">
        <v>379</v>
      </c>
      <c r="E108" t="s">
        <v>139</v>
      </c>
      <c r="F108">
        <v>116</v>
      </c>
      <c r="G108">
        <v>2</v>
      </c>
      <c r="H108" t="s">
        <v>380</v>
      </c>
    </row>
    <row r="109" spans="1:8">
      <c r="A109">
        <v>43682</v>
      </c>
      <c r="B109" t="s">
        <v>381</v>
      </c>
      <c r="C109">
        <v>2006</v>
      </c>
      <c r="D109" t="s">
        <v>382</v>
      </c>
      <c r="E109" t="s">
        <v>27</v>
      </c>
      <c r="F109">
        <v>273</v>
      </c>
      <c r="G109">
        <v>1598</v>
      </c>
      <c r="H109" t="s">
        <v>383</v>
      </c>
    </row>
    <row r="110" spans="1:8">
      <c r="A110">
        <v>50327</v>
      </c>
      <c r="B110" t="s">
        <v>384</v>
      </c>
      <c r="C110">
        <v>2008</v>
      </c>
      <c r="D110" t="s">
        <v>385</v>
      </c>
      <c r="E110" t="s">
        <v>386</v>
      </c>
      <c r="F110">
        <v>11</v>
      </c>
      <c r="G110">
        <v>8</v>
      </c>
      <c r="H110" t="s">
        <v>387</v>
      </c>
    </row>
    <row r="111" spans="1:8">
      <c r="A111">
        <v>55700</v>
      </c>
      <c r="B111" t="s">
        <v>388</v>
      </c>
      <c r="C111">
        <v>2009</v>
      </c>
      <c r="D111" t="s">
        <v>389</v>
      </c>
      <c r="E111" t="s">
        <v>386</v>
      </c>
      <c r="F111">
        <v>12</v>
      </c>
      <c r="G111">
        <v>4</v>
      </c>
      <c r="H111" t="s">
        <v>390</v>
      </c>
    </row>
    <row r="112" spans="1:8">
      <c r="A112">
        <v>63816</v>
      </c>
      <c r="B112" t="s">
        <v>391</v>
      </c>
      <c r="C112">
        <v>2011</v>
      </c>
      <c r="D112" t="s">
        <v>392</v>
      </c>
      <c r="E112" t="s">
        <v>69</v>
      </c>
      <c r="F112">
        <v>14</v>
      </c>
      <c r="G112">
        <v>4</v>
      </c>
      <c r="H112" t="s">
        <v>393</v>
      </c>
    </row>
    <row r="113" spans="1:8">
      <c r="A113">
        <v>53113</v>
      </c>
      <c r="B113" t="s">
        <v>394</v>
      </c>
      <c r="C113">
        <v>2008</v>
      </c>
      <c r="D113" t="s">
        <v>395</v>
      </c>
      <c r="E113" t="s">
        <v>87</v>
      </c>
      <c r="F113">
        <v>67</v>
      </c>
      <c r="G113">
        <v>3</v>
      </c>
      <c r="H113" t="s">
        <v>396</v>
      </c>
    </row>
    <row r="114" spans="1:8">
      <c r="A114">
        <v>43429</v>
      </c>
      <c r="B114" t="s">
        <v>397</v>
      </c>
      <c r="C114">
        <v>2006</v>
      </c>
      <c r="D114" t="s">
        <v>398</v>
      </c>
      <c r="E114" t="s">
        <v>33</v>
      </c>
      <c r="F114">
        <v>131</v>
      </c>
      <c r="G114">
        <v>1</v>
      </c>
      <c r="H114" t="s">
        <v>399</v>
      </c>
    </row>
    <row r="115" spans="1:8">
      <c r="A115">
        <v>69578</v>
      </c>
      <c r="B115" t="s">
        <v>400</v>
      </c>
      <c r="C115">
        <v>2012</v>
      </c>
      <c r="D115" t="s">
        <v>401</v>
      </c>
      <c r="E115" t="s">
        <v>386</v>
      </c>
      <c r="F115">
        <v>15</v>
      </c>
      <c r="G115">
        <v>6</v>
      </c>
      <c r="H115" t="s">
        <v>402</v>
      </c>
    </row>
    <row r="116" spans="1:8">
      <c r="A116">
        <v>74247</v>
      </c>
      <c r="B116" t="s">
        <v>403</v>
      </c>
      <c r="C116">
        <v>2013</v>
      </c>
      <c r="D116" t="s">
        <v>404</v>
      </c>
      <c r="E116" t="s">
        <v>62</v>
      </c>
      <c r="F116">
        <v>10</v>
      </c>
      <c r="G116">
        <v>6</v>
      </c>
      <c r="H116" t="s">
        <v>405</v>
      </c>
    </row>
    <row r="117" spans="1:8">
      <c r="A117">
        <v>40877</v>
      </c>
      <c r="B117" t="s">
        <v>406</v>
      </c>
      <c r="C117">
        <v>2005</v>
      </c>
      <c r="D117" t="s">
        <v>407</v>
      </c>
      <c r="E117" t="s">
        <v>251</v>
      </c>
      <c r="F117">
        <v>3</v>
      </c>
      <c r="G117">
        <v>3</v>
      </c>
      <c r="H117" t="s">
        <v>408</v>
      </c>
    </row>
    <row r="118" spans="1:8">
      <c r="A118">
        <v>77234</v>
      </c>
      <c r="B118" t="s">
        <v>409</v>
      </c>
      <c r="C118">
        <v>2014</v>
      </c>
      <c r="D118" t="s">
        <v>410</v>
      </c>
      <c r="E118" t="s">
        <v>108</v>
      </c>
      <c r="F118">
        <v>183</v>
      </c>
      <c r="G118">
        <v>6</v>
      </c>
      <c r="H118" t="s">
        <v>411</v>
      </c>
    </row>
    <row r="119" spans="1:8">
      <c r="A119">
        <v>74787</v>
      </c>
      <c r="B119" t="s">
        <v>412</v>
      </c>
      <c r="C119">
        <v>2013</v>
      </c>
      <c r="D119" t="s">
        <v>413</v>
      </c>
      <c r="E119" t="s">
        <v>27</v>
      </c>
      <c r="F119">
        <v>280</v>
      </c>
      <c r="G119">
        <v>1768</v>
      </c>
    </row>
    <row r="120" spans="1:8">
      <c r="A120">
        <v>36859</v>
      </c>
      <c r="B120" t="s">
        <v>414</v>
      </c>
      <c r="C120">
        <v>2004</v>
      </c>
      <c r="D120" t="s">
        <v>415</v>
      </c>
      <c r="E120" t="s">
        <v>251</v>
      </c>
      <c r="F120">
        <v>2</v>
      </c>
      <c r="G120">
        <v>1</v>
      </c>
      <c r="H120" t="s">
        <v>416</v>
      </c>
    </row>
    <row r="121" spans="1:8">
      <c r="A121">
        <v>77165</v>
      </c>
      <c r="B121" t="s">
        <v>417</v>
      </c>
      <c r="C121">
        <v>2014</v>
      </c>
      <c r="D121" t="s">
        <v>418</v>
      </c>
      <c r="E121" t="s">
        <v>33</v>
      </c>
      <c r="F121">
        <v>173</v>
      </c>
      <c r="G121" t="s">
        <v>88</v>
      </c>
      <c r="H121" t="s">
        <v>419</v>
      </c>
    </row>
    <row r="122" spans="1:8">
      <c r="A122">
        <v>39967</v>
      </c>
      <c r="B122" t="s">
        <v>420</v>
      </c>
      <c r="C122">
        <v>2005</v>
      </c>
      <c r="D122" t="s">
        <v>421</v>
      </c>
      <c r="E122" t="s">
        <v>139</v>
      </c>
      <c r="F122">
        <v>108</v>
      </c>
      <c r="G122">
        <v>3</v>
      </c>
      <c r="H122" t="s">
        <v>422</v>
      </c>
    </row>
    <row r="123" spans="1:8">
      <c r="A123">
        <v>74068</v>
      </c>
      <c r="B123" t="s">
        <v>423</v>
      </c>
      <c r="C123">
        <v>2013</v>
      </c>
      <c r="D123" t="s">
        <v>424</v>
      </c>
      <c r="E123" t="s">
        <v>58</v>
      </c>
      <c r="F123">
        <v>24</v>
      </c>
      <c r="G123">
        <v>3</v>
      </c>
      <c r="H123" t="s">
        <v>425</v>
      </c>
    </row>
    <row r="124" spans="1:8">
      <c r="A124">
        <v>55456</v>
      </c>
      <c r="B124" t="s">
        <v>426</v>
      </c>
      <c r="C124">
        <v>2009</v>
      </c>
      <c r="D124" t="s">
        <v>427</v>
      </c>
      <c r="E124" t="s">
        <v>428</v>
      </c>
      <c r="F124">
        <v>41</v>
      </c>
      <c r="G124" t="s">
        <v>88</v>
      </c>
      <c r="H124" t="s">
        <v>429</v>
      </c>
    </row>
    <row r="125" spans="1:8">
      <c r="A125">
        <v>48680</v>
      </c>
      <c r="B125" t="s">
        <v>430</v>
      </c>
      <c r="C125">
        <v>2007</v>
      </c>
      <c r="D125" t="s">
        <v>431</v>
      </c>
      <c r="E125" t="s">
        <v>33</v>
      </c>
      <c r="F125">
        <v>137</v>
      </c>
      <c r="G125">
        <v>4</v>
      </c>
      <c r="H125" t="s">
        <v>432</v>
      </c>
    </row>
    <row r="126" spans="1:8">
      <c r="A126">
        <v>35416</v>
      </c>
      <c r="B126" t="s">
        <v>433</v>
      </c>
      <c r="C126">
        <v>2004</v>
      </c>
      <c r="D126" t="s">
        <v>434</v>
      </c>
      <c r="E126" t="s">
        <v>139</v>
      </c>
      <c r="F126">
        <v>105</v>
      </c>
      <c r="G126">
        <v>2</v>
      </c>
      <c r="H126" t="s">
        <v>435</v>
      </c>
    </row>
    <row r="127" spans="1:8">
      <c r="A127">
        <v>70995</v>
      </c>
      <c r="B127" t="s">
        <v>436</v>
      </c>
      <c r="C127">
        <v>2012</v>
      </c>
      <c r="D127" t="s">
        <v>437</v>
      </c>
      <c r="E127" t="s">
        <v>54</v>
      </c>
      <c r="F127">
        <v>100</v>
      </c>
      <c r="G127">
        <v>6</v>
      </c>
      <c r="H127" t="s">
        <v>438</v>
      </c>
    </row>
    <row r="128" spans="1:8">
      <c r="A128">
        <v>56625</v>
      </c>
      <c r="B128" t="s">
        <v>439</v>
      </c>
      <c r="C128">
        <v>2009</v>
      </c>
      <c r="D128" t="s">
        <v>440</v>
      </c>
      <c r="E128" t="s">
        <v>27</v>
      </c>
      <c r="F128">
        <v>276</v>
      </c>
      <c r="G128">
        <v>1654</v>
      </c>
      <c r="H128" t="s">
        <v>441</v>
      </c>
    </row>
    <row r="129" spans="1:8">
      <c r="A129">
        <v>65747</v>
      </c>
      <c r="B129" t="s">
        <v>442</v>
      </c>
      <c r="C129">
        <v>2011</v>
      </c>
      <c r="D129" t="s">
        <v>443</v>
      </c>
      <c r="E129" t="s">
        <v>33</v>
      </c>
      <c r="F129">
        <v>144</v>
      </c>
      <c r="G129">
        <v>7</v>
      </c>
      <c r="H129" t="s">
        <v>444</v>
      </c>
    </row>
    <row r="130" spans="1:8">
      <c r="A130">
        <v>73029</v>
      </c>
      <c r="B130" t="s">
        <v>445</v>
      </c>
      <c r="C130">
        <v>2013</v>
      </c>
      <c r="D130" t="s">
        <v>446</v>
      </c>
      <c r="E130" t="s">
        <v>33</v>
      </c>
      <c r="F130">
        <v>160</v>
      </c>
      <c r="G130" t="s">
        <v>88</v>
      </c>
      <c r="H130" t="s">
        <v>447</v>
      </c>
    </row>
    <row r="131" spans="1:8">
      <c r="A131">
        <v>76759</v>
      </c>
      <c r="B131" t="s">
        <v>448</v>
      </c>
      <c r="C131">
        <v>2014</v>
      </c>
      <c r="D131" t="s">
        <v>449</v>
      </c>
      <c r="E131" t="s">
        <v>105</v>
      </c>
      <c r="F131">
        <v>188</v>
      </c>
      <c r="G131" t="s">
        <v>88</v>
      </c>
      <c r="H131" t="s">
        <v>450</v>
      </c>
    </row>
    <row r="132" spans="1:8">
      <c r="A132">
        <v>34582</v>
      </c>
      <c r="B132" t="s">
        <v>451</v>
      </c>
      <c r="C132">
        <v>2004</v>
      </c>
      <c r="D132" t="s">
        <v>452</v>
      </c>
      <c r="E132" t="s">
        <v>27</v>
      </c>
      <c r="F132">
        <v>271</v>
      </c>
      <c r="G132">
        <v>1539</v>
      </c>
      <c r="H132" t="s">
        <v>453</v>
      </c>
    </row>
    <row r="133" spans="1:8">
      <c r="A133">
        <v>76710</v>
      </c>
      <c r="B133" t="s">
        <v>454</v>
      </c>
      <c r="C133">
        <v>2014</v>
      </c>
      <c r="D133" t="s">
        <v>455</v>
      </c>
      <c r="E133" t="s">
        <v>105</v>
      </c>
      <c r="F133">
        <v>188</v>
      </c>
      <c r="G133" t="s">
        <v>88</v>
      </c>
      <c r="H133" t="s">
        <v>456</v>
      </c>
    </row>
    <row r="134" spans="1:8">
      <c r="A134">
        <v>36405</v>
      </c>
      <c r="B134" t="s">
        <v>457</v>
      </c>
      <c r="C134">
        <v>2004</v>
      </c>
      <c r="D134" t="s">
        <v>458</v>
      </c>
      <c r="E134" t="s">
        <v>304</v>
      </c>
      <c r="F134">
        <v>13</v>
      </c>
      <c r="G134">
        <v>5</v>
      </c>
      <c r="H134" t="s">
        <v>459</v>
      </c>
    </row>
    <row r="135" spans="1:8">
      <c r="A135">
        <v>62510</v>
      </c>
      <c r="B135" t="s">
        <v>460</v>
      </c>
      <c r="C135">
        <v>2011</v>
      </c>
      <c r="D135" t="s">
        <v>461</v>
      </c>
      <c r="E135" t="s">
        <v>108</v>
      </c>
      <c r="F135">
        <v>177</v>
      </c>
      <c r="G135">
        <v>4</v>
      </c>
      <c r="H135" t="s">
        <v>462</v>
      </c>
    </row>
    <row r="136" spans="1:8">
      <c r="A136">
        <v>54809</v>
      </c>
      <c r="B136" t="s">
        <v>463</v>
      </c>
      <c r="C136">
        <v>2009</v>
      </c>
      <c r="D136" t="s">
        <v>464</v>
      </c>
      <c r="E136" t="s">
        <v>108</v>
      </c>
      <c r="F136">
        <v>174</v>
      </c>
      <c r="G136">
        <v>3</v>
      </c>
      <c r="H136" t="s">
        <v>465</v>
      </c>
    </row>
    <row r="137" spans="1:8">
      <c r="A137">
        <v>51837</v>
      </c>
      <c r="B137" t="s">
        <v>466</v>
      </c>
      <c r="C137">
        <v>2008</v>
      </c>
      <c r="D137" t="s">
        <v>467</v>
      </c>
      <c r="E137" t="s">
        <v>69</v>
      </c>
      <c r="F137">
        <v>11</v>
      </c>
      <c r="G137">
        <v>4</v>
      </c>
      <c r="H137" t="s">
        <v>468</v>
      </c>
    </row>
    <row r="138" spans="1:8">
      <c r="A138">
        <v>66340</v>
      </c>
      <c r="B138" t="s">
        <v>469</v>
      </c>
      <c r="C138">
        <v>2011</v>
      </c>
      <c r="D138" t="s">
        <v>470</v>
      </c>
      <c r="E138" t="s">
        <v>33</v>
      </c>
      <c r="F138">
        <v>144</v>
      </c>
      <c r="G138">
        <v>12</v>
      </c>
      <c r="H138" t="s">
        <v>471</v>
      </c>
    </row>
    <row r="139" spans="1:8">
      <c r="A139">
        <v>34608</v>
      </c>
      <c r="B139" t="s">
        <v>472</v>
      </c>
      <c r="C139">
        <v>2004</v>
      </c>
      <c r="D139" t="s">
        <v>473</v>
      </c>
      <c r="E139" t="s">
        <v>105</v>
      </c>
      <c r="F139">
        <v>104</v>
      </c>
      <c r="G139">
        <v>3</v>
      </c>
      <c r="H139" t="s">
        <v>474</v>
      </c>
    </row>
    <row r="140" spans="1:8">
      <c r="A140">
        <v>43088</v>
      </c>
      <c r="B140" t="s">
        <v>475</v>
      </c>
      <c r="C140">
        <v>2006</v>
      </c>
      <c r="D140" t="s">
        <v>476</v>
      </c>
      <c r="E140" t="s">
        <v>251</v>
      </c>
      <c r="F140">
        <v>4</v>
      </c>
      <c r="G140">
        <v>2</v>
      </c>
      <c r="H140" t="s">
        <v>477</v>
      </c>
    </row>
    <row r="141" spans="1:8">
      <c r="A141">
        <v>35192</v>
      </c>
      <c r="B141" t="s">
        <v>478</v>
      </c>
      <c r="C141">
        <v>2004</v>
      </c>
      <c r="D141" t="s">
        <v>479</v>
      </c>
      <c r="E141" t="s">
        <v>139</v>
      </c>
      <c r="F141">
        <v>106</v>
      </c>
      <c r="G141">
        <v>3</v>
      </c>
      <c r="H141" t="s">
        <v>480</v>
      </c>
    </row>
    <row r="142" spans="1:8">
      <c r="A142">
        <v>50302</v>
      </c>
      <c r="B142" t="s">
        <v>481</v>
      </c>
      <c r="C142">
        <v>2008</v>
      </c>
      <c r="D142" t="s">
        <v>482</v>
      </c>
      <c r="E142" t="s">
        <v>69</v>
      </c>
      <c r="F142">
        <v>11</v>
      </c>
      <c r="G142">
        <v>6</v>
      </c>
      <c r="H142" t="s">
        <v>483</v>
      </c>
    </row>
    <row r="143" spans="1:8">
      <c r="A143">
        <v>44713</v>
      </c>
      <c r="B143" t="s">
        <v>484</v>
      </c>
      <c r="C143">
        <v>2006</v>
      </c>
      <c r="D143" t="s">
        <v>485</v>
      </c>
      <c r="E143" t="s">
        <v>33</v>
      </c>
      <c r="F143">
        <v>131</v>
      </c>
      <c r="G143">
        <v>2</v>
      </c>
      <c r="H143" t="s">
        <v>486</v>
      </c>
    </row>
    <row r="144" spans="1:8">
      <c r="A144">
        <v>70622</v>
      </c>
      <c r="B144" t="s">
        <v>487</v>
      </c>
      <c r="C144">
        <v>2012</v>
      </c>
      <c r="D144" t="s">
        <v>488</v>
      </c>
      <c r="E144" t="s">
        <v>216</v>
      </c>
      <c r="F144">
        <v>8</v>
      </c>
      <c r="G144">
        <v>1</v>
      </c>
      <c r="H144" t="s">
        <v>489</v>
      </c>
    </row>
    <row r="145" spans="1:8">
      <c r="A145">
        <v>37300</v>
      </c>
      <c r="B145" t="s">
        <v>490</v>
      </c>
      <c r="C145">
        <v>2004</v>
      </c>
      <c r="D145" t="s">
        <v>491</v>
      </c>
      <c r="E145" t="s">
        <v>27</v>
      </c>
      <c r="F145">
        <v>271</v>
      </c>
      <c r="G145">
        <v>1545</v>
      </c>
      <c r="H145" t="s">
        <v>492</v>
      </c>
    </row>
    <row r="146" spans="1:8">
      <c r="A146">
        <v>44649</v>
      </c>
      <c r="B146" t="s">
        <v>493</v>
      </c>
      <c r="C146">
        <v>2006</v>
      </c>
      <c r="D146" t="s">
        <v>494</v>
      </c>
      <c r="E146" t="s">
        <v>105</v>
      </c>
      <c r="F146">
        <v>113</v>
      </c>
      <c r="G146" t="s">
        <v>223</v>
      </c>
      <c r="H146" t="s">
        <v>495</v>
      </c>
    </row>
    <row r="147" spans="1:8">
      <c r="A147">
        <v>72244</v>
      </c>
      <c r="B147" t="s">
        <v>496</v>
      </c>
      <c r="C147">
        <v>2013</v>
      </c>
      <c r="D147" t="s">
        <v>497</v>
      </c>
      <c r="E147" t="s">
        <v>105</v>
      </c>
      <c r="F147">
        <v>179</v>
      </c>
      <c r="G147" t="s">
        <v>88</v>
      </c>
      <c r="H147" t="s">
        <v>498</v>
      </c>
    </row>
    <row r="148" spans="1:8">
      <c r="A148">
        <v>38998</v>
      </c>
      <c r="B148" t="s">
        <v>499</v>
      </c>
      <c r="C148">
        <v>2005</v>
      </c>
      <c r="D148" t="s">
        <v>500</v>
      </c>
      <c r="E148" t="s">
        <v>50</v>
      </c>
      <c r="F148">
        <v>145</v>
      </c>
      <c r="G148">
        <v>4</v>
      </c>
      <c r="H148" t="s">
        <v>501</v>
      </c>
    </row>
    <row r="149" spans="1:8">
      <c r="A149">
        <v>54102</v>
      </c>
      <c r="B149" t="s">
        <v>502</v>
      </c>
      <c r="C149">
        <v>2009</v>
      </c>
      <c r="D149" t="s">
        <v>503</v>
      </c>
      <c r="E149" t="s">
        <v>27</v>
      </c>
      <c r="F149">
        <v>276</v>
      </c>
      <c r="G149">
        <v>1659</v>
      </c>
      <c r="H149" t="s">
        <v>504</v>
      </c>
    </row>
    <row r="150" spans="1:8">
      <c r="A150">
        <v>45529</v>
      </c>
      <c r="B150" t="s">
        <v>505</v>
      </c>
      <c r="C150">
        <v>2007</v>
      </c>
      <c r="D150" t="s">
        <v>506</v>
      </c>
      <c r="E150" t="s">
        <v>251</v>
      </c>
      <c r="F150">
        <v>5</v>
      </c>
      <c r="G150">
        <v>8</v>
      </c>
      <c r="H150" t="s">
        <v>507</v>
      </c>
    </row>
    <row r="151" spans="1:8">
      <c r="A151">
        <v>47538</v>
      </c>
      <c r="B151" t="s">
        <v>508</v>
      </c>
      <c r="C151">
        <v>2007</v>
      </c>
      <c r="D151" t="s">
        <v>509</v>
      </c>
      <c r="E151" t="s">
        <v>386</v>
      </c>
      <c r="F151">
        <v>10</v>
      </c>
      <c r="G151">
        <v>9</v>
      </c>
      <c r="H151" t="s">
        <v>510</v>
      </c>
    </row>
    <row r="152" spans="1:8">
      <c r="A152">
        <v>41122</v>
      </c>
      <c r="B152" t="s">
        <v>511</v>
      </c>
      <c r="C152">
        <v>2005</v>
      </c>
      <c r="D152" t="s">
        <v>512</v>
      </c>
      <c r="E152" t="s">
        <v>139</v>
      </c>
      <c r="F152">
        <v>108</v>
      </c>
      <c r="G152">
        <v>2</v>
      </c>
      <c r="H152" t="s">
        <v>513</v>
      </c>
    </row>
    <row r="153" spans="1:8">
      <c r="A153">
        <v>71705</v>
      </c>
      <c r="B153" t="s">
        <v>514</v>
      </c>
      <c r="C153">
        <v>2013</v>
      </c>
      <c r="D153" t="s">
        <v>515</v>
      </c>
      <c r="E153" t="s">
        <v>62</v>
      </c>
      <c r="F153">
        <v>10</v>
      </c>
      <c r="G153">
        <v>12</v>
      </c>
      <c r="H153" t="s">
        <v>516</v>
      </c>
    </row>
    <row r="154" spans="1:8">
      <c r="A154">
        <v>52773</v>
      </c>
      <c r="B154" t="s">
        <v>517</v>
      </c>
      <c r="C154">
        <v>2008</v>
      </c>
      <c r="D154" t="s">
        <v>518</v>
      </c>
      <c r="E154" t="s">
        <v>87</v>
      </c>
      <c r="F154">
        <v>67</v>
      </c>
      <c r="G154">
        <v>4</v>
      </c>
      <c r="H154" t="s">
        <v>519</v>
      </c>
    </row>
    <row r="155" spans="1:8">
      <c r="A155">
        <v>74019</v>
      </c>
      <c r="B155" t="s">
        <v>520</v>
      </c>
      <c r="C155">
        <v>2013</v>
      </c>
      <c r="D155" t="s">
        <v>521</v>
      </c>
      <c r="E155" t="s">
        <v>50</v>
      </c>
      <c r="F155">
        <v>171</v>
      </c>
      <c r="G155">
        <v>4</v>
      </c>
      <c r="H155" t="s">
        <v>522</v>
      </c>
    </row>
    <row r="156" spans="1:8">
      <c r="A156">
        <v>69686</v>
      </c>
      <c r="B156" t="s">
        <v>523</v>
      </c>
      <c r="C156">
        <v>2012</v>
      </c>
      <c r="D156" t="s">
        <v>524</v>
      </c>
      <c r="E156" t="s">
        <v>143</v>
      </c>
      <c r="F156">
        <v>22</v>
      </c>
      <c r="G156">
        <v>8</v>
      </c>
      <c r="H156" t="s">
        <v>525</v>
      </c>
    </row>
    <row r="157" spans="1:8">
      <c r="A157">
        <v>71278</v>
      </c>
      <c r="B157" t="s">
        <v>526</v>
      </c>
      <c r="C157">
        <v>2012</v>
      </c>
      <c r="D157" t="s">
        <v>527</v>
      </c>
      <c r="E157" t="s">
        <v>27</v>
      </c>
      <c r="F157">
        <v>279</v>
      </c>
      <c r="G157">
        <v>1734</v>
      </c>
      <c r="H157" t="s">
        <v>528</v>
      </c>
    </row>
    <row r="158" spans="1:8">
      <c r="A158">
        <v>53246</v>
      </c>
      <c r="B158" t="s">
        <v>529</v>
      </c>
      <c r="C158">
        <v>2008</v>
      </c>
      <c r="D158" t="s">
        <v>530</v>
      </c>
      <c r="E158" t="s">
        <v>54</v>
      </c>
      <c r="F158">
        <v>96</v>
      </c>
      <c r="G158">
        <v>1</v>
      </c>
      <c r="H158" t="s">
        <v>531</v>
      </c>
    </row>
    <row r="159" spans="1:8">
      <c r="A159">
        <v>75631</v>
      </c>
      <c r="B159" t="s">
        <v>532</v>
      </c>
      <c r="C159">
        <v>2013</v>
      </c>
      <c r="D159" t="s">
        <v>533</v>
      </c>
      <c r="E159" t="s">
        <v>73</v>
      </c>
      <c r="F159">
        <v>19</v>
      </c>
      <c r="G159">
        <v>10</v>
      </c>
      <c r="H159" t="s">
        <v>534</v>
      </c>
    </row>
    <row r="160" spans="1:8">
      <c r="A160">
        <v>76642</v>
      </c>
      <c r="B160" t="s">
        <v>535</v>
      </c>
      <c r="C160">
        <v>2014</v>
      </c>
      <c r="D160" t="s">
        <v>536</v>
      </c>
      <c r="E160" t="s">
        <v>143</v>
      </c>
      <c r="F160">
        <v>24</v>
      </c>
      <c r="G160">
        <v>4</v>
      </c>
      <c r="H160" t="s">
        <v>537</v>
      </c>
    </row>
    <row r="161" spans="1:8">
      <c r="A161">
        <v>77630</v>
      </c>
      <c r="B161" t="s">
        <v>538</v>
      </c>
      <c r="C161">
        <v>2014</v>
      </c>
      <c r="D161" t="s">
        <v>539</v>
      </c>
      <c r="E161" t="s">
        <v>294</v>
      </c>
      <c r="F161">
        <v>28</v>
      </c>
      <c r="G161">
        <v>1</v>
      </c>
      <c r="H161" t="s">
        <v>540</v>
      </c>
    </row>
    <row r="162" spans="1:8">
      <c r="A162">
        <v>64972</v>
      </c>
      <c r="B162" t="s">
        <v>541</v>
      </c>
      <c r="C162">
        <v>2011</v>
      </c>
      <c r="D162" t="s">
        <v>542</v>
      </c>
      <c r="E162" t="s">
        <v>27</v>
      </c>
      <c r="F162">
        <v>278</v>
      </c>
      <c r="G162">
        <v>1716</v>
      </c>
      <c r="H162" t="s">
        <v>543</v>
      </c>
    </row>
    <row r="163" spans="1:8">
      <c r="A163">
        <v>40158</v>
      </c>
      <c r="B163" t="s">
        <v>544</v>
      </c>
      <c r="C163">
        <v>2005</v>
      </c>
      <c r="D163" t="s">
        <v>545</v>
      </c>
      <c r="E163" t="s">
        <v>386</v>
      </c>
      <c r="F163">
        <v>8</v>
      </c>
      <c r="G163">
        <v>9</v>
      </c>
      <c r="H163" t="s">
        <v>546</v>
      </c>
    </row>
    <row r="164" spans="1:8">
      <c r="A164">
        <v>57767</v>
      </c>
      <c r="B164" t="s">
        <v>547</v>
      </c>
      <c r="C164">
        <v>2010</v>
      </c>
      <c r="D164" t="s">
        <v>548</v>
      </c>
      <c r="E164" t="s">
        <v>304</v>
      </c>
      <c r="F164">
        <v>19</v>
      </c>
      <c r="G164">
        <v>3</v>
      </c>
      <c r="H164" t="s">
        <v>549</v>
      </c>
    </row>
    <row r="165" spans="1:8">
      <c r="A165">
        <v>77852</v>
      </c>
      <c r="B165" t="s">
        <v>550</v>
      </c>
      <c r="C165">
        <v>2014</v>
      </c>
      <c r="D165" t="s">
        <v>551</v>
      </c>
      <c r="E165" t="s">
        <v>108</v>
      </c>
      <c r="F165">
        <v>183</v>
      </c>
      <c r="G165">
        <v>1</v>
      </c>
      <c r="H165" t="s">
        <v>552</v>
      </c>
    </row>
    <row r="166" spans="1:8">
      <c r="A166">
        <v>38350</v>
      </c>
      <c r="B166" t="s">
        <v>553</v>
      </c>
      <c r="C166">
        <v>2005</v>
      </c>
      <c r="D166" t="s">
        <v>554</v>
      </c>
      <c r="E166" t="s">
        <v>50</v>
      </c>
      <c r="F166">
        <v>144</v>
      </c>
      <c r="G166">
        <v>2</v>
      </c>
      <c r="H166" t="s">
        <v>555</v>
      </c>
    </row>
    <row r="167" spans="1:8">
      <c r="A167">
        <v>62908</v>
      </c>
      <c r="B167" t="s">
        <v>556</v>
      </c>
      <c r="C167">
        <v>2011</v>
      </c>
      <c r="D167" t="s">
        <v>557</v>
      </c>
      <c r="E167" t="s">
        <v>33</v>
      </c>
      <c r="F167">
        <v>144</v>
      </c>
      <c r="G167">
        <v>2</v>
      </c>
      <c r="H167" t="s">
        <v>558</v>
      </c>
    </row>
    <row r="168" spans="1:8">
      <c r="A168">
        <v>55909</v>
      </c>
      <c r="B168" t="s">
        <v>559</v>
      </c>
      <c r="C168">
        <v>2009</v>
      </c>
      <c r="D168" t="s">
        <v>560</v>
      </c>
      <c r="E168" t="s">
        <v>143</v>
      </c>
      <c r="F168">
        <v>19</v>
      </c>
      <c r="G168">
        <v>1</v>
      </c>
      <c r="H168" t="s">
        <v>561</v>
      </c>
    </row>
    <row r="169" spans="1:8">
      <c r="A169">
        <v>48638</v>
      </c>
      <c r="B169" t="s">
        <v>562</v>
      </c>
      <c r="C169">
        <v>2007</v>
      </c>
      <c r="D169" t="s">
        <v>563</v>
      </c>
      <c r="E169" t="s">
        <v>33</v>
      </c>
      <c r="F169">
        <v>137</v>
      </c>
      <c r="G169">
        <v>3</v>
      </c>
      <c r="H169" t="s">
        <v>564</v>
      </c>
    </row>
    <row r="170" spans="1:8">
      <c r="A170">
        <v>43609</v>
      </c>
      <c r="B170" t="s">
        <v>565</v>
      </c>
      <c r="C170">
        <v>2006</v>
      </c>
      <c r="D170" t="s">
        <v>566</v>
      </c>
      <c r="E170" t="s">
        <v>386</v>
      </c>
      <c r="F170">
        <v>9</v>
      </c>
      <c r="G170">
        <v>2</v>
      </c>
      <c r="H170" t="s">
        <v>567</v>
      </c>
    </row>
    <row r="171" spans="1:8">
      <c r="A171">
        <v>37994</v>
      </c>
      <c r="B171" t="s">
        <v>568</v>
      </c>
      <c r="C171">
        <v>2005</v>
      </c>
      <c r="D171" t="s">
        <v>569</v>
      </c>
      <c r="E171" t="s">
        <v>294</v>
      </c>
      <c r="F171">
        <v>19</v>
      </c>
      <c r="G171">
        <v>6</v>
      </c>
      <c r="H171" t="s">
        <v>570</v>
      </c>
    </row>
    <row r="172" spans="1:8">
      <c r="A172">
        <v>73328</v>
      </c>
      <c r="B172" t="s">
        <v>571</v>
      </c>
      <c r="C172">
        <v>2013</v>
      </c>
      <c r="D172" t="s">
        <v>572</v>
      </c>
      <c r="E172" t="s">
        <v>27</v>
      </c>
      <c r="F172">
        <v>280</v>
      </c>
      <c r="G172">
        <v>1756</v>
      </c>
    </row>
    <row r="173" spans="1:8">
      <c r="A173">
        <v>48840</v>
      </c>
      <c r="B173" t="s">
        <v>573</v>
      </c>
      <c r="C173">
        <v>2007</v>
      </c>
      <c r="D173" t="s">
        <v>574</v>
      </c>
      <c r="E173" t="s">
        <v>58</v>
      </c>
      <c r="F173">
        <v>18</v>
      </c>
      <c r="G173">
        <v>1</v>
      </c>
      <c r="H173" t="s">
        <v>575</v>
      </c>
    </row>
    <row r="174" spans="1:8">
      <c r="A174">
        <v>50495</v>
      </c>
      <c r="B174" t="s">
        <v>576</v>
      </c>
      <c r="C174">
        <v>2008</v>
      </c>
      <c r="D174" t="s">
        <v>577</v>
      </c>
      <c r="E174" t="s">
        <v>83</v>
      </c>
      <c r="F174">
        <v>14</v>
      </c>
      <c r="G174">
        <v>2</v>
      </c>
      <c r="H174" t="s">
        <v>47</v>
      </c>
    </row>
    <row r="175" spans="1:8">
      <c r="A175">
        <v>58227</v>
      </c>
      <c r="B175" t="s">
        <v>578</v>
      </c>
      <c r="C175">
        <v>2010</v>
      </c>
      <c r="D175" t="s">
        <v>579</v>
      </c>
      <c r="E175" t="s">
        <v>54</v>
      </c>
      <c r="F175">
        <v>98</v>
      </c>
      <c r="G175">
        <v>2</v>
      </c>
      <c r="H175" t="s">
        <v>580</v>
      </c>
    </row>
    <row r="176" spans="1:8">
      <c r="A176">
        <v>69867</v>
      </c>
      <c r="B176" t="s">
        <v>581</v>
      </c>
      <c r="C176">
        <v>2012</v>
      </c>
      <c r="D176" t="s">
        <v>582</v>
      </c>
      <c r="E176" t="s">
        <v>50</v>
      </c>
      <c r="F176">
        <v>168</v>
      </c>
      <c r="G176">
        <v>2</v>
      </c>
      <c r="H176" t="s">
        <v>583</v>
      </c>
    </row>
    <row r="177" spans="1:8">
      <c r="A177">
        <v>55238</v>
      </c>
      <c r="B177" t="s">
        <v>584</v>
      </c>
      <c r="C177">
        <v>2009</v>
      </c>
      <c r="D177" t="s">
        <v>585</v>
      </c>
      <c r="E177" t="s">
        <v>54</v>
      </c>
      <c r="F177">
        <v>97</v>
      </c>
      <c r="G177">
        <v>4</v>
      </c>
      <c r="H177" t="s">
        <v>586</v>
      </c>
    </row>
    <row r="178" spans="1:8">
      <c r="A178">
        <v>60928</v>
      </c>
      <c r="B178" t="s">
        <v>587</v>
      </c>
      <c r="C178">
        <v>2010</v>
      </c>
      <c r="D178" t="s">
        <v>588</v>
      </c>
      <c r="E178" t="s">
        <v>105</v>
      </c>
      <c r="F178">
        <v>139</v>
      </c>
      <c r="G178">
        <v>4</v>
      </c>
      <c r="H178" t="s">
        <v>589</v>
      </c>
    </row>
    <row r="179" spans="1:8">
      <c r="A179">
        <v>64462</v>
      </c>
      <c r="B179" t="s">
        <v>590</v>
      </c>
      <c r="C179">
        <v>2011</v>
      </c>
      <c r="D179" t="s">
        <v>591</v>
      </c>
      <c r="E179" t="s">
        <v>33</v>
      </c>
      <c r="F179">
        <v>144</v>
      </c>
      <c r="G179">
        <v>11</v>
      </c>
      <c r="H179" t="s">
        <v>592</v>
      </c>
    </row>
    <row r="180" spans="1:8">
      <c r="A180">
        <v>61527</v>
      </c>
      <c r="B180" t="s">
        <v>593</v>
      </c>
      <c r="C180">
        <v>2010</v>
      </c>
      <c r="D180" t="s">
        <v>594</v>
      </c>
      <c r="E180" t="s">
        <v>304</v>
      </c>
      <c r="F180">
        <v>19</v>
      </c>
      <c r="G180">
        <v>3</v>
      </c>
      <c r="H180" t="s">
        <v>595</v>
      </c>
    </row>
    <row r="181" spans="1:8">
      <c r="A181">
        <v>52247</v>
      </c>
      <c r="B181" t="s">
        <v>596</v>
      </c>
      <c r="C181">
        <v>2008</v>
      </c>
      <c r="D181" t="s">
        <v>597</v>
      </c>
      <c r="E181" t="s">
        <v>216</v>
      </c>
      <c r="F181">
        <v>4</v>
      </c>
      <c r="G181">
        <v>5</v>
      </c>
      <c r="H181" t="s">
        <v>598</v>
      </c>
    </row>
    <row r="182" spans="1:8">
      <c r="A182">
        <v>59166</v>
      </c>
      <c r="B182" t="s">
        <v>599</v>
      </c>
      <c r="C182">
        <v>2010</v>
      </c>
      <c r="D182" t="s">
        <v>600</v>
      </c>
      <c r="E182" t="s">
        <v>139</v>
      </c>
      <c r="F182">
        <v>119</v>
      </c>
      <c r="G182">
        <v>2</v>
      </c>
      <c r="H182" t="s">
        <v>601</v>
      </c>
    </row>
    <row r="183" spans="1:8">
      <c r="A183">
        <v>73499</v>
      </c>
      <c r="B183" t="s">
        <v>602</v>
      </c>
      <c r="C183">
        <v>2013</v>
      </c>
      <c r="D183" t="s">
        <v>603</v>
      </c>
      <c r="E183" t="s">
        <v>83</v>
      </c>
      <c r="F183">
        <v>19</v>
      </c>
      <c r="G183">
        <v>11</v>
      </c>
      <c r="H183" t="s">
        <v>604</v>
      </c>
    </row>
    <row r="184" spans="1:8">
      <c r="A184">
        <v>46496</v>
      </c>
      <c r="B184" t="s">
        <v>605</v>
      </c>
      <c r="C184">
        <v>2007</v>
      </c>
      <c r="D184" t="s">
        <v>606</v>
      </c>
      <c r="E184" t="s">
        <v>62</v>
      </c>
      <c r="F184">
        <v>4</v>
      </c>
      <c r="G184">
        <v>1</v>
      </c>
      <c r="H184" t="s">
        <v>607</v>
      </c>
    </row>
    <row r="185" spans="1:8">
      <c r="A185">
        <v>74092</v>
      </c>
      <c r="B185" t="s">
        <v>608</v>
      </c>
      <c r="C185">
        <v>2013</v>
      </c>
      <c r="D185" t="s">
        <v>609</v>
      </c>
      <c r="E185" t="s">
        <v>69</v>
      </c>
      <c r="F185">
        <v>16</v>
      </c>
      <c r="G185">
        <v>5</v>
      </c>
      <c r="H185" t="s">
        <v>610</v>
      </c>
    </row>
    <row r="186" spans="1:8">
      <c r="A186">
        <v>75183</v>
      </c>
      <c r="B186" t="s">
        <v>611</v>
      </c>
      <c r="C186">
        <v>2013</v>
      </c>
      <c r="D186" t="s">
        <v>612</v>
      </c>
      <c r="E186" t="s">
        <v>294</v>
      </c>
      <c r="F186">
        <v>27</v>
      </c>
      <c r="G186">
        <v>2</v>
      </c>
      <c r="H186" t="s">
        <v>613</v>
      </c>
    </row>
    <row r="187" spans="1:8">
      <c r="A187">
        <v>35478</v>
      </c>
      <c r="B187" t="s">
        <v>614</v>
      </c>
      <c r="C187">
        <v>2004</v>
      </c>
      <c r="D187" t="s">
        <v>615</v>
      </c>
      <c r="E187" t="s">
        <v>294</v>
      </c>
      <c r="F187">
        <v>18</v>
      </c>
      <c r="G187">
        <v>1</v>
      </c>
      <c r="H187" t="s">
        <v>616</v>
      </c>
    </row>
    <row r="188" spans="1:8">
      <c r="A188">
        <v>70958</v>
      </c>
      <c r="B188" t="s">
        <v>617</v>
      </c>
      <c r="C188">
        <v>2012</v>
      </c>
      <c r="D188" t="s">
        <v>618</v>
      </c>
      <c r="E188" t="s">
        <v>108</v>
      </c>
      <c r="F188">
        <v>180</v>
      </c>
      <c r="G188">
        <v>4</v>
      </c>
      <c r="H188" t="s">
        <v>619</v>
      </c>
    </row>
    <row r="189" spans="1:8">
      <c r="A189">
        <v>39339</v>
      </c>
      <c r="B189" t="s">
        <v>620</v>
      </c>
      <c r="C189">
        <v>2005</v>
      </c>
      <c r="D189" t="s">
        <v>621</v>
      </c>
      <c r="E189" t="s">
        <v>251</v>
      </c>
      <c r="F189">
        <v>3</v>
      </c>
      <c r="G189">
        <v>2</v>
      </c>
      <c r="H189" t="s">
        <v>622</v>
      </c>
    </row>
    <row r="190" spans="1:8">
      <c r="A190">
        <v>36475</v>
      </c>
      <c r="B190" t="s">
        <v>623</v>
      </c>
      <c r="C190">
        <v>2004</v>
      </c>
      <c r="D190" t="s">
        <v>624</v>
      </c>
      <c r="E190" t="s">
        <v>83</v>
      </c>
      <c r="F190">
        <v>10</v>
      </c>
      <c r="G190">
        <v>2</v>
      </c>
      <c r="H190" t="s">
        <v>625</v>
      </c>
    </row>
    <row r="191" spans="1:8">
      <c r="A191">
        <v>51845</v>
      </c>
      <c r="B191" t="s">
        <v>626</v>
      </c>
      <c r="C191">
        <v>2008</v>
      </c>
      <c r="D191" t="s">
        <v>627</v>
      </c>
      <c r="E191" t="s">
        <v>73</v>
      </c>
      <c r="F191">
        <v>14</v>
      </c>
      <c r="G191">
        <v>1</v>
      </c>
      <c r="H191" t="s">
        <v>628</v>
      </c>
    </row>
    <row r="192" spans="1:8">
      <c r="A192">
        <v>75836</v>
      </c>
      <c r="B192" t="s">
        <v>629</v>
      </c>
      <c r="C192">
        <v>2013</v>
      </c>
      <c r="D192" t="s">
        <v>630</v>
      </c>
      <c r="E192" t="s">
        <v>251</v>
      </c>
      <c r="F192">
        <v>11</v>
      </c>
      <c r="G192">
        <v>8</v>
      </c>
      <c r="H192" t="s">
        <v>631</v>
      </c>
    </row>
    <row r="193" spans="1:8">
      <c r="A193">
        <v>51491</v>
      </c>
      <c r="B193" t="s">
        <v>632</v>
      </c>
      <c r="C193">
        <v>2008</v>
      </c>
      <c r="D193" t="s">
        <v>633</v>
      </c>
      <c r="E193" t="s">
        <v>50</v>
      </c>
      <c r="F193">
        <v>157</v>
      </c>
      <c r="G193">
        <v>1</v>
      </c>
      <c r="H193" t="s">
        <v>634</v>
      </c>
    </row>
    <row r="194" spans="1:8">
      <c r="A194">
        <v>55169</v>
      </c>
      <c r="B194" t="s">
        <v>635</v>
      </c>
      <c r="C194">
        <v>2009</v>
      </c>
      <c r="D194" t="s">
        <v>636</v>
      </c>
      <c r="E194" t="s">
        <v>304</v>
      </c>
      <c r="F194">
        <v>18</v>
      </c>
      <c r="G194">
        <v>3</v>
      </c>
      <c r="H194" t="s">
        <v>637</v>
      </c>
    </row>
    <row r="195" spans="1:8">
      <c r="A195">
        <v>60492</v>
      </c>
      <c r="B195" t="s">
        <v>638</v>
      </c>
      <c r="C195">
        <v>2010</v>
      </c>
      <c r="D195" t="s">
        <v>639</v>
      </c>
      <c r="E195" t="s">
        <v>304</v>
      </c>
      <c r="F195">
        <v>19</v>
      </c>
      <c r="G195">
        <v>5</v>
      </c>
      <c r="H195" t="s">
        <v>640</v>
      </c>
    </row>
    <row r="196" spans="1:8">
      <c r="A196">
        <v>61406</v>
      </c>
      <c r="B196" t="s">
        <v>641</v>
      </c>
      <c r="C196">
        <v>2010</v>
      </c>
      <c r="D196" t="s">
        <v>642</v>
      </c>
      <c r="E196" t="s">
        <v>139</v>
      </c>
      <c r="F196">
        <v>119</v>
      </c>
      <c r="G196">
        <v>8</v>
      </c>
      <c r="H196" t="s">
        <v>643</v>
      </c>
    </row>
    <row r="197" spans="1:8">
      <c r="A197">
        <v>42433</v>
      </c>
      <c r="B197" t="s">
        <v>644</v>
      </c>
      <c r="C197">
        <v>2006</v>
      </c>
      <c r="D197" t="s">
        <v>645</v>
      </c>
      <c r="E197" t="s">
        <v>251</v>
      </c>
      <c r="F197">
        <v>4</v>
      </c>
      <c r="G197">
        <v>8</v>
      </c>
      <c r="H197" t="s">
        <v>646</v>
      </c>
    </row>
    <row r="198" spans="1:8">
      <c r="A198">
        <v>51664</v>
      </c>
      <c r="B198" t="s">
        <v>647</v>
      </c>
      <c r="C198">
        <v>2008</v>
      </c>
      <c r="D198" t="s">
        <v>648</v>
      </c>
      <c r="E198" t="s">
        <v>69</v>
      </c>
      <c r="F198">
        <v>11</v>
      </c>
      <c r="G198">
        <v>3</v>
      </c>
      <c r="H198" t="s">
        <v>649</v>
      </c>
    </row>
    <row r="199" spans="1:8">
      <c r="A199">
        <v>36323</v>
      </c>
      <c r="B199" t="s">
        <v>650</v>
      </c>
      <c r="C199">
        <v>2004</v>
      </c>
      <c r="D199" t="s">
        <v>651</v>
      </c>
      <c r="E199" t="s">
        <v>50</v>
      </c>
      <c r="F199">
        <v>139</v>
      </c>
      <c r="G199">
        <v>2</v>
      </c>
      <c r="H199" t="s">
        <v>652</v>
      </c>
    </row>
    <row r="200" spans="1:8">
      <c r="A200">
        <v>35297</v>
      </c>
      <c r="B200" t="s">
        <v>653</v>
      </c>
      <c r="C200">
        <v>2004</v>
      </c>
      <c r="D200" t="s">
        <v>654</v>
      </c>
      <c r="E200" t="s">
        <v>27</v>
      </c>
      <c r="F200">
        <v>271</v>
      </c>
      <c r="G200">
        <v>1543</v>
      </c>
      <c r="H200" t="s">
        <v>655</v>
      </c>
    </row>
    <row r="201" spans="1:8">
      <c r="A201">
        <v>64725</v>
      </c>
      <c r="B201" t="s">
        <v>656</v>
      </c>
      <c r="C201">
        <v>2011</v>
      </c>
      <c r="D201" t="s">
        <v>657</v>
      </c>
      <c r="E201" t="s">
        <v>50</v>
      </c>
      <c r="F201">
        <v>165</v>
      </c>
      <c r="G201">
        <v>3</v>
      </c>
      <c r="H201" t="s">
        <v>658</v>
      </c>
    </row>
    <row r="202" spans="1:8">
      <c r="A202">
        <v>41832</v>
      </c>
      <c r="B202" t="s">
        <v>659</v>
      </c>
      <c r="C202">
        <v>2006</v>
      </c>
      <c r="D202" t="s">
        <v>660</v>
      </c>
      <c r="E202" t="s">
        <v>73</v>
      </c>
      <c r="F202">
        <v>12</v>
      </c>
      <c r="G202">
        <v>11</v>
      </c>
      <c r="H202" t="s">
        <v>661</v>
      </c>
    </row>
    <row r="203" spans="1:8">
      <c r="A203">
        <v>74240</v>
      </c>
      <c r="B203" t="s">
        <v>662</v>
      </c>
      <c r="C203">
        <v>2013</v>
      </c>
      <c r="D203" t="s">
        <v>663</v>
      </c>
      <c r="E203" t="s">
        <v>87</v>
      </c>
      <c r="F203">
        <v>93</v>
      </c>
      <c r="G203" t="s">
        <v>88</v>
      </c>
      <c r="H203" t="s">
        <v>664</v>
      </c>
    </row>
    <row r="204" spans="1:8">
      <c r="A204">
        <v>36911</v>
      </c>
      <c r="B204" t="s">
        <v>665</v>
      </c>
      <c r="C204">
        <v>2004</v>
      </c>
      <c r="D204" t="s">
        <v>666</v>
      </c>
      <c r="E204" t="s">
        <v>27</v>
      </c>
      <c r="F204">
        <v>271</v>
      </c>
      <c r="G204">
        <v>1550</v>
      </c>
      <c r="H204" t="s">
        <v>667</v>
      </c>
    </row>
    <row r="205" spans="1:8">
      <c r="A205">
        <v>72705</v>
      </c>
      <c r="B205" t="s">
        <v>668</v>
      </c>
      <c r="C205">
        <v>2013</v>
      </c>
      <c r="D205" t="s">
        <v>669</v>
      </c>
      <c r="E205" t="s">
        <v>251</v>
      </c>
      <c r="F205">
        <v>11</v>
      </c>
      <c r="G205">
        <v>10</v>
      </c>
      <c r="H205" t="s">
        <v>670</v>
      </c>
    </row>
    <row r="206" spans="1:8">
      <c r="A206">
        <v>44183</v>
      </c>
      <c r="B206" t="s">
        <v>671</v>
      </c>
      <c r="C206">
        <v>2006</v>
      </c>
      <c r="D206" t="s">
        <v>672</v>
      </c>
      <c r="E206" t="s">
        <v>27</v>
      </c>
      <c r="F206">
        <v>273</v>
      </c>
      <c r="G206">
        <v>1598</v>
      </c>
      <c r="H206" t="s">
        <v>673</v>
      </c>
    </row>
    <row r="207" spans="1:8">
      <c r="A207">
        <v>68315</v>
      </c>
      <c r="B207" t="s">
        <v>674</v>
      </c>
      <c r="C207">
        <v>2012</v>
      </c>
      <c r="D207" t="s">
        <v>675</v>
      </c>
      <c r="E207" t="s">
        <v>73</v>
      </c>
      <c r="F207">
        <v>18</v>
      </c>
      <c r="G207">
        <v>10</v>
      </c>
      <c r="H207" t="s">
        <v>676</v>
      </c>
    </row>
    <row r="208" spans="1:8">
      <c r="A208">
        <v>54159</v>
      </c>
      <c r="B208" t="s">
        <v>677</v>
      </c>
      <c r="C208">
        <v>2009</v>
      </c>
      <c r="D208" t="s">
        <v>678</v>
      </c>
      <c r="E208" t="s">
        <v>139</v>
      </c>
      <c r="F208">
        <v>118</v>
      </c>
      <c r="G208">
        <v>11</v>
      </c>
      <c r="H208" t="s">
        <v>679</v>
      </c>
    </row>
    <row r="209" spans="1:8">
      <c r="A209">
        <v>51316</v>
      </c>
      <c r="B209" t="s">
        <v>680</v>
      </c>
      <c r="C209">
        <v>2008</v>
      </c>
      <c r="D209" t="s">
        <v>681</v>
      </c>
      <c r="E209" t="s">
        <v>105</v>
      </c>
      <c r="F209">
        <v>125</v>
      </c>
      <c r="G209" t="s">
        <v>223</v>
      </c>
      <c r="H209" t="s">
        <v>682</v>
      </c>
    </row>
    <row r="210" spans="1:8">
      <c r="A210">
        <v>43081</v>
      </c>
      <c r="B210" t="s">
        <v>683</v>
      </c>
      <c r="C210">
        <v>2006</v>
      </c>
      <c r="D210" t="s">
        <v>684</v>
      </c>
      <c r="E210" t="s">
        <v>87</v>
      </c>
      <c r="F210">
        <v>56</v>
      </c>
      <c r="G210">
        <v>2</v>
      </c>
      <c r="H210" t="s">
        <v>685</v>
      </c>
    </row>
    <row r="211" spans="1:8">
      <c r="A211">
        <v>48019</v>
      </c>
      <c r="B211" t="s">
        <v>686</v>
      </c>
      <c r="C211">
        <v>2007</v>
      </c>
      <c r="D211" t="s">
        <v>687</v>
      </c>
      <c r="E211" t="s">
        <v>108</v>
      </c>
      <c r="F211">
        <v>170</v>
      </c>
      <c r="G211">
        <v>6</v>
      </c>
      <c r="H211" t="s">
        <v>688</v>
      </c>
    </row>
    <row r="212" spans="1:8">
      <c r="A212">
        <v>37543</v>
      </c>
      <c r="B212" t="s">
        <v>689</v>
      </c>
      <c r="C212">
        <v>2004</v>
      </c>
      <c r="D212" t="s">
        <v>690</v>
      </c>
      <c r="E212" t="s">
        <v>317</v>
      </c>
      <c r="F212">
        <v>19</v>
      </c>
      <c r="G212">
        <v>3</v>
      </c>
      <c r="H212" t="s">
        <v>691</v>
      </c>
    </row>
    <row r="213" spans="1:8">
      <c r="A213">
        <v>51761</v>
      </c>
      <c r="B213" t="s">
        <v>692</v>
      </c>
      <c r="C213">
        <v>2008</v>
      </c>
      <c r="D213" t="s">
        <v>693</v>
      </c>
      <c r="E213" t="s">
        <v>58</v>
      </c>
      <c r="F213">
        <v>19</v>
      </c>
      <c r="G213">
        <v>1</v>
      </c>
      <c r="H213" t="s">
        <v>694</v>
      </c>
    </row>
    <row r="214" spans="1:8">
      <c r="A214">
        <v>60607</v>
      </c>
      <c r="B214" t="s">
        <v>695</v>
      </c>
      <c r="C214">
        <v>2010</v>
      </c>
      <c r="D214" t="s">
        <v>696</v>
      </c>
      <c r="E214" t="s">
        <v>108</v>
      </c>
      <c r="F214">
        <v>176</v>
      </c>
      <c r="G214">
        <v>4</v>
      </c>
      <c r="H214" t="s">
        <v>697</v>
      </c>
    </row>
    <row r="215" spans="1:8">
      <c r="A215">
        <v>55264</v>
      </c>
      <c r="B215" t="s">
        <v>698</v>
      </c>
      <c r="C215">
        <v>2009</v>
      </c>
      <c r="D215" t="s">
        <v>699</v>
      </c>
      <c r="E215" t="s">
        <v>216</v>
      </c>
      <c r="F215">
        <v>5</v>
      </c>
      <c r="G215">
        <v>6</v>
      </c>
      <c r="H215" t="s">
        <v>700</v>
      </c>
    </row>
    <row r="216" spans="1:8">
      <c r="A216">
        <v>48251</v>
      </c>
      <c r="B216" t="s">
        <v>701</v>
      </c>
      <c r="C216">
        <v>2007</v>
      </c>
      <c r="D216" t="s">
        <v>702</v>
      </c>
      <c r="E216" t="s">
        <v>304</v>
      </c>
      <c r="F216">
        <v>16</v>
      </c>
      <c r="G216">
        <v>1</v>
      </c>
      <c r="H216" t="s">
        <v>703</v>
      </c>
    </row>
    <row r="217" spans="1:8">
      <c r="A217">
        <v>37524</v>
      </c>
      <c r="B217" t="s">
        <v>704</v>
      </c>
      <c r="C217">
        <v>2004</v>
      </c>
      <c r="D217" t="s">
        <v>705</v>
      </c>
      <c r="E217" t="s">
        <v>294</v>
      </c>
      <c r="F217">
        <v>18</v>
      </c>
      <c r="G217">
        <v>6</v>
      </c>
      <c r="H217" t="s">
        <v>706</v>
      </c>
    </row>
    <row r="218" spans="1:8">
      <c r="A218">
        <v>55020</v>
      </c>
      <c r="B218" t="s">
        <v>707</v>
      </c>
      <c r="C218">
        <v>2009</v>
      </c>
      <c r="D218" t="s">
        <v>708</v>
      </c>
      <c r="E218" t="s">
        <v>216</v>
      </c>
      <c r="F218">
        <v>5</v>
      </c>
      <c r="G218">
        <v>1</v>
      </c>
      <c r="H218" t="s">
        <v>709</v>
      </c>
    </row>
    <row r="219" spans="1:8">
      <c r="A219">
        <v>43254</v>
      </c>
      <c r="B219" t="s">
        <v>710</v>
      </c>
      <c r="C219">
        <v>2006</v>
      </c>
      <c r="D219" t="s">
        <v>711</v>
      </c>
      <c r="E219" t="s">
        <v>294</v>
      </c>
      <c r="F219">
        <v>20</v>
      </c>
      <c r="G219">
        <v>2</v>
      </c>
      <c r="H219" t="s">
        <v>712</v>
      </c>
    </row>
    <row r="220" spans="1:8">
      <c r="A220">
        <v>59973</v>
      </c>
      <c r="B220" t="s">
        <v>713</v>
      </c>
      <c r="C220">
        <v>2010</v>
      </c>
      <c r="D220" t="s">
        <v>714</v>
      </c>
      <c r="E220" t="s">
        <v>27</v>
      </c>
      <c r="F220">
        <v>277</v>
      </c>
      <c r="G220">
        <v>1685</v>
      </c>
      <c r="H220" t="s">
        <v>715</v>
      </c>
    </row>
    <row r="221" spans="1:8">
      <c r="A221">
        <v>45855</v>
      </c>
      <c r="B221" t="s">
        <v>716</v>
      </c>
      <c r="C221">
        <v>2007</v>
      </c>
      <c r="D221" t="s">
        <v>717</v>
      </c>
      <c r="E221" t="s">
        <v>58</v>
      </c>
      <c r="F221">
        <v>18</v>
      </c>
      <c r="G221">
        <v>3</v>
      </c>
      <c r="H221" t="s">
        <v>718</v>
      </c>
    </row>
    <row r="222" spans="1:8">
      <c r="A222">
        <v>47078</v>
      </c>
      <c r="B222" t="s">
        <v>719</v>
      </c>
      <c r="C222">
        <v>2007</v>
      </c>
      <c r="D222" t="s">
        <v>720</v>
      </c>
      <c r="E222" t="s">
        <v>50</v>
      </c>
      <c r="F222">
        <v>150</v>
      </c>
      <c r="G222">
        <v>4</v>
      </c>
      <c r="H222" t="s">
        <v>721</v>
      </c>
    </row>
    <row r="223" spans="1:8">
      <c r="A223">
        <v>42912</v>
      </c>
      <c r="B223" t="s">
        <v>722</v>
      </c>
      <c r="C223">
        <v>2006</v>
      </c>
      <c r="D223" t="s">
        <v>723</v>
      </c>
      <c r="E223" t="s">
        <v>386</v>
      </c>
      <c r="F223">
        <v>9</v>
      </c>
      <c r="G223">
        <v>9</v>
      </c>
      <c r="H223" t="s">
        <v>724</v>
      </c>
    </row>
    <row r="224" spans="1:8">
      <c r="A224">
        <v>62138</v>
      </c>
      <c r="B224" t="s">
        <v>725</v>
      </c>
      <c r="C224">
        <v>2011</v>
      </c>
      <c r="D224" t="s">
        <v>726</v>
      </c>
      <c r="E224" t="s">
        <v>139</v>
      </c>
      <c r="F224">
        <v>120</v>
      </c>
      <c r="G224">
        <v>3</v>
      </c>
      <c r="H224" t="s">
        <v>727</v>
      </c>
    </row>
    <row r="225" spans="1:8">
      <c r="A225">
        <v>43355</v>
      </c>
      <c r="B225" t="s">
        <v>728</v>
      </c>
      <c r="C225">
        <v>2006</v>
      </c>
      <c r="D225" t="s">
        <v>729</v>
      </c>
      <c r="E225" t="s">
        <v>105</v>
      </c>
      <c r="F225">
        <v>113</v>
      </c>
      <c r="G225" t="s">
        <v>223</v>
      </c>
      <c r="H225" t="s">
        <v>730</v>
      </c>
    </row>
    <row r="226" spans="1:8">
      <c r="A226">
        <v>59132</v>
      </c>
      <c r="B226" t="s">
        <v>731</v>
      </c>
      <c r="C226">
        <v>2010</v>
      </c>
      <c r="D226" t="s">
        <v>732</v>
      </c>
      <c r="E226" t="s">
        <v>62</v>
      </c>
      <c r="F226">
        <v>7</v>
      </c>
      <c r="G226">
        <v>5</v>
      </c>
      <c r="H226" t="s">
        <v>733</v>
      </c>
    </row>
    <row r="227" spans="1:8">
      <c r="A227">
        <v>69974</v>
      </c>
      <c r="B227" t="s">
        <v>734</v>
      </c>
      <c r="C227">
        <v>2012</v>
      </c>
      <c r="D227" t="s">
        <v>735</v>
      </c>
      <c r="E227" t="s">
        <v>62</v>
      </c>
      <c r="F227">
        <v>9</v>
      </c>
      <c r="G227">
        <v>7</v>
      </c>
      <c r="H227" t="s">
        <v>736</v>
      </c>
    </row>
    <row r="228" spans="1:8">
      <c r="A228">
        <v>55045</v>
      </c>
      <c r="B228" t="s">
        <v>475</v>
      </c>
      <c r="C228">
        <v>2009</v>
      </c>
      <c r="D228" t="s">
        <v>737</v>
      </c>
      <c r="E228" t="s">
        <v>251</v>
      </c>
      <c r="F228">
        <v>7</v>
      </c>
      <c r="G228">
        <v>4</v>
      </c>
      <c r="H228" t="s">
        <v>738</v>
      </c>
    </row>
    <row r="229" spans="1:8">
      <c r="A229">
        <v>53451</v>
      </c>
      <c r="B229" t="s">
        <v>739</v>
      </c>
      <c r="C229">
        <v>2009</v>
      </c>
      <c r="D229" t="s">
        <v>740</v>
      </c>
      <c r="E229" t="s">
        <v>50</v>
      </c>
      <c r="F229">
        <v>161</v>
      </c>
      <c r="G229">
        <v>4</v>
      </c>
      <c r="H229" t="s">
        <v>741</v>
      </c>
    </row>
    <row r="230" spans="1:8">
      <c r="A230">
        <v>70636</v>
      </c>
      <c r="B230" t="s">
        <v>742</v>
      </c>
      <c r="C230">
        <v>2012</v>
      </c>
      <c r="D230" t="s">
        <v>743</v>
      </c>
      <c r="E230" t="s">
        <v>27</v>
      </c>
      <c r="F230">
        <v>279</v>
      </c>
      <c r="G230">
        <v>1728</v>
      </c>
      <c r="H230" t="s">
        <v>744</v>
      </c>
    </row>
    <row r="231" spans="1:8">
      <c r="A231">
        <v>74201</v>
      </c>
      <c r="B231" t="s">
        <v>745</v>
      </c>
      <c r="C231">
        <v>2013</v>
      </c>
      <c r="D231" t="s">
        <v>746</v>
      </c>
      <c r="E231" t="s">
        <v>27</v>
      </c>
      <c r="F231">
        <v>280</v>
      </c>
      <c r="G231">
        <v>1756</v>
      </c>
    </row>
    <row r="232" spans="1:8">
      <c r="A232">
        <v>67160</v>
      </c>
      <c r="B232" t="s">
        <v>747</v>
      </c>
      <c r="C232">
        <v>2012</v>
      </c>
      <c r="D232" t="s">
        <v>748</v>
      </c>
      <c r="E232" t="s">
        <v>62</v>
      </c>
      <c r="F232">
        <v>9</v>
      </c>
      <c r="G232">
        <v>9</v>
      </c>
      <c r="H232" t="s">
        <v>749</v>
      </c>
    </row>
    <row r="233" spans="1:8">
      <c r="A233">
        <v>59066</v>
      </c>
      <c r="B233" t="s">
        <v>750</v>
      </c>
      <c r="C233">
        <v>2010</v>
      </c>
      <c r="D233" t="s">
        <v>751</v>
      </c>
      <c r="E233" t="s">
        <v>251</v>
      </c>
      <c r="F233">
        <v>8</v>
      </c>
      <c r="G233">
        <v>4</v>
      </c>
      <c r="H233" t="s">
        <v>752</v>
      </c>
    </row>
    <row r="234" spans="1:8">
      <c r="A234">
        <v>41174</v>
      </c>
      <c r="B234" t="s">
        <v>753</v>
      </c>
      <c r="C234">
        <v>2005</v>
      </c>
      <c r="D234" t="s">
        <v>754</v>
      </c>
      <c r="E234" t="s">
        <v>50</v>
      </c>
      <c r="F234">
        <v>143</v>
      </c>
      <c r="G234">
        <v>2</v>
      </c>
      <c r="H234" t="s">
        <v>755</v>
      </c>
    </row>
    <row r="235" spans="1:8">
      <c r="A235">
        <v>69739</v>
      </c>
      <c r="B235" t="s">
        <v>756</v>
      </c>
      <c r="C235">
        <v>2012</v>
      </c>
      <c r="D235" t="s">
        <v>757</v>
      </c>
      <c r="E235" t="s">
        <v>216</v>
      </c>
      <c r="F235">
        <v>8</v>
      </c>
      <c r="G235">
        <v>5</v>
      </c>
      <c r="H235" t="s">
        <v>758</v>
      </c>
    </row>
    <row r="236" spans="1:8">
      <c r="A236">
        <v>34658</v>
      </c>
      <c r="B236" t="s">
        <v>759</v>
      </c>
      <c r="C236">
        <v>2004</v>
      </c>
      <c r="D236" t="s">
        <v>760</v>
      </c>
      <c r="E236" t="s">
        <v>251</v>
      </c>
      <c r="F236">
        <v>2</v>
      </c>
      <c r="G236">
        <v>2</v>
      </c>
      <c r="H236" t="s">
        <v>761</v>
      </c>
    </row>
    <row r="237" spans="1:8">
      <c r="A237">
        <v>67279</v>
      </c>
      <c r="B237" t="s">
        <v>762</v>
      </c>
      <c r="C237">
        <v>2012</v>
      </c>
      <c r="D237" t="s">
        <v>763</v>
      </c>
      <c r="E237" t="s">
        <v>108</v>
      </c>
      <c r="F237">
        <v>180</v>
      </c>
      <c r="G237">
        <v>1</v>
      </c>
      <c r="H237" t="s">
        <v>764</v>
      </c>
    </row>
    <row r="238" spans="1:8">
      <c r="A238">
        <v>54232</v>
      </c>
      <c r="B238" t="s">
        <v>765</v>
      </c>
      <c r="C238">
        <v>2009</v>
      </c>
      <c r="D238" t="s">
        <v>766</v>
      </c>
      <c r="E238" t="s">
        <v>27</v>
      </c>
      <c r="F238">
        <v>276</v>
      </c>
      <c r="G238">
        <v>1667</v>
      </c>
      <c r="H238" t="s">
        <v>767</v>
      </c>
    </row>
    <row r="239" spans="1:8">
      <c r="A239">
        <v>70537</v>
      </c>
      <c r="B239" t="s">
        <v>768</v>
      </c>
      <c r="C239">
        <v>2012</v>
      </c>
      <c r="D239" t="s">
        <v>769</v>
      </c>
      <c r="E239" t="s">
        <v>101</v>
      </c>
      <c r="F239">
        <v>3</v>
      </c>
      <c r="G239">
        <v>3</v>
      </c>
      <c r="H239" t="s">
        <v>770</v>
      </c>
    </row>
    <row r="240" spans="1:8">
      <c r="A240">
        <v>75326</v>
      </c>
      <c r="B240" t="s">
        <v>771</v>
      </c>
      <c r="C240">
        <v>2013</v>
      </c>
      <c r="D240" t="s">
        <v>772</v>
      </c>
      <c r="E240" t="s">
        <v>54</v>
      </c>
      <c r="F240">
        <v>101</v>
      </c>
      <c r="G240">
        <v>4</v>
      </c>
      <c r="H240" t="s">
        <v>773</v>
      </c>
    </row>
    <row r="241" spans="1:8">
      <c r="A241">
        <v>52336</v>
      </c>
      <c r="B241" t="s">
        <v>774</v>
      </c>
      <c r="C241">
        <v>2008</v>
      </c>
      <c r="D241" t="s">
        <v>775</v>
      </c>
      <c r="E241" t="s">
        <v>294</v>
      </c>
      <c r="F241">
        <v>22</v>
      </c>
      <c r="G241">
        <v>6</v>
      </c>
      <c r="H241" t="s">
        <v>776</v>
      </c>
    </row>
    <row r="242" spans="1:8">
      <c r="A242">
        <v>38725</v>
      </c>
      <c r="B242" t="s">
        <v>777</v>
      </c>
      <c r="C242">
        <v>2005</v>
      </c>
      <c r="D242" t="s">
        <v>778</v>
      </c>
      <c r="E242" t="s">
        <v>83</v>
      </c>
      <c r="F242">
        <v>11</v>
      </c>
      <c r="G242">
        <v>1</v>
      </c>
      <c r="H242" t="s">
        <v>779</v>
      </c>
    </row>
    <row r="243" spans="1:8">
      <c r="A243">
        <v>42477</v>
      </c>
      <c r="B243" t="s">
        <v>780</v>
      </c>
      <c r="C243">
        <v>2006</v>
      </c>
      <c r="D243" t="s">
        <v>781</v>
      </c>
      <c r="E243" t="s">
        <v>27</v>
      </c>
      <c r="F243">
        <v>273</v>
      </c>
      <c r="G243">
        <v>1588</v>
      </c>
      <c r="H243" t="s">
        <v>782</v>
      </c>
    </row>
    <row r="244" spans="1:8">
      <c r="A244">
        <v>42699</v>
      </c>
      <c r="B244" t="s">
        <v>783</v>
      </c>
      <c r="C244">
        <v>2006</v>
      </c>
      <c r="D244" t="s">
        <v>784</v>
      </c>
      <c r="E244" t="s">
        <v>294</v>
      </c>
      <c r="F244">
        <v>20</v>
      </c>
      <c r="G244">
        <v>5</v>
      </c>
      <c r="H244" t="s">
        <v>785</v>
      </c>
    </row>
    <row r="245" spans="1:8">
      <c r="A245">
        <v>34721</v>
      </c>
      <c r="B245" t="s">
        <v>786</v>
      </c>
      <c r="C245">
        <v>2004</v>
      </c>
      <c r="D245" t="s">
        <v>787</v>
      </c>
      <c r="E245" t="s">
        <v>73</v>
      </c>
      <c r="F245">
        <v>10</v>
      </c>
      <c r="G245">
        <v>6</v>
      </c>
      <c r="H245" t="s">
        <v>788</v>
      </c>
    </row>
    <row r="246" spans="1:8">
      <c r="A246">
        <v>78703</v>
      </c>
      <c r="B246" t="s">
        <v>789</v>
      </c>
      <c r="C246">
        <v>2014</v>
      </c>
      <c r="D246" t="s">
        <v>790</v>
      </c>
      <c r="E246" t="s">
        <v>54</v>
      </c>
      <c r="F246">
        <v>102</v>
      </c>
      <c r="G246">
        <v>2</v>
      </c>
      <c r="H246" t="s">
        <v>791</v>
      </c>
    </row>
    <row r="247" spans="1:8">
      <c r="A247">
        <v>76039</v>
      </c>
      <c r="B247" t="s">
        <v>792</v>
      </c>
      <c r="C247">
        <v>2013</v>
      </c>
      <c r="D247" t="s">
        <v>793</v>
      </c>
      <c r="E247" t="s">
        <v>139</v>
      </c>
      <c r="F247">
        <v>122</v>
      </c>
      <c r="G247">
        <v>12</v>
      </c>
      <c r="H247" t="s">
        <v>794</v>
      </c>
    </row>
    <row r="248" spans="1:8">
      <c r="A248">
        <v>40107</v>
      </c>
      <c r="B248" t="s">
        <v>795</v>
      </c>
      <c r="C248">
        <v>2005</v>
      </c>
      <c r="D248" t="s">
        <v>796</v>
      </c>
      <c r="E248" t="s">
        <v>87</v>
      </c>
      <c r="F248">
        <v>55</v>
      </c>
      <c r="G248">
        <v>4</v>
      </c>
      <c r="H248" t="s">
        <v>797</v>
      </c>
    </row>
    <row r="249" spans="1:8">
      <c r="A249">
        <v>43663</v>
      </c>
      <c r="B249" t="s">
        <v>798</v>
      </c>
      <c r="C249">
        <v>2006</v>
      </c>
      <c r="D249" t="s">
        <v>799</v>
      </c>
      <c r="E249" t="s">
        <v>294</v>
      </c>
      <c r="F249">
        <v>20</v>
      </c>
      <c r="G249">
        <v>1</v>
      </c>
      <c r="H249" t="s">
        <v>800</v>
      </c>
    </row>
    <row r="250" spans="1:8">
      <c r="A250">
        <v>61366</v>
      </c>
      <c r="B250" t="s">
        <v>801</v>
      </c>
      <c r="C250">
        <v>2010</v>
      </c>
      <c r="D250" t="s">
        <v>802</v>
      </c>
      <c r="E250" t="s">
        <v>62</v>
      </c>
      <c r="F250">
        <v>7</v>
      </c>
      <c r="G250">
        <v>10</v>
      </c>
      <c r="H250" t="s">
        <v>803</v>
      </c>
    </row>
    <row r="251" spans="1:8">
      <c r="A251">
        <v>58203</v>
      </c>
      <c r="B251" t="s">
        <v>804</v>
      </c>
      <c r="C251">
        <v>2010</v>
      </c>
      <c r="D251" t="s">
        <v>805</v>
      </c>
      <c r="E251" t="s">
        <v>105</v>
      </c>
      <c r="F251">
        <v>136</v>
      </c>
      <c r="G251" t="s">
        <v>328</v>
      </c>
      <c r="H251" t="s">
        <v>806</v>
      </c>
    </row>
    <row r="252" spans="1:8">
      <c r="A252">
        <v>43504</v>
      </c>
      <c r="B252" t="s">
        <v>807</v>
      </c>
      <c r="C252">
        <v>2006</v>
      </c>
      <c r="D252" t="s">
        <v>808</v>
      </c>
      <c r="E252" t="s">
        <v>304</v>
      </c>
      <c r="F252">
        <v>15</v>
      </c>
      <c r="G252">
        <v>1</v>
      </c>
      <c r="H252" s="8">
        <v>42236</v>
      </c>
    </row>
    <row r="253" spans="1:8">
      <c r="A253">
        <v>63897</v>
      </c>
      <c r="B253" t="s">
        <v>809</v>
      </c>
      <c r="C253">
        <v>2011</v>
      </c>
      <c r="D253" t="s">
        <v>810</v>
      </c>
      <c r="E253" t="s">
        <v>139</v>
      </c>
      <c r="F253">
        <v>120</v>
      </c>
      <c r="G253">
        <v>8</v>
      </c>
      <c r="H253" t="s">
        <v>811</v>
      </c>
    </row>
    <row r="254" spans="1:8">
      <c r="A254">
        <v>49825</v>
      </c>
      <c r="B254" t="s">
        <v>812</v>
      </c>
      <c r="C254">
        <v>2008</v>
      </c>
      <c r="D254" t="s">
        <v>813</v>
      </c>
      <c r="E254" t="s">
        <v>62</v>
      </c>
      <c r="F254">
        <v>5</v>
      </c>
      <c r="G254">
        <v>6</v>
      </c>
      <c r="H254" t="s">
        <v>814</v>
      </c>
    </row>
    <row r="255" spans="1:8">
      <c r="A255">
        <v>56956</v>
      </c>
      <c r="B255" t="s">
        <v>815</v>
      </c>
      <c r="C255">
        <v>2009</v>
      </c>
      <c r="D255" t="s">
        <v>816</v>
      </c>
      <c r="E255" t="s">
        <v>27</v>
      </c>
      <c r="F255">
        <v>276</v>
      </c>
      <c r="G255">
        <v>1654</v>
      </c>
      <c r="H255" t="s">
        <v>817</v>
      </c>
    </row>
    <row r="256" spans="1:8">
      <c r="A256">
        <v>69313</v>
      </c>
      <c r="B256" t="s">
        <v>818</v>
      </c>
      <c r="C256">
        <v>2012</v>
      </c>
      <c r="D256" t="s">
        <v>819</v>
      </c>
      <c r="E256" t="s">
        <v>27</v>
      </c>
      <c r="F256">
        <v>279</v>
      </c>
      <c r="G256">
        <v>1739</v>
      </c>
      <c r="H256" t="s">
        <v>820</v>
      </c>
    </row>
    <row r="257" spans="1:8">
      <c r="A257">
        <v>76579</v>
      </c>
      <c r="B257" t="s">
        <v>821</v>
      </c>
      <c r="C257">
        <v>2014</v>
      </c>
      <c r="D257" t="s">
        <v>822</v>
      </c>
      <c r="E257" t="s">
        <v>87</v>
      </c>
      <c r="F257">
        <v>101</v>
      </c>
      <c r="G257" t="s">
        <v>88</v>
      </c>
      <c r="H257" t="s">
        <v>823</v>
      </c>
    </row>
    <row r="258" spans="1:8">
      <c r="A258">
        <v>49898</v>
      </c>
      <c r="B258" t="s">
        <v>824</v>
      </c>
      <c r="C258">
        <v>2008</v>
      </c>
      <c r="D258" t="s">
        <v>825</v>
      </c>
      <c r="E258" t="s">
        <v>139</v>
      </c>
      <c r="F258">
        <v>117</v>
      </c>
      <c r="G258">
        <v>1</v>
      </c>
      <c r="H258" t="s">
        <v>826</v>
      </c>
    </row>
    <row r="259" spans="1:8">
      <c r="A259">
        <v>76023</v>
      </c>
      <c r="B259" t="s">
        <v>827</v>
      </c>
      <c r="C259">
        <v>2013</v>
      </c>
      <c r="D259" t="s">
        <v>828</v>
      </c>
      <c r="E259" t="s">
        <v>50</v>
      </c>
      <c r="F259">
        <v>172</v>
      </c>
      <c r="G259">
        <v>4</v>
      </c>
      <c r="H259" t="s">
        <v>829</v>
      </c>
    </row>
    <row r="260" spans="1:8">
      <c r="A260">
        <v>64017</v>
      </c>
      <c r="B260" t="s">
        <v>830</v>
      </c>
      <c r="C260">
        <v>2011</v>
      </c>
      <c r="D260" t="s">
        <v>831</v>
      </c>
      <c r="E260" t="s">
        <v>33</v>
      </c>
      <c r="F260">
        <v>144</v>
      </c>
      <c r="G260">
        <v>12</v>
      </c>
      <c r="H260" t="s">
        <v>832</v>
      </c>
    </row>
    <row r="261" spans="1:8">
      <c r="A261">
        <v>65715</v>
      </c>
      <c r="B261" t="s">
        <v>833</v>
      </c>
      <c r="C261">
        <v>2011</v>
      </c>
      <c r="D261" t="s">
        <v>834</v>
      </c>
      <c r="E261" t="s">
        <v>27</v>
      </c>
      <c r="F261">
        <v>278</v>
      </c>
      <c r="G261">
        <v>1725</v>
      </c>
      <c r="H261" t="s">
        <v>835</v>
      </c>
    </row>
    <row r="262" spans="1:8">
      <c r="A262">
        <v>68643</v>
      </c>
      <c r="B262" t="s">
        <v>836</v>
      </c>
      <c r="C262">
        <v>2012</v>
      </c>
      <c r="D262" t="s">
        <v>837</v>
      </c>
      <c r="E262" t="s">
        <v>54</v>
      </c>
      <c r="F262">
        <v>100</v>
      </c>
      <c r="G262">
        <v>3</v>
      </c>
      <c r="H262" t="s">
        <v>838</v>
      </c>
    </row>
    <row r="263" spans="1:8">
      <c r="A263">
        <v>53532</v>
      </c>
      <c r="B263" t="s">
        <v>839</v>
      </c>
      <c r="C263">
        <v>2009</v>
      </c>
      <c r="D263" t="s">
        <v>840</v>
      </c>
      <c r="E263" t="s">
        <v>87</v>
      </c>
      <c r="F263">
        <v>69</v>
      </c>
      <c r="G263">
        <v>1</v>
      </c>
      <c r="H263" t="s">
        <v>841</v>
      </c>
    </row>
    <row r="264" spans="1:8">
      <c r="A264">
        <v>45483</v>
      </c>
      <c r="B264" t="s">
        <v>842</v>
      </c>
      <c r="C264">
        <v>2007</v>
      </c>
      <c r="D264" t="s">
        <v>843</v>
      </c>
      <c r="E264" t="s">
        <v>386</v>
      </c>
      <c r="F264">
        <v>10</v>
      </c>
      <c r="G264">
        <v>1</v>
      </c>
      <c r="H264" t="s">
        <v>844</v>
      </c>
    </row>
    <row r="265" spans="1:8">
      <c r="A265">
        <v>64726</v>
      </c>
      <c r="B265" t="s">
        <v>845</v>
      </c>
      <c r="C265">
        <v>2011</v>
      </c>
      <c r="D265" t="s">
        <v>846</v>
      </c>
      <c r="E265" t="s">
        <v>33</v>
      </c>
      <c r="F265">
        <v>144</v>
      </c>
      <c r="G265">
        <v>6</v>
      </c>
      <c r="H265" t="s">
        <v>847</v>
      </c>
    </row>
    <row r="266" spans="1:8">
      <c r="A266">
        <v>47972</v>
      </c>
      <c r="B266" t="s">
        <v>848</v>
      </c>
      <c r="C266">
        <v>2007</v>
      </c>
      <c r="D266" t="s">
        <v>849</v>
      </c>
      <c r="E266" t="s">
        <v>304</v>
      </c>
      <c r="F266">
        <v>16</v>
      </c>
      <c r="G266">
        <v>1</v>
      </c>
      <c r="H266" t="s">
        <v>850</v>
      </c>
    </row>
    <row r="267" spans="1:8">
      <c r="A267">
        <v>62913</v>
      </c>
      <c r="B267" t="s">
        <v>851</v>
      </c>
      <c r="C267">
        <v>2011</v>
      </c>
      <c r="D267" t="s">
        <v>852</v>
      </c>
      <c r="E267" t="s">
        <v>33</v>
      </c>
      <c r="F267">
        <v>144</v>
      </c>
      <c r="G267">
        <v>3</v>
      </c>
      <c r="H267" t="s">
        <v>853</v>
      </c>
    </row>
    <row r="268" spans="1:8">
      <c r="A268">
        <v>62907</v>
      </c>
      <c r="B268" t="s">
        <v>854</v>
      </c>
      <c r="C268">
        <v>2011</v>
      </c>
      <c r="D268" t="s">
        <v>855</v>
      </c>
      <c r="E268" t="s">
        <v>317</v>
      </c>
      <c r="F268">
        <v>26</v>
      </c>
      <c r="G268">
        <v>1</v>
      </c>
      <c r="H268" t="s">
        <v>856</v>
      </c>
    </row>
    <row r="269" spans="1:8">
      <c r="A269">
        <v>51886</v>
      </c>
      <c r="B269" t="s">
        <v>857</v>
      </c>
      <c r="C269">
        <v>2008</v>
      </c>
      <c r="D269" t="s">
        <v>858</v>
      </c>
      <c r="E269" t="s">
        <v>58</v>
      </c>
      <c r="F269">
        <v>19</v>
      </c>
      <c r="G269">
        <v>1</v>
      </c>
      <c r="H269" t="s">
        <v>859</v>
      </c>
    </row>
    <row r="270" spans="1:8">
      <c r="A270">
        <v>72734</v>
      </c>
      <c r="B270" t="s">
        <v>860</v>
      </c>
      <c r="C270">
        <v>2013</v>
      </c>
      <c r="D270" t="s">
        <v>861</v>
      </c>
      <c r="E270" t="s">
        <v>50</v>
      </c>
      <c r="F270">
        <v>171</v>
      </c>
      <c r="G270">
        <v>2</v>
      </c>
      <c r="H270" t="s">
        <v>862</v>
      </c>
    </row>
    <row r="271" spans="1:8">
      <c r="A271">
        <v>66619</v>
      </c>
      <c r="B271" t="s">
        <v>863</v>
      </c>
      <c r="C271">
        <v>2011</v>
      </c>
      <c r="D271" t="s">
        <v>864</v>
      </c>
      <c r="E271" t="s">
        <v>27</v>
      </c>
      <c r="F271">
        <v>278</v>
      </c>
      <c r="G271">
        <v>1716</v>
      </c>
      <c r="H271" t="s">
        <v>865</v>
      </c>
    </row>
    <row r="272" spans="1:8">
      <c r="A272">
        <v>74638</v>
      </c>
      <c r="B272" t="s">
        <v>866</v>
      </c>
      <c r="C272">
        <v>2013</v>
      </c>
      <c r="D272" t="s">
        <v>867</v>
      </c>
      <c r="E272" t="s">
        <v>317</v>
      </c>
      <c r="F272">
        <v>28</v>
      </c>
      <c r="G272">
        <v>4</v>
      </c>
      <c r="H272" t="s">
        <v>868</v>
      </c>
    </row>
    <row r="273" spans="1:8">
      <c r="A273">
        <v>63480</v>
      </c>
      <c r="B273" t="s">
        <v>869</v>
      </c>
      <c r="C273">
        <v>2011</v>
      </c>
      <c r="D273" t="s">
        <v>870</v>
      </c>
      <c r="E273" t="s">
        <v>27</v>
      </c>
      <c r="F273">
        <v>278</v>
      </c>
      <c r="G273">
        <v>1718</v>
      </c>
      <c r="H273" t="s">
        <v>871</v>
      </c>
    </row>
    <row r="274" spans="1:8">
      <c r="A274">
        <v>42184</v>
      </c>
      <c r="B274" t="s">
        <v>872</v>
      </c>
      <c r="C274">
        <v>2006</v>
      </c>
      <c r="D274" t="s">
        <v>873</v>
      </c>
      <c r="E274" t="s">
        <v>87</v>
      </c>
      <c r="F274">
        <v>58</v>
      </c>
      <c r="G274">
        <v>2</v>
      </c>
      <c r="H274" t="s">
        <v>874</v>
      </c>
    </row>
    <row r="275" spans="1:8">
      <c r="A275">
        <v>64580</v>
      </c>
      <c r="B275" t="s">
        <v>875</v>
      </c>
      <c r="C275">
        <v>2011</v>
      </c>
      <c r="D275" t="s">
        <v>876</v>
      </c>
      <c r="E275" t="s">
        <v>105</v>
      </c>
      <c r="F275">
        <v>144</v>
      </c>
      <c r="G275">
        <v>1</v>
      </c>
      <c r="H275" t="s">
        <v>877</v>
      </c>
    </row>
    <row r="276" spans="1:8">
      <c r="A276">
        <v>43155</v>
      </c>
      <c r="B276" t="s">
        <v>878</v>
      </c>
      <c r="C276">
        <v>2006</v>
      </c>
      <c r="D276" t="s">
        <v>879</v>
      </c>
      <c r="E276" t="s">
        <v>27</v>
      </c>
      <c r="F276">
        <v>273</v>
      </c>
      <c r="G276">
        <v>1589</v>
      </c>
      <c r="H276" t="s">
        <v>880</v>
      </c>
    </row>
    <row r="277" spans="1:8">
      <c r="A277">
        <v>48020</v>
      </c>
      <c r="B277" t="s">
        <v>686</v>
      </c>
      <c r="C277">
        <v>2007</v>
      </c>
      <c r="D277" t="s">
        <v>881</v>
      </c>
      <c r="E277" t="s">
        <v>58</v>
      </c>
      <c r="F277">
        <v>18</v>
      </c>
      <c r="G277">
        <v>2</v>
      </c>
      <c r="H277" t="s">
        <v>882</v>
      </c>
    </row>
    <row r="278" spans="1:8">
      <c r="A278">
        <v>67999</v>
      </c>
      <c r="B278" t="s">
        <v>883</v>
      </c>
      <c r="C278">
        <v>2012</v>
      </c>
      <c r="D278" t="s">
        <v>884</v>
      </c>
      <c r="E278" t="s">
        <v>27</v>
      </c>
      <c r="F278">
        <v>279</v>
      </c>
      <c r="G278">
        <v>1736</v>
      </c>
      <c r="H278" t="s">
        <v>885</v>
      </c>
    </row>
    <row r="279" spans="1:8">
      <c r="A279">
        <v>64016</v>
      </c>
      <c r="B279" t="s">
        <v>886</v>
      </c>
      <c r="C279">
        <v>2011</v>
      </c>
      <c r="D279" t="s">
        <v>887</v>
      </c>
      <c r="E279" t="s">
        <v>216</v>
      </c>
      <c r="F279">
        <v>7</v>
      </c>
      <c r="G279">
        <v>6</v>
      </c>
      <c r="H279" t="s">
        <v>888</v>
      </c>
    </row>
    <row r="280" spans="1:8">
      <c r="A280">
        <v>64991</v>
      </c>
      <c r="B280" t="s">
        <v>889</v>
      </c>
      <c r="C280">
        <v>2011</v>
      </c>
      <c r="D280" t="s">
        <v>890</v>
      </c>
      <c r="E280" t="s">
        <v>139</v>
      </c>
      <c r="F280">
        <v>120</v>
      </c>
      <c r="G280">
        <v>5</v>
      </c>
      <c r="H280" t="s">
        <v>891</v>
      </c>
    </row>
    <row r="281" spans="1:8">
      <c r="A281">
        <v>54155</v>
      </c>
      <c r="B281" t="s">
        <v>892</v>
      </c>
      <c r="C281">
        <v>2009</v>
      </c>
      <c r="D281" t="s">
        <v>893</v>
      </c>
      <c r="E281" t="s">
        <v>216</v>
      </c>
      <c r="F281">
        <v>5</v>
      </c>
      <c r="G281">
        <v>5</v>
      </c>
      <c r="H281" t="s">
        <v>894</v>
      </c>
    </row>
    <row r="282" spans="1:8">
      <c r="A282">
        <v>37311</v>
      </c>
      <c r="B282" t="s">
        <v>895</v>
      </c>
      <c r="C282">
        <v>2004</v>
      </c>
      <c r="D282" t="s">
        <v>896</v>
      </c>
      <c r="E282" t="s">
        <v>251</v>
      </c>
      <c r="F282">
        <v>2</v>
      </c>
      <c r="G282">
        <v>9</v>
      </c>
      <c r="H282" t="s">
        <v>897</v>
      </c>
    </row>
    <row r="283" spans="1:8">
      <c r="A283">
        <v>74981</v>
      </c>
      <c r="B283" t="s">
        <v>898</v>
      </c>
      <c r="C283">
        <v>2013</v>
      </c>
      <c r="D283" t="s">
        <v>899</v>
      </c>
      <c r="E283" t="s">
        <v>83</v>
      </c>
      <c r="F283">
        <v>19</v>
      </c>
      <c r="G283">
        <v>10</v>
      </c>
      <c r="H283" t="s">
        <v>900</v>
      </c>
    </row>
    <row r="284" spans="1:8">
      <c r="A284">
        <v>42323</v>
      </c>
      <c r="B284" t="s">
        <v>901</v>
      </c>
      <c r="C284">
        <v>2006</v>
      </c>
      <c r="D284" t="s">
        <v>902</v>
      </c>
      <c r="E284" t="s">
        <v>87</v>
      </c>
      <c r="F284">
        <v>58</v>
      </c>
      <c r="G284">
        <v>1</v>
      </c>
      <c r="H284" s="8">
        <v>42020</v>
      </c>
    </row>
    <row r="285" spans="1:8">
      <c r="A285">
        <v>65795</v>
      </c>
      <c r="B285" t="s">
        <v>903</v>
      </c>
      <c r="C285">
        <v>2011</v>
      </c>
      <c r="D285" t="s">
        <v>904</v>
      </c>
      <c r="E285" t="s">
        <v>294</v>
      </c>
      <c r="F285">
        <v>25</v>
      </c>
      <c r="G285">
        <v>3</v>
      </c>
      <c r="H285" t="s">
        <v>905</v>
      </c>
    </row>
    <row r="286" spans="1:8">
      <c r="A286">
        <v>54229</v>
      </c>
      <c r="B286" t="s">
        <v>906</v>
      </c>
      <c r="C286">
        <v>2009</v>
      </c>
      <c r="D286" t="s">
        <v>907</v>
      </c>
      <c r="E286" t="s">
        <v>27</v>
      </c>
      <c r="F286">
        <v>276</v>
      </c>
      <c r="G286">
        <v>1664</v>
      </c>
      <c r="H286" t="s">
        <v>908</v>
      </c>
    </row>
    <row r="287" spans="1:8">
      <c r="A287">
        <v>75802</v>
      </c>
      <c r="B287" t="s">
        <v>332</v>
      </c>
      <c r="C287">
        <v>2013</v>
      </c>
      <c r="D287" t="s">
        <v>909</v>
      </c>
      <c r="E287" t="s">
        <v>251</v>
      </c>
      <c r="F287">
        <v>11</v>
      </c>
      <c r="G287">
        <v>5</v>
      </c>
      <c r="H287" t="s">
        <v>910</v>
      </c>
    </row>
    <row r="288" spans="1:8">
      <c r="A288">
        <v>51803</v>
      </c>
      <c r="B288" t="s">
        <v>911</v>
      </c>
      <c r="C288">
        <v>2008</v>
      </c>
      <c r="D288" t="s">
        <v>912</v>
      </c>
      <c r="E288" t="s">
        <v>251</v>
      </c>
      <c r="F288">
        <v>6</v>
      </c>
      <c r="G288">
        <v>3</v>
      </c>
      <c r="H288" t="s">
        <v>913</v>
      </c>
    </row>
    <row r="289" spans="1:8">
      <c r="A289">
        <v>58745</v>
      </c>
      <c r="B289" t="s">
        <v>914</v>
      </c>
      <c r="C289">
        <v>2010</v>
      </c>
      <c r="D289" t="s">
        <v>915</v>
      </c>
      <c r="E289" t="s">
        <v>50</v>
      </c>
      <c r="F289">
        <v>162</v>
      </c>
      <c r="G289">
        <v>1</v>
      </c>
      <c r="H289" t="s">
        <v>916</v>
      </c>
    </row>
    <row r="290" spans="1:8">
      <c r="A290">
        <v>65401</v>
      </c>
      <c r="B290" t="s">
        <v>917</v>
      </c>
      <c r="C290">
        <v>2011</v>
      </c>
      <c r="D290" t="s">
        <v>918</v>
      </c>
      <c r="E290" t="s">
        <v>27</v>
      </c>
      <c r="F290">
        <v>278</v>
      </c>
      <c r="G290">
        <v>1719</v>
      </c>
      <c r="H290" t="s">
        <v>919</v>
      </c>
    </row>
    <row r="291" spans="1:8">
      <c r="A291">
        <v>65267</v>
      </c>
      <c r="B291" t="s">
        <v>920</v>
      </c>
      <c r="C291">
        <v>2011</v>
      </c>
      <c r="D291" t="s">
        <v>921</v>
      </c>
      <c r="E291" t="s">
        <v>105</v>
      </c>
      <c r="F291">
        <v>144</v>
      </c>
      <c r="G291">
        <v>1</v>
      </c>
      <c r="H291" t="s">
        <v>922</v>
      </c>
    </row>
    <row r="292" spans="1:8">
      <c r="A292">
        <v>50053</v>
      </c>
      <c r="B292" t="s">
        <v>923</v>
      </c>
      <c r="C292">
        <v>2008</v>
      </c>
      <c r="D292" t="s">
        <v>924</v>
      </c>
      <c r="E292" t="s">
        <v>62</v>
      </c>
      <c r="F292">
        <v>5</v>
      </c>
      <c r="G292">
        <v>2</v>
      </c>
      <c r="H292" t="s">
        <v>925</v>
      </c>
    </row>
    <row r="293" spans="1:8">
      <c r="A293">
        <v>39063</v>
      </c>
      <c r="B293" t="s">
        <v>926</v>
      </c>
      <c r="C293">
        <v>2005</v>
      </c>
      <c r="D293" t="s">
        <v>927</v>
      </c>
      <c r="E293" t="s">
        <v>139</v>
      </c>
      <c r="F293">
        <v>108</v>
      </c>
      <c r="G293">
        <v>3</v>
      </c>
      <c r="H293" t="s">
        <v>928</v>
      </c>
    </row>
    <row r="294" spans="1:8">
      <c r="A294">
        <v>72076</v>
      </c>
      <c r="B294" t="s">
        <v>929</v>
      </c>
      <c r="C294">
        <v>2013</v>
      </c>
      <c r="D294" t="s">
        <v>930</v>
      </c>
      <c r="E294" t="s">
        <v>33</v>
      </c>
      <c r="F294">
        <v>168</v>
      </c>
      <c r="G294" t="s">
        <v>88</v>
      </c>
      <c r="H294" t="s">
        <v>931</v>
      </c>
    </row>
    <row r="295" spans="1:8">
      <c r="A295">
        <v>59184</v>
      </c>
      <c r="B295" t="s">
        <v>932</v>
      </c>
      <c r="C295">
        <v>2010</v>
      </c>
      <c r="D295" t="s">
        <v>933</v>
      </c>
      <c r="E295" t="s">
        <v>229</v>
      </c>
      <c r="F295">
        <v>80</v>
      </c>
      <c r="G295">
        <v>2</v>
      </c>
      <c r="H295" t="s">
        <v>934</v>
      </c>
    </row>
    <row r="296" spans="1:8">
      <c r="A296">
        <v>57441</v>
      </c>
      <c r="B296" t="s">
        <v>935</v>
      </c>
      <c r="C296">
        <v>2009</v>
      </c>
      <c r="D296" t="s">
        <v>936</v>
      </c>
      <c r="E296" t="s">
        <v>294</v>
      </c>
      <c r="F296">
        <v>23</v>
      </c>
      <c r="G296">
        <v>4</v>
      </c>
      <c r="H296" t="s">
        <v>937</v>
      </c>
    </row>
    <row r="297" spans="1:8">
      <c r="A297">
        <v>60686</v>
      </c>
      <c r="B297" t="s">
        <v>938</v>
      </c>
      <c r="C297">
        <v>2010</v>
      </c>
      <c r="D297" t="s">
        <v>939</v>
      </c>
      <c r="E297" t="s">
        <v>139</v>
      </c>
      <c r="F297">
        <v>119</v>
      </c>
      <c r="G297">
        <v>2</v>
      </c>
      <c r="H297" t="s">
        <v>940</v>
      </c>
    </row>
    <row r="298" spans="1:8">
      <c r="A298">
        <v>52124</v>
      </c>
      <c r="B298" t="s">
        <v>941</v>
      </c>
      <c r="C298">
        <v>2008</v>
      </c>
      <c r="D298" t="s">
        <v>942</v>
      </c>
      <c r="E298" t="s">
        <v>251</v>
      </c>
      <c r="F298">
        <v>6</v>
      </c>
      <c r="G298">
        <v>10</v>
      </c>
      <c r="H298" t="s">
        <v>943</v>
      </c>
    </row>
    <row r="299" spans="1:8">
      <c r="A299">
        <v>38217</v>
      </c>
      <c r="B299" t="s">
        <v>944</v>
      </c>
      <c r="C299">
        <v>2005</v>
      </c>
      <c r="D299" t="s">
        <v>945</v>
      </c>
      <c r="E299" t="s">
        <v>27</v>
      </c>
      <c r="F299">
        <v>272</v>
      </c>
      <c r="G299">
        <v>1569</v>
      </c>
      <c r="H299" t="s">
        <v>946</v>
      </c>
    </row>
    <row r="300" spans="1:8">
      <c r="A300">
        <v>56361</v>
      </c>
      <c r="B300" t="s">
        <v>947</v>
      </c>
      <c r="C300">
        <v>2009</v>
      </c>
      <c r="D300" t="s">
        <v>948</v>
      </c>
      <c r="E300" t="s">
        <v>105</v>
      </c>
      <c r="F300">
        <v>132</v>
      </c>
      <c r="G300" t="s">
        <v>328</v>
      </c>
      <c r="H300" t="s">
        <v>949</v>
      </c>
    </row>
    <row r="301" spans="1:8">
      <c r="A301">
        <v>59039</v>
      </c>
      <c r="B301" t="s">
        <v>950</v>
      </c>
      <c r="C301">
        <v>2010</v>
      </c>
      <c r="D301" t="s">
        <v>951</v>
      </c>
      <c r="E301" t="s">
        <v>27</v>
      </c>
      <c r="F301">
        <v>277</v>
      </c>
      <c r="G301">
        <v>1695</v>
      </c>
      <c r="H301" t="s">
        <v>952</v>
      </c>
    </row>
    <row r="302" spans="1:8">
      <c r="A302">
        <v>68866</v>
      </c>
      <c r="B302" t="s">
        <v>953</v>
      </c>
      <c r="C302">
        <v>2012</v>
      </c>
      <c r="D302" t="s">
        <v>954</v>
      </c>
      <c r="E302" t="s">
        <v>73</v>
      </c>
      <c r="F302">
        <v>18</v>
      </c>
      <c r="G302">
        <v>12</v>
      </c>
      <c r="H302" t="s">
        <v>955</v>
      </c>
    </row>
    <row r="303" spans="1:8">
      <c r="A303">
        <v>73503</v>
      </c>
      <c r="B303" t="s">
        <v>956</v>
      </c>
      <c r="C303">
        <v>2013</v>
      </c>
      <c r="D303" t="s">
        <v>957</v>
      </c>
      <c r="E303" t="s">
        <v>216</v>
      </c>
      <c r="F303">
        <v>9</v>
      </c>
      <c r="G303">
        <v>5</v>
      </c>
    </row>
    <row r="304" spans="1:8">
      <c r="A304">
        <v>52165</v>
      </c>
      <c r="B304" t="s">
        <v>958</v>
      </c>
      <c r="C304">
        <v>2008</v>
      </c>
      <c r="D304" t="s">
        <v>959</v>
      </c>
      <c r="E304" t="s">
        <v>139</v>
      </c>
      <c r="F304">
        <v>117</v>
      </c>
      <c r="G304">
        <v>8</v>
      </c>
      <c r="H304" t="s">
        <v>960</v>
      </c>
    </row>
    <row r="305" spans="1:8">
      <c r="A305">
        <v>38845</v>
      </c>
      <c r="B305" t="s">
        <v>961</v>
      </c>
      <c r="C305">
        <v>2005</v>
      </c>
      <c r="D305" t="s">
        <v>962</v>
      </c>
      <c r="E305" t="s">
        <v>73</v>
      </c>
      <c r="F305">
        <v>11</v>
      </c>
      <c r="G305">
        <v>2</v>
      </c>
      <c r="H305" t="s">
        <v>963</v>
      </c>
    </row>
    <row r="306" spans="1:8">
      <c r="A306">
        <v>53135</v>
      </c>
      <c r="B306" t="s">
        <v>964</v>
      </c>
      <c r="C306">
        <v>2008</v>
      </c>
      <c r="D306" t="s">
        <v>965</v>
      </c>
      <c r="E306" t="s">
        <v>27</v>
      </c>
      <c r="F306">
        <v>275</v>
      </c>
      <c r="G306">
        <v>1632</v>
      </c>
      <c r="H306" t="s">
        <v>966</v>
      </c>
    </row>
    <row r="307" spans="1:8">
      <c r="A307">
        <v>76091</v>
      </c>
      <c r="B307" t="s">
        <v>967</v>
      </c>
      <c r="C307">
        <v>2013</v>
      </c>
      <c r="D307" t="s">
        <v>968</v>
      </c>
      <c r="E307" t="s">
        <v>304</v>
      </c>
      <c r="F307">
        <v>22</v>
      </c>
      <c r="G307">
        <v>12</v>
      </c>
      <c r="H307" t="s">
        <v>969</v>
      </c>
    </row>
    <row r="308" spans="1:8">
      <c r="A308">
        <v>72242</v>
      </c>
      <c r="B308" t="s">
        <v>970</v>
      </c>
      <c r="C308">
        <v>2013</v>
      </c>
      <c r="D308" t="s">
        <v>971</v>
      </c>
      <c r="E308" t="s">
        <v>216</v>
      </c>
      <c r="F308">
        <v>9</v>
      </c>
      <c r="G308">
        <v>1</v>
      </c>
    </row>
    <row r="309" spans="1:8">
      <c r="A309">
        <v>71860</v>
      </c>
      <c r="B309" t="s">
        <v>972</v>
      </c>
      <c r="C309">
        <v>2013</v>
      </c>
      <c r="D309" t="s">
        <v>973</v>
      </c>
      <c r="E309" t="s">
        <v>27</v>
      </c>
      <c r="F309">
        <v>280</v>
      </c>
      <c r="G309">
        <v>1750</v>
      </c>
    </row>
    <row r="310" spans="1:8">
      <c r="A310">
        <v>65470</v>
      </c>
      <c r="B310" t="s">
        <v>974</v>
      </c>
      <c r="C310">
        <v>2011</v>
      </c>
      <c r="D310" t="s">
        <v>975</v>
      </c>
      <c r="E310" t="s">
        <v>87</v>
      </c>
      <c r="F310">
        <v>70</v>
      </c>
      <c r="G310">
        <v>11</v>
      </c>
      <c r="H310" t="s">
        <v>976</v>
      </c>
    </row>
    <row r="311" spans="1:8">
      <c r="A311">
        <v>77760</v>
      </c>
      <c r="B311" t="s">
        <v>977</v>
      </c>
      <c r="C311">
        <v>2014</v>
      </c>
      <c r="D311" t="s">
        <v>978</v>
      </c>
      <c r="E311" t="s">
        <v>294</v>
      </c>
      <c r="F311">
        <v>28</v>
      </c>
      <c r="G311">
        <v>3</v>
      </c>
      <c r="H311" t="s">
        <v>979</v>
      </c>
    </row>
    <row r="312" spans="1:8">
      <c r="A312">
        <v>69262</v>
      </c>
      <c r="B312" t="s">
        <v>980</v>
      </c>
      <c r="C312">
        <v>2012</v>
      </c>
      <c r="D312" t="s">
        <v>981</v>
      </c>
      <c r="E312" t="s">
        <v>386</v>
      </c>
      <c r="F312">
        <v>15</v>
      </c>
      <c r="G312">
        <v>4</v>
      </c>
      <c r="H312" t="s">
        <v>982</v>
      </c>
    </row>
    <row r="313" spans="1:8">
      <c r="A313">
        <v>41186</v>
      </c>
      <c r="B313" t="s">
        <v>983</v>
      </c>
      <c r="C313">
        <v>2005</v>
      </c>
      <c r="D313" t="s">
        <v>984</v>
      </c>
      <c r="E313" t="s">
        <v>50</v>
      </c>
      <c r="F313">
        <v>144</v>
      </c>
      <c r="G313">
        <v>3</v>
      </c>
      <c r="H313" t="s">
        <v>985</v>
      </c>
    </row>
    <row r="314" spans="1:8">
      <c r="A314">
        <v>51437</v>
      </c>
      <c r="B314" t="s">
        <v>986</v>
      </c>
      <c r="C314">
        <v>2008</v>
      </c>
      <c r="D314" t="s">
        <v>987</v>
      </c>
      <c r="E314" t="s">
        <v>58</v>
      </c>
      <c r="F314">
        <v>19</v>
      </c>
      <c r="G314">
        <v>3</v>
      </c>
      <c r="H314" t="s">
        <v>988</v>
      </c>
    </row>
    <row r="315" spans="1:8">
      <c r="A315">
        <v>43551</v>
      </c>
      <c r="B315" t="s">
        <v>989</v>
      </c>
      <c r="C315">
        <v>2006</v>
      </c>
      <c r="D315" t="s">
        <v>990</v>
      </c>
      <c r="E315" t="s">
        <v>317</v>
      </c>
      <c r="F315">
        <v>21</v>
      </c>
      <c r="G315">
        <v>2</v>
      </c>
      <c r="H315" t="s">
        <v>991</v>
      </c>
    </row>
    <row r="316" spans="1:8">
      <c r="A316">
        <v>65921</v>
      </c>
      <c r="B316" t="s">
        <v>992</v>
      </c>
      <c r="C316">
        <v>2011</v>
      </c>
      <c r="D316" t="s">
        <v>993</v>
      </c>
      <c r="E316" t="s">
        <v>62</v>
      </c>
      <c r="F316">
        <v>8</v>
      </c>
      <c r="G316">
        <v>8</v>
      </c>
      <c r="H316" t="s">
        <v>994</v>
      </c>
    </row>
    <row r="317" spans="1:8">
      <c r="A317">
        <v>70719</v>
      </c>
      <c r="B317" t="s">
        <v>995</v>
      </c>
      <c r="C317">
        <v>2012</v>
      </c>
      <c r="D317" t="s">
        <v>996</v>
      </c>
      <c r="E317" t="s">
        <v>50</v>
      </c>
      <c r="F317">
        <v>168</v>
      </c>
      <c r="G317">
        <v>3</v>
      </c>
      <c r="H317" t="s">
        <v>997</v>
      </c>
    </row>
    <row r="318" spans="1:8">
      <c r="A318">
        <v>70270</v>
      </c>
      <c r="B318" t="s">
        <v>998</v>
      </c>
      <c r="C318">
        <v>2012</v>
      </c>
      <c r="D318" t="s">
        <v>999</v>
      </c>
      <c r="E318" t="s">
        <v>62</v>
      </c>
      <c r="F318">
        <v>9</v>
      </c>
      <c r="G318">
        <v>5</v>
      </c>
      <c r="H318" t="s">
        <v>1000</v>
      </c>
    </row>
    <row r="319" spans="1:8">
      <c r="A319">
        <v>73245</v>
      </c>
      <c r="B319" t="s">
        <v>1001</v>
      </c>
      <c r="C319">
        <v>2013</v>
      </c>
      <c r="D319" t="s">
        <v>1002</v>
      </c>
      <c r="E319" t="s">
        <v>317</v>
      </c>
      <c r="F319">
        <v>28</v>
      </c>
      <c r="G319">
        <v>5</v>
      </c>
      <c r="H319" t="s">
        <v>1003</v>
      </c>
    </row>
    <row r="320" spans="1:8">
      <c r="A320">
        <v>44130</v>
      </c>
      <c r="B320" t="s">
        <v>1004</v>
      </c>
      <c r="C320">
        <v>2006</v>
      </c>
      <c r="D320" t="s">
        <v>1005</v>
      </c>
      <c r="E320" t="s">
        <v>304</v>
      </c>
      <c r="F320">
        <v>15</v>
      </c>
      <c r="G320">
        <v>3</v>
      </c>
      <c r="H320" t="s">
        <v>1006</v>
      </c>
    </row>
    <row r="321" spans="1:8">
      <c r="A321">
        <v>72574</v>
      </c>
      <c r="B321" t="s">
        <v>1007</v>
      </c>
      <c r="C321">
        <v>2013</v>
      </c>
      <c r="D321" t="s">
        <v>1008</v>
      </c>
      <c r="E321" t="s">
        <v>33</v>
      </c>
      <c r="F321">
        <v>158</v>
      </c>
      <c r="G321" t="s">
        <v>88</v>
      </c>
      <c r="H321" t="s">
        <v>1009</v>
      </c>
    </row>
    <row r="322" spans="1:8">
      <c r="A322">
        <v>48779</v>
      </c>
      <c r="B322" t="s">
        <v>1010</v>
      </c>
      <c r="C322">
        <v>2007</v>
      </c>
      <c r="D322" t="s">
        <v>1011</v>
      </c>
      <c r="E322" t="s">
        <v>1012</v>
      </c>
      <c r="F322" t="s">
        <v>88</v>
      </c>
      <c r="G322">
        <v>305</v>
      </c>
      <c r="H322" t="s">
        <v>1013</v>
      </c>
    </row>
    <row r="323" spans="1:8">
      <c r="A323">
        <v>38978</v>
      </c>
      <c r="B323" t="s">
        <v>1014</v>
      </c>
      <c r="C323">
        <v>2005</v>
      </c>
      <c r="D323" t="s">
        <v>1015</v>
      </c>
      <c r="E323" t="s">
        <v>50</v>
      </c>
      <c r="F323">
        <v>142</v>
      </c>
      <c r="G323">
        <v>3</v>
      </c>
      <c r="H323" t="s">
        <v>1016</v>
      </c>
    </row>
    <row r="324" spans="1:8">
      <c r="A324">
        <v>55494</v>
      </c>
      <c r="B324" t="s">
        <v>1017</v>
      </c>
      <c r="C324">
        <v>2009</v>
      </c>
      <c r="D324" t="s">
        <v>1018</v>
      </c>
      <c r="E324" t="s">
        <v>73</v>
      </c>
      <c r="F324">
        <v>15</v>
      </c>
      <c r="G324">
        <v>5</v>
      </c>
      <c r="H324" t="s">
        <v>1019</v>
      </c>
    </row>
    <row r="325" spans="1:8">
      <c r="A325">
        <v>54817</v>
      </c>
      <c r="B325" t="s">
        <v>1020</v>
      </c>
      <c r="C325">
        <v>2009</v>
      </c>
      <c r="D325" t="s">
        <v>1021</v>
      </c>
      <c r="E325" t="s">
        <v>294</v>
      </c>
      <c r="F325">
        <v>23</v>
      </c>
      <c r="G325">
        <v>4</v>
      </c>
      <c r="H325" t="s">
        <v>1022</v>
      </c>
    </row>
    <row r="326" spans="1:8">
      <c r="A326">
        <v>66528</v>
      </c>
      <c r="B326" t="s">
        <v>1023</v>
      </c>
      <c r="C326">
        <v>2011</v>
      </c>
      <c r="D326" t="s">
        <v>1024</v>
      </c>
      <c r="E326" t="s">
        <v>73</v>
      </c>
      <c r="F326">
        <v>17</v>
      </c>
      <c r="G326">
        <v>5</v>
      </c>
      <c r="H326" t="s">
        <v>1025</v>
      </c>
    </row>
    <row r="327" spans="1:8">
      <c r="A327">
        <v>76185</v>
      </c>
      <c r="B327" t="s">
        <v>1026</v>
      </c>
      <c r="C327">
        <v>2013</v>
      </c>
      <c r="D327" t="s">
        <v>1027</v>
      </c>
      <c r="E327" t="s">
        <v>386</v>
      </c>
      <c r="F327">
        <v>16</v>
      </c>
      <c r="G327">
        <v>11</v>
      </c>
      <c r="H327" t="s">
        <v>1028</v>
      </c>
    </row>
    <row r="328" spans="1:8">
      <c r="A328">
        <v>70663</v>
      </c>
      <c r="B328" t="s">
        <v>1029</v>
      </c>
      <c r="C328">
        <v>2012</v>
      </c>
      <c r="D328" t="s">
        <v>1030</v>
      </c>
      <c r="E328" t="s">
        <v>69</v>
      </c>
      <c r="F328">
        <v>15</v>
      </c>
      <c r="G328">
        <v>5</v>
      </c>
      <c r="H328" t="s">
        <v>1031</v>
      </c>
    </row>
    <row r="329" spans="1:8">
      <c r="A329">
        <v>66835</v>
      </c>
      <c r="B329" t="s">
        <v>1032</v>
      </c>
      <c r="C329">
        <v>2012</v>
      </c>
      <c r="D329" t="s">
        <v>1033</v>
      </c>
      <c r="E329" t="s">
        <v>50</v>
      </c>
      <c r="F329">
        <v>168</v>
      </c>
      <c r="G329">
        <v>1</v>
      </c>
      <c r="H329" t="s">
        <v>1034</v>
      </c>
    </row>
    <row r="330" spans="1:8">
      <c r="A330">
        <v>54400</v>
      </c>
      <c r="B330" t="s">
        <v>1035</v>
      </c>
      <c r="C330">
        <v>2009</v>
      </c>
      <c r="D330" t="s">
        <v>1036</v>
      </c>
      <c r="E330" t="s">
        <v>54</v>
      </c>
      <c r="F330">
        <v>97</v>
      </c>
      <c r="G330">
        <v>4</v>
      </c>
      <c r="H330" t="s">
        <v>1037</v>
      </c>
    </row>
    <row r="331" spans="1:8">
      <c r="A331">
        <v>65946</v>
      </c>
      <c r="B331" t="s">
        <v>1038</v>
      </c>
      <c r="C331">
        <v>2011</v>
      </c>
      <c r="D331" t="s">
        <v>1039</v>
      </c>
      <c r="E331" t="s">
        <v>62</v>
      </c>
      <c r="F331">
        <v>8</v>
      </c>
      <c r="G331">
        <v>9</v>
      </c>
      <c r="H331" t="s">
        <v>1040</v>
      </c>
    </row>
    <row r="332" spans="1:8">
      <c r="A332">
        <v>41503</v>
      </c>
      <c r="B332" t="s">
        <v>1041</v>
      </c>
      <c r="C332">
        <v>2006</v>
      </c>
      <c r="D332" t="s">
        <v>1042</v>
      </c>
      <c r="E332" t="s">
        <v>73</v>
      </c>
      <c r="F332">
        <v>12</v>
      </c>
      <c r="G332">
        <v>9</v>
      </c>
      <c r="H332" t="s">
        <v>1043</v>
      </c>
    </row>
    <row r="333" spans="1:8">
      <c r="A333">
        <v>70733</v>
      </c>
      <c r="B333" t="s">
        <v>332</v>
      </c>
      <c r="C333">
        <v>2012</v>
      </c>
      <c r="D333" t="s">
        <v>1044</v>
      </c>
      <c r="E333" t="s">
        <v>251</v>
      </c>
      <c r="F333">
        <v>10</v>
      </c>
      <c r="G333">
        <v>3</v>
      </c>
      <c r="H333" t="s">
        <v>1045</v>
      </c>
    </row>
    <row r="334" spans="1:8">
      <c r="A334">
        <v>75241</v>
      </c>
      <c r="B334" t="s">
        <v>1046</v>
      </c>
      <c r="C334">
        <v>2013</v>
      </c>
      <c r="D334" t="s">
        <v>1047</v>
      </c>
      <c r="E334" t="s">
        <v>62</v>
      </c>
      <c r="F334">
        <v>10</v>
      </c>
      <c r="G334">
        <v>2</v>
      </c>
      <c r="H334" t="s">
        <v>1048</v>
      </c>
    </row>
    <row r="335" spans="1:8">
      <c r="A335">
        <v>65784</v>
      </c>
      <c r="B335" t="s">
        <v>1049</v>
      </c>
      <c r="C335">
        <v>2011</v>
      </c>
      <c r="D335" t="s">
        <v>1050</v>
      </c>
      <c r="E335" t="s">
        <v>101</v>
      </c>
      <c r="F335">
        <v>2</v>
      </c>
      <c r="G335">
        <v>6</v>
      </c>
      <c r="H335" t="s">
        <v>1051</v>
      </c>
    </row>
    <row r="336" spans="1:8">
      <c r="A336">
        <v>45143</v>
      </c>
      <c r="B336" t="s">
        <v>1052</v>
      </c>
      <c r="C336">
        <v>2006</v>
      </c>
      <c r="D336" t="s">
        <v>1053</v>
      </c>
      <c r="E336" t="s">
        <v>216</v>
      </c>
      <c r="F336">
        <v>2</v>
      </c>
      <c r="G336">
        <v>3</v>
      </c>
      <c r="H336" t="s">
        <v>1054</v>
      </c>
    </row>
    <row r="337" spans="1:8">
      <c r="A337">
        <v>45191</v>
      </c>
      <c r="B337" t="s">
        <v>1055</v>
      </c>
      <c r="C337">
        <v>2006</v>
      </c>
      <c r="D337" t="s">
        <v>1056</v>
      </c>
      <c r="E337" t="s">
        <v>54</v>
      </c>
      <c r="F337">
        <v>94</v>
      </c>
      <c r="G337">
        <v>1</v>
      </c>
      <c r="H337" t="s">
        <v>1057</v>
      </c>
    </row>
    <row r="338" spans="1:8">
      <c r="A338">
        <v>77431</v>
      </c>
      <c r="B338" t="s">
        <v>1058</v>
      </c>
      <c r="C338">
        <v>2014</v>
      </c>
      <c r="D338" t="s">
        <v>1059</v>
      </c>
      <c r="E338" t="s">
        <v>58</v>
      </c>
      <c r="F338">
        <v>25</v>
      </c>
      <c r="G338">
        <v>3</v>
      </c>
      <c r="H338" t="s">
        <v>1060</v>
      </c>
    </row>
    <row r="339" spans="1:8">
      <c r="A339">
        <v>67631</v>
      </c>
      <c r="B339" t="s">
        <v>1061</v>
      </c>
      <c r="C339">
        <v>2012</v>
      </c>
      <c r="D339" t="s">
        <v>1062</v>
      </c>
      <c r="E339" t="s">
        <v>69</v>
      </c>
      <c r="F339">
        <v>15</v>
      </c>
      <c r="G339">
        <v>4</v>
      </c>
      <c r="H339" t="s">
        <v>1063</v>
      </c>
    </row>
    <row r="340" spans="1:8">
      <c r="A340">
        <v>63968</v>
      </c>
      <c r="B340" t="s">
        <v>1064</v>
      </c>
      <c r="C340">
        <v>2011</v>
      </c>
      <c r="D340" t="s">
        <v>1065</v>
      </c>
      <c r="E340" t="s">
        <v>27</v>
      </c>
      <c r="F340">
        <v>278</v>
      </c>
      <c r="G340">
        <v>1722</v>
      </c>
      <c r="H340" t="s">
        <v>1066</v>
      </c>
    </row>
    <row r="341" spans="1:8">
      <c r="A341">
        <v>38200</v>
      </c>
      <c r="B341" t="s">
        <v>1067</v>
      </c>
      <c r="C341">
        <v>2005</v>
      </c>
      <c r="D341" t="s">
        <v>1068</v>
      </c>
      <c r="E341" t="s">
        <v>294</v>
      </c>
      <c r="F341">
        <v>19</v>
      </c>
      <c r="G341">
        <v>6</v>
      </c>
      <c r="H341" t="s">
        <v>1069</v>
      </c>
    </row>
    <row r="342" spans="1:8">
      <c r="A342">
        <v>48084</v>
      </c>
      <c r="B342" t="s">
        <v>1070</v>
      </c>
      <c r="C342">
        <v>2007</v>
      </c>
      <c r="D342" t="s">
        <v>1071</v>
      </c>
      <c r="E342" t="s">
        <v>143</v>
      </c>
      <c r="F342">
        <v>17</v>
      </c>
      <c r="G342">
        <v>5</v>
      </c>
      <c r="H342" t="s">
        <v>1072</v>
      </c>
    </row>
    <row r="343" spans="1:8">
      <c r="A343">
        <v>41990</v>
      </c>
      <c r="B343" t="s">
        <v>1073</v>
      </c>
      <c r="C343">
        <v>2006</v>
      </c>
      <c r="D343" t="s">
        <v>1074</v>
      </c>
      <c r="E343" t="s">
        <v>304</v>
      </c>
      <c r="F343">
        <v>15</v>
      </c>
      <c r="G343">
        <v>2</v>
      </c>
      <c r="H343" t="s">
        <v>1075</v>
      </c>
    </row>
    <row r="344" spans="1:8">
      <c r="A344">
        <v>55644</v>
      </c>
      <c r="B344" t="s">
        <v>93</v>
      </c>
      <c r="C344">
        <v>2009</v>
      </c>
      <c r="D344" t="s">
        <v>1076</v>
      </c>
      <c r="E344" t="s">
        <v>251</v>
      </c>
      <c r="F344">
        <v>7</v>
      </c>
      <c r="G344">
        <v>3</v>
      </c>
      <c r="H344" t="s">
        <v>1077</v>
      </c>
    </row>
    <row r="345" spans="1:8">
      <c r="A345">
        <v>61216</v>
      </c>
      <c r="B345" t="s">
        <v>1078</v>
      </c>
      <c r="C345">
        <v>2010</v>
      </c>
      <c r="D345" t="s">
        <v>1079</v>
      </c>
      <c r="E345" t="s">
        <v>386</v>
      </c>
      <c r="F345">
        <v>13</v>
      </c>
      <c r="G345">
        <v>10</v>
      </c>
      <c r="H345" t="s">
        <v>1080</v>
      </c>
    </row>
    <row r="346" spans="1:8">
      <c r="A346">
        <v>52320</v>
      </c>
      <c r="B346" t="s">
        <v>1081</v>
      </c>
      <c r="C346">
        <v>2008</v>
      </c>
      <c r="D346" t="s">
        <v>1082</v>
      </c>
      <c r="E346" t="s">
        <v>304</v>
      </c>
      <c r="F346">
        <v>17</v>
      </c>
      <c r="G346">
        <v>6</v>
      </c>
      <c r="H346" t="s">
        <v>1083</v>
      </c>
    </row>
    <row r="347" spans="1:8">
      <c r="A347">
        <v>53585</v>
      </c>
      <c r="B347" t="s">
        <v>1084</v>
      </c>
      <c r="C347">
        <v>2009</v>
      </c>
      <c r="D347" t="s">
        <v>1085</v>
      </c>
      <c r="E347" t="s">
        <v>139</v>
      </c>
      <c r="F347">
        <v>118</v>
      </c>
      <c r="G347">
        <v>1</v>
      </c>
      <c r="H347" t="s">
        <v>1086</v>
      </c>
    </row>
    <row r="348" spans="1:8">
      <c r="A348">
        <v>35181</v>
      </c>
      <c r="B348" t="s">
        <v>1087</v>
      </c>
      <c r="C348">
        <v>2004</v>
      </c>
      <c r="D348" t="s">
        <v>1088</v>
      </c>
      <c r="E348" t="s">
        <v>139</v>
      </c>
      <c r="F348">
        <v>104</v>
      </c>
      <c r="G348">
        <v>2</v>
      </c>
      <c r="H348" t="s">
        <v>1089</v>
      </c>
    </row>
    <row r="349" spans="1:8">
      <c r="A349">
        <v>42355</v>
      </c>
      <c r="B349" t="s">
        <v>1090</v>
      </c>
      <c r="C349">
        <v>2006</v>
      </c>
      <c r="D349" t="s">
        <v>1091</v>
      </c>
      <c r="E349" t="s">
        <v>105</v>
      </c>
      <c r="F349">
        <v>117</v>
      </c>
      <c r="G349" t="s">
        <v>1092</v>
      </c>
      <c r="H349" t="s">
        <v>1093</v>
      </c>
    </row>
    <row r="350" spans="1:8">
      <c r="A350">
        <v>60468</v>
      </c>
      <c r="B350" t="s">
        <v>1094</v>
      </c>
      <c r="C350">
        <v>2010</v>
      </c>
      <c r="D350" t="s">
        <v>1095</v>
      </c>
      <c r="E350" t="s">
        <v>50</v>
      </c>
      <c r="F350">
        <v>163</v>
      </c>
      <c r="G350">
        <v>1</v>
      </c>
      <c r="H350" t="s">
        <v>1096</v>
      </c>
    </row>
    <row r="351" spans="1:8">
      <c r="A351">
        <v>67695</v>
      </c>
      <c r="B351" t="s">
        <v>1097</v>
      </c>
      <c r="C351">
        <v>2012</v>
      </c>
      <c r="D351" t="s">
        <v>1098</v>
      </c>
      <c r="E351" t="s">
        <v>62</v>
      </c>
      <c r="F351">
        <v>9</v>
      </c>
      <c r="G351">
        <v>12</v>
      </c>
      <c r="H351" t="s">
        <v>1099</v>
      </c>
    </row>
    <row r="352" spans="1:8">
      <c r="A352">
        <v>42425</v>
      </c>
      <c r="B352" t="s">
        <v>1100</v>
      </c>
      <c r="C352">
        <v>2006</v>
      </c>
      <c r="D352" t="s">
        <v>1101</v>
      </c>
      <c r="E352" t="s">
        <v>87</v>
      </c>
      <c r="F352">
        <v>56</v>
      </c>
      <c r="G352">
        <v>4</v>
      </c>
      <c r="H352" t="s">
        <v>1102</v>
      </c>
    </row>
    <row r="353" spans="1:8">
      <c r="A353">
        <v>58350</v>
      </c>
      <c r="B353" t="s">
        <v>1103</v>
      </c>
      <c r="C353">
        <v>2010</v>
      </c>
      <c r="D353" t="s">
        <v>1104</v>
      </c>
      <c r="E353" t="s">
        <v>27</v>
      </c>
      <c r="F353">
        <v>277</v>
      </c>
      <c r="G353">
        <v>1682</v>
      </c>
      <c r="H353" t="s">
        <v>1105</v>
      </c>
    </row>
    <row r="354" spans="1:8">
      <c r="A354">
        <v>78763</v>
      </c>
      <c r="B354" t="s">
        <v>1106</v>
      </c>
      <c r="C354">
        <v>2014</v>
      </c>
      <c r="D354" t="s">
        <v>1107</v>
      </c>
      <c r="E354" t="s">
        <v>27</v>
      </c>
      <c r="F354">
        <v>281</v>
      </c>
      <c r="G354">
        <v>1784</v>
      </c>
    </row>
    <row r="355" spans="1:8">
      <c r="A355">
        <v>69213</v>
      </c>
      <c r="B355" t="s">
        <v>1108</v>
      </c>
      <c r="C355">
        <v>2012</v>
      </c>
      <c r="D355" t="s">
        <v>1109</v>
      </c>
      <c r="E355" t="s">
        <v>58</v>
      </c>
      <c r="F355">
        <v>23</v>
      </c>
      <c r="G355">
        <v>6</v>
      </c>
      <c r="H355" t="s">
        <v>960</v>
      </c>
    </row>
    <row r="356" spans="1:8">
      <c r="A356">
        <v>68696</v>
      </c>
      <c r="B356" t="s">
        <v>1110</v>
      </c>
      <c r="C356">
        <v>2012</v>
      </c>
      <c r="D356" t="s">
        <v>1111</v>
      </c>
      <c r="E356" t="s">
        <v>50</v>
      </c>
      <c r="F356">
        <v>169</v>
      </c>
      <c r="G356">
        <v>1</v>
      </c>
      <c r="H356" t="s">
        <v>1112</v>
      </c>
    </row>
    <row r="357" spans="1:8">
      <c r="A357">
        <v>67710</v>
      </c>
      <c r="B357" t="s">
        <v>1113</v>
      </c>
      <c r="C357">
        <v>2012</v>
      </c>
      <c r="D357" t="s">
        <v>1114</v>
      </c>
      <c r="E357" t="s">
        <v>33</v>
      </c>
      <c r="F357">
        <v>147</v>
      </c>
      <c r="G357">
        <v>1</v>
      </c>
      <c r="H357" t="s">
        <v>1115</v>
      </c>
    </row>
    <row r="358" spans="1:8">
      <c r="A358">
        <v>77008</v>
      </c>
      <c r="B358" t="s">
        <v>1116</v>
      </c>
      <c r="C358">
        <v>2014</v>
      </c>
      <c r="D358" t="s">
        <v>1117</v>
      </c>
      <c r="E358" t="s">
        <v>108</v>
      </c>
      <c r="F358">
        <v>183</v>
      </c>
      <c r="G358">
        <v>5</v>
      </c>
      <c r="H358" t="s">
        <v>1118</v>
      </c>
    </row>
    <row r="359" spans="1:8">
      <c r="A359">
        <v>59527</v>
      </c>
      <c r="B359" t="s">
        <v>1119</v>
      </c>
      <c r="C359">
        <v>2010</v>
      </c>
      <c r="D359" t="s">
        <v>1120</v>
      </c>
      <c r="E359" t="s">
        <v>27</v>
      </c>
      <c r="F359">
        <v>277</v>
      </c>
      <c r="G359">
        <v>1700</v>
      </c>
      <c r="H359" t="s">
        <v>1121</v>
      </c>
    </row>
    <row r="360" spans="1:8">
      <c r="A360">
        <v>69339</v>
      </c>
      <c r="B360" t="s">
        <v>1122</v>
      </c>
      <c r="C360">
        <v>2012</v>
      </c>
      <c r="D360" t="s">
        <v>1123</v>
      </c>
      <c r="E360" t="s">
        <v>33</v>
      </c>
      <c r="F360">
        <v>147</v>
      </c>
      <c r="G360">
        <v>1</v>
      </c>
      <c r="H360" t="s">
        <v>1124</v>
      </c>
    </row>
    <row r="361" spans="1:8">
      <c r="A361">
        <v>38531</v>
      </c>
      <c r="B361" t="s">
        <v>1125</v>
      </c>
      <c r="C361">
        <v>2005</v>
      </c>
      <c r="D361" t="s">
        <v>1126</v>
      </c>
      <c r="E361" t="s">
        <v>251</v>
      </c>
      <c r="F361">
        <v>3</v>
      </c>
      <c r="G361">
        <v>5</v>
      </c>
      <c r="H361" t="s">
        <v>1127</v>
      </c>
    </row>
    <row r="362" spans="1:8">
      <c r="A362">
        <v>71029</v>
      </c>
      <c r="B362" t="s">
        <v>1128</v>
      </c>
      <c r="C362">
        <v>2012</v>
      </c>
      <c r="D362" t="s">
        <v>1129</v>
      </c>
      <c r="E362" t="s">
        <v>108</v>
      </c>
      <c r="F362">
        <v>179</v>
      </c>
      <c r="G362">
        <v>4</v>
      </c>
      <c r="H362" t="s">
        <v>1130</v>
      </c>
    </row>
    <row r="363" spans="1:8">
      <c r="A363">
        <v>78042</v>
      </c>
      <c r="B363" t="s">
        <v>1131</v>
      </c>
      <c r="C363">
        <v>2014</v>
      </c>
      <c r="D363" t="s">
        <v>1132</v>
      </c>
      <c r="E363" t="s">
        <v>27</v>
      </c>
      <c r="F363">
        <v>281</v>
      </c>
      <c r="G363">
        <v>1778</v>
      </c>
    </row>
    <row r="364" spans="1:8">
      <c r="A364">
        <v>54522</v>
      </c>
      <c r="B364" t="s">
        <v>1133</v>
      </c>
      <c r="C364">
        <v>2009</v>
      </c>
      <c r="D364" t="s">
        <v>1134</v>
      </c>
      <c r="E364" t="s">
        <v>33</v>
      </c>
      <c r="F364">
        <v>142</v>
      </c>
      <c r="G364">
        <v>11</v>
      </c>
      <c r="H364" t="s">
        <v>1135</v>
      </c>
    </row>
    <row r="365" spans="1:8">
      <c r="A365">
        <v>40517</v>
      </c>
      <c r="B365" t="s">
        <v>1136</v>
      </c>
      <c r="C365">
        <v>2005</v>
      </c>
      <c r="D365" t="s">
        <v>1137</v>
      </c>
      <c r="E365" t="s">
        <v>251</v>
      </c>
      <c r="F365">
        <v>3</v>
      </c>
      <c r="G365">
        <v>3</v>
      </c>
      <c r="H365" t="s">
        <v>1138</v>
      </c>
    </row>
    <row r="366" spans="1:8">
      <c r="A366">
        <v>35749</v>
      </c>
      <c r="B366" t="s">
        <v>1139</v>
      </c>
      <c r="C366">
        <v>2004</v>
      </c>
      <c r="D366" t="s">
        <v>1140</v>
      </c>
      <c r="E366" t="s">
        <v>69</v>
      </c>
      <c r="F366">
        <v>7</v>
      </c>
      <c r="G366">
        <v>5</v>
      </c>
      <c r="H366" t="s">
        <v>1141</v>
      </c>
    </row>
    <row r="367" spans="1:8">
      <c r="A367">
        <v>61936</v>
      </c>
      <c r="B367" t="s">
        <v>1142</v>
      </c>
      <c r="C367">
        <v>2010</v>
      </c>
      <c r="D367" t="s">
        <v>1143</v>
      </c>
      <c r="E367" t="s">
        <v>108</v>
      </c>
      <c r="F367">
        <v>176</v>
      </c>
      <c r="G367">
        <v>3</v>
      </c>
      <c r="H367" t="s">
        <v>1144</v>
      </c>
    </row>
    <row r="368" spans="1:8">
      <c r="A368">
        <v>64340</v>
      </c>
      <c r="B368" t="s">
        <v>1145</v>
      </c>
      <c r="C368">
        <v>2011</v>
      </c>
      <c r="D368" t="s">
        <v>1146</v>
      </c>
      <c r="E368" t="s">
        <v>87</v>
      </c>
      <c r="F368">
        <v>70</v>
      </c>
      <c r="G368">
        <v>7</v>
      </c>
      <c r="H368" t="s">
        <v>1147</v>
      </c>
    </row>
    <row r="369" spans="1:8">
      <c r="A369">
        <v>75312</v>
      </c>
      <c r="B369" t="s">
        <v>1148</v>
      </c>
      <c r="C369">
        <v>2013</v>
      </c>
      <c r="D369" t="s">
        <v>1149</v>
      </c>
      <c r="E369" t="s">
        <v>27</v>
      </c>
      <c r="F369">
        <v>280</v>
      </c>
      <c r="G369">
        <v>1759</v>
      </c>
    </row>
    <row r="370" spans="1:8">
      <c r="A370">
        <v>66684</v>
      </c>
      <c r="B370" t="s">
        <v>1150</v>
      </c>
      <c r="C370">
        <v>2012</v>
      </c>
      <c r="D370" t="s">
        <v>1151</v>
      </c>
      <c r="E370" t="s">
        <v>304</v>
      </c>
      <c r="F370">
        <v>21</v>
      </c>
      <c r="G370">
        <v>8</v>
      </c>
      <c r="H370" t="s">
        <v>1152</v>
      </c>
    </row>
    <row r="371" spans="1:8">
      <c r="A371">
        <v>71661</v>
      </c>
      <c r="B371" t="s">
        <v>1153</v>
      </c>
      <c r="C371">
        <v>2013</v>
      </c>
      <c r="D371" t="s">
        <v>1154</v>
      </c>
      <c r="E371" t="s">
        <v>294</v>
      </c>
      <c r="F371">
        <v>27</v>
      </c>
      <c r="G371">
        <v>6</v>
      </c>
      <c r="H371" t="s">
        <v>1155</v>
      </c>
    </row>
    <row r="372" spans="1:8">
      <c r="A372">
        <v>57626</v>
      </c>
      <c r="B372" t="s">
        <v>1156</v>
      </c>
      <c r="C372">
        <v>2009</v>
      </c>
      <c r="D372" t="s">
        <v>1157</v>
      </c>
      <c r="E372" t="s">
        <v>27</v>
      </c>
      <c r="F372">
        <v>276</v>
      </c>
      <c r="G372">
        <v>1675</v>
      </c>
      <c r="H372" t="s">
        <v>1158</v>
      </c>
    </row>
    <row r="373" spans="1:8">
      <c r="A373">
        <v>37272</v>
      </c>
      <c r="B373" t="s">
        <v>1159</v>
      </c>
      <c r="C373">
        <v>2004</v>
      </c>
      <c r="D373" t="s">
        <v>1160</v>
      </c>
      <c r="E373" t="s">
        <v>105</v>
      </c>
      <c r="F373">
        <v>102</v>
      </c>
      <c r="G373">
        <v>3</v>
      </c>
      <c r="H373" t="s">
        <v>1161</v>
      </c>
    </row>
    <row r="374" spans="1:8">
      <c r="A374">
        <v>74611</v>
      </c>
      <c r="B374" t="s">
        <v>1162</v>
      </c>
      <c r="C374">
        <v>2013</v>
      </c>
      <c r="D374" t="s">
        <v>1163</v>
      </c>
      <c r="E374" t="s">
        <v>143</v>
      </c>
      <c r="F374">
        <v>23</v>
      </c>
      <c r="G374">
        <v>2</v>
      </c>
      <c r="H374" t="s">
        <v>1164</v>
      </c>
    </row>
    <row r="375" spans="1:8">
      <c r="A375">
        <v>41996</v>
      </c>
      <c r="B375" t="s">
        <v>1165</v>
      </c>
      <c r="C375">
        <v>2006</v>
      </c>
      <c r="D375" t="s">
        <v>1166</v>
      </c>
      <c r="E375" t="s">
        <v>50</v>
      </c>
      <c r="F375">
        <v>147</v>
      </c>
      <c r="G375">
        <v>3</v>
      </c>
      <c r="H375" t="s">
        <v>1167</v>
      </c>
    </row>
    <row r="376" spans="1:8">
      <c r="A376">
        <v>49409</v>
      </c>
      <c r="B376" t="s">
        <v>1168</v>
      </c>
      <c r="C376">
        <v>2008</v>
      </c>
      <c r="D376" t="s">
        <v>1169</v>
      </c>
      <c r="E376" t="s">
        <v>105</v>
      </c>
      <c r="F376">
        <v>124</v>
      </c>
      <c r="G376" t="s">
        <v>373</v>
      </c>
      <c r="H376" t="s">
        <v>1170</v>
      </c>
    </row>
    <row r="377" spans="1:8">
      <c r="A377">
        <v>64222</v>
      </c>
      <c r="B377" t="s">
        <v>1171</v>
      </c>
      <c r="C377">
        <v>2011</v>
      </c>
      <c r="D377" t="s">
        <v>1172</v>
      </c>
      <c r="E377" t="s">
        <v>50</v>
      </c>
      <c r="F377">
        <v>165</v>
      </c>
      <c r="G377">
        <v>1</v>
      </c>
      <c r="H377" t="s">
        <v>1173</v>
      </c>
    </row>
    <row r="378" spans="1:8">
      <c r="A378">
        <v>42212</v>
      </c>
      <c r="B378" t="s">
        <v>1174</v>
      </c>
      <c r="C378">
        <v>2006</v>
      </c>
      <c r="D378" t="s">
        <v>1175</v>
      </c>
      <c r="E378" t="s">
        <v>304</v>
      </c>
      <c r="F378">
        <v>15</v>
      </c>
      <c r="G378">
        <v>1</v>
      </c>
      <c r="H378" t="s">
        <v>1176</v>
      </c>
    </row>
    <row r="379" spans="1:8">
      <c r="A379">
        <v>65061</v>
      </c>
      <c r="B379" t="s">
        <v>1177</v>
      </c>
      <c r="C379">
        <v>2011</v>
      </c>
      <c r="D379" t="s">
        <v>1178</v>
      </c>
      <c r="E379" t="s">
        <v>139</v>
      </c>
      <c r="F379">
        <v>120</v>
      </c>
      <c r="G379">
        <v>12</v>
      </c>
      <c r="H379" t="s">
        <v>1179</v>
      </c>
    </row>
    <row r="380" spans="1:8">
      <c r="A380">
        <v>67905</v>
      </c>
      <c r="B380" t="s">
        <v>1180</v>
      </c>
      <c r="C380">
        <v>2012</v>
      </c>
      <c r="D380" t="s">
        <v>1181</v>
      </c>
      <c r="E380" t="s">
        <v>386</v>
      </c>
      <c r="F380">
        <v>15</v>
      </c>
      <c r="G380">
        <v>5</v>
      </c>
      <c r="H380" t="s">
        <v>1182</v>
      </c>
    </row>
    <row r="381" spans="1:8">
      <c r="A381">
        <v>44898</v>
      </c>
      <c r="B381" t="s">
        <v>1183</v>
      </c>
      <c r="C381">
        <v>2006</v>
      </c>
      <c r="D381" t="s">
        <v>1184</v>
      </c>
      <c r="E381" t="s">
        <v>87</v>
      </c>
      <c r="F381">
        <v>59</v>
      </c>
      <c r="G381">
        <v>4</v>
      </c>
      <c r="H381" t="s">
        <v>1185</v>
      </c>
    </row>
    <row r="382" spans="1:8">
      <c r="A382">
        <v>62955</v>
      </c>
      <c r="B382" t="s">
        <v>1186</v>
      </c>
      <c r="C382">
        <v>2011</v>
      </c>
      <c r="D382" t="s">
        <v>1187</v>
      </c>
      <c r="E382" t="s">
        <v>143</v>
      </c>
      <c r="F382">
        <v>21</v>
      </c>
      <c r="G382">
        <v>5</v>
      </c>
      <c r="H382" t="s">
        <v>1188</v>
      </c>
    </row>
    <row r="383" spans="1:8">
      <c r="A383">
        <v>44978</v>
      </c>
      <c r="B383" t="s">
        <v>1189</v>
      </c>
      <c r="C383">
        <v>2006</v>
      </c>
      <c r="D383" t="s">
        <v>1190</v>
      </c>
      <c r="E383" t="s">
        <v>143</v>
      </c>
      <c r="F383">
        <v>16</v>
      </c>
      <c r="G383">
        <v>6</v>
      </c>
      <c r="H383" t="s">
        <v>1191</v>
      </c>
    </row>
    <row r="384" spans="1:8">
      <c r="A384">
        <v>66814</v>
      </c>
      <c r="B384" t="s">
        <v>1192</v>
      </c>
      <c r="C384">
        <v>2012</v>
      </c>
      <c r="D384" t="s">
        <v>1193</v>
      </c>
      <c r="E384" t="s">
        <v>69</v>
      </c>
      <c r="F384">
        <v>15</v>
      </c>
      <c r="G384">
        <v>7</v>
      </c>
      <c r="H384" t="s">
        <v>1194</v>
      </c>
    </row>
    <row r="385" spans="1:8">
      <c r="A385">
        <v>40816</v>
      </c>
      <c r="B385" t="s">
        <v>1195</v>
      </c>
      <c r="C385">
        <v>2005</v>
      </c>
      <c r="D385" t="s">
        <v>1196</v>
      </c>
      <c r="E385" t="s">
        <v>251</v>
      </c>
      <c r="F385">
        <v>3</v>
      </c>
      <c r="G385">
        <v>4</v>
      </c>
      <c r="H385" t="s">
        <v>1197</v>
      </c>
    </row>
    <row r="386" spans="1:8">
      <c r="A386">
        <v>74438</v>
      </c>
      <c r="B386" t="s">
        <v>1198</v>
      </c>
      <c r="C386">
        <v>2013</v>
      </c>
      <c r="D386" t="s">
        <v>1199</v>
      </c>
      <c r="E386" t="s">
        <v>317</v>
      </c>
      <c r="F386">
        <v>28</v>
      </c>
      <c r="G386">
        <v>8</v>
      </c>
      <c r="H386" t="s">
        <v>1200</v>
      </c>
    </row>
    <row r="387" spans="1:8">
      <c r="A387">
        <v>58663</v>
      </c>
      <c r="B387" t="s">
        <v>1201</v>
      </c>
      <c r="C387">
        <v>2010</v>
      </c>
      <c r="D387" t="s">
        <v>1202</v>
      </c>
      <c r="E387" t="s">
        <v>27</v>
      </c>
      <c r="F387">
        <v>277</v>
      </c>
      <c r="G387">
        <v>1698</v>
      </c>
      <c r="H387" t="s">
        <v>1203</v>
      </c>
    </row>
    <row r="388" spans="1:8">
      <c r="A388">
        <v>38581</v>
      </c>
      <c r="B388" t="s">
        <v>1204</v>
      </c>
      <c r="C388">
        <v>2005</v>
      </c>
      <c r="D388" t="s">
        <v>1205</v>
      </c>
      <c r="E388" t="s">
        <v>143</v>
      </c>
      <c r="F388">
        <v>15</v>
      </c>
      <c r="G388">
        <v>4</v>
      </c>
      <c r="H388" t="s">
        <v>1206</v>
      </c>
    </row>
    <row r="389" spans="1:8">
      <c r="A389">
        <v>45069</v>
      </c>
      <c r="B389" t="s">
        <v>1207</v>
      </c>
      <c r="C389">
        <v>2006</v>
      </c>
      <c r="D389" t="s">
        <v>1208</v>
      </c>
      <c r="E389" t="s">
        <v>216</v>
      </c>
      <c r="F389">
        <v>2</v>
      </c>
      <c r="G389">
        <v>1</v>
      </c>
      <c r="H389" t="s">
        <v>1209</v>
      </c>
    </row>
    <row r="390" spans="1:8">
      <c r="A390">
        <v>49328</v>
      </c>
      <c r="B390" t="s">
        <v>1210</v>
      </c>
      <c r="C390">
        <v>2007</v>
      </c>
      <c r="D390" t="s">
        <v>1211</v>
      </c>
      <c r="E390" t="s">
        <v>83</v>
      </c>
      <c r="F390">
        <v>13</v>
      </c>
      <c r="G390">
        <v>5</v>
      </c>
      <c r="H390" t="s">
        <v>1212</v>
      </c>
    </row>
    <row r="391" spans="1:8">
      <c r="A391">
        <v>74475</v>
      </c>
      <c r="B391" t="s">
        <v>1213</v>
      </c>
      <c r="C391">
        <v>2013</v>
      </c>
      <c r="D391" t="s">
        <v>1214</v>
      </c>
      <c r="E391" t="s">
        <v>83</v>
      </c>
      <c r="F391">
        <v>19</v>
      </c>
      <c r="G391" t="s">
        <v>1215</v>
      </c>
      <c r="H391" t="s">
        <v>1216</v>
      </c>
    </row>
    <row r="392" spans="1:8">
      <c r="A392">
        <v>64212</v>
      </c>
      <c r="B392" t="s">
        <v>1217</v>
      </c>
      <c r="C392">
        <v>2011</v>
      </c>
      <c r="D392" t="s">
        <v>1218</v>
      </c>
      <c r="E392" t="s">
        <v>27</v>
      </c>
      <c r="F392">
        <v>278</v>
      </c>
      <c r="G392">
        <v>1711</v>
      </c>
      <c r="H392" t="s">
        <v>295</v>
      </c>
    </row>
    <row r="393" spans="1:8">
      <c r="A393">
        <v>43568</v>
      </c>
      <c r="B393" t="s">
        <v>1219</v>
      </c>
      <c r="C393">
        <v>2006</v>
      </c>
      <c r="D393" t="s">
        <v>1220</v>
      </c>
      <c r="E393" t="s">
        <v>294</v>
      </c>
      <c r="F393">
        <v>20</v>
      </c>
      <c r="G393">
        <v>3</v>
      </c>
      <c r="H393" t="s">
        <v>1221</v>
      </c>
    </row>
    <row r="394" spans="1:8">
      <c r="A394">
        <v>48521</v>
      </c>
      <c r="B394" t="s">
        <v>1222</v>
      </c>
      <c r="C394">
        <v>2007</v>
      </c>
      <c r="D394" t="s">
        <v>1223</v>
      </c>
      <c r="E394" t="s">
        <v>105</v>
      </c>
      <c r="F394">
        <v>120</v>
      </c>
      <c r="G394" t="s">
        <v>324</v>
      </c>
      <c r="H394" t="s">
        <v>1224</v>
      </c>
    </row>
    <row r="395" spans="1:8">
      <c r="A395">
        <v>56705</v>
      </c>
      <c r="B395" t="s">
        <v>1225</v>
      </c>
      <c r="C395">
        <v>2009</v>
      </c>
      <c r="D395" t="s">
        <v>1226</v>
      </c>
      <c r="E395" t="s">
        <v>1012</v>
      </c>
      <c r="F395" t="s">
        <v>88</v>
      </c>
      <c r="G395">
        <v>319</v>
      </c>
      <c r="H395" t="s">
        <v>1227</v>
      </c>
    </row>
    <row r="396" spans="1:8">
      <c r="A396">
        <v>76534</v>
      </c>
      <c r="B396" t="s">
        <v>1228</v>
      </c>
      <c r="C396">
        <v>2014</v>
      </c>
      <c r="D396" t="s">
        <v>1229</v>
      </c>
      <c r="E396" t="s">
        <v>251</v>
      </c>
      <c r="F396">
        <v>12</v>
      </c>
      <c r="G396">
        <v>4</v>
      </c>
      <c r="H396" t="s">
        <v>1230</v>
      </c>
    </row>
    <row r="397" spans="1:8">
      <c r="A397">
        <v>68835</v>
      </c>
      <c r="B397" t="s">
        <v>1231</v>
      </c>
      <c r="C397">
        <v>2012</v>
      </c>
      <c r="D397" t="s">
        <v>1232</v>
      </c>
      <c r="E397" t="s">
        <v>101</v>
      </c>
      <c r="F397">
        <v>3</v>
      </c>
      <c r="G397">
        <v>4</v>
      </c>
      <c r="H397" t="s">
        <v>1233</v>
      </c>
    </row>
    <row r="398" spans="1:8">
      <c r="A398">
        <v>36133</v>
      </c>
      <c r="B398" t="s">
        <v>1234</v>
      </c>
      <c r="C398">
        <v>2004</v>
      </c>
      <c r="D398" t="s">
        <v>1235</v>
      </c>
      <c r="E398" t="s">
        <v>251</v>
      </c>
      <c r="F398">
        <v>2</v>
      </c>
      <c r="G398">
        <v>4</v>
      </c>
      <c r="H398" t="s">
        <v>1236</v>
      </c>
    </row>
    <row r="399" spans="1:8">
      <c r="A399">
        <v>52480</v>
      </c>
      <c r="B399" t="s">
        <v>1237</v>
      </c>
      <c r="C399">
        <v>2008</v>
      </c>
      <c r="D399" t="s">
        <v>1238</v>
      </c>
      <c r="E399" t="s">
        <v>27</v>
      </c>
      <c r="F399">
        <v>275</v>
      </c>
      <c r="G399">
        <v>1653</v>
      </c>
      <c r="H399" t="s">
        <v>1239</v>
      </c>
    </row>
    <row r="400" spans="1:8">
      <c r="A400">
        <v>66609</v>
      </c>
      <c r="B400" t="s">
        <v>1240</v>
      </c>
      <c r="C400">
        <v>2011</v>
      </c>
      <c r="D400" t="s">
        <v>1241</v>
      </c>
      <c r="E400" t="s">
        <v>87</v>
      </c>
      <c r="F400">
        <v>71</v>
      </c>
      <c r="G400" t="s">
        <v>88</v>
      </c>
      <c r="H400" t="s">
        <v>1242</v>
      </c>
    </row>
    <row r="401" spans="1:8">
      <c r="A401">
        <v>52621</v>
      </c>
      <c r="B401" t="s">
        <v>1243</v>
      </c>
      <c r="C401">
        <v>2008</v>
      </c>
      <c r="D401" t="s">
        <v>1244</v>
      </c>
      <c r="E401" t="s">
        <v>216</v>
      </c>
      <c r="F401">
        <v>4</v>
      </c>
      <c r="G401">
        <v>6</v>
      </c>
      <c r="H401" t="s">
        <v>1245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7"/>
  <sheetViews>
    <sheetView workbookViewId="0">
      <pane ySplit="1" topLeftCell="A2" activePane="bottomLeft" state="frozen"/>
      <selection pane="bottomLeft" activeCell="C22" sqref="C22"/>
    </sheetView>
  </sheetViews>
  <sheetFormatPr baseColWidth="10" defaultColWidth="8.83203125" defaultRowHeight="12" x14ac:dyDescent="0"/>
  <cols>
    <col min="1" max="1" width="20.33203125" style="12" customWidth="1"/>
    <col min="2" max="2" width="8.83203125" style="12"/>
    <col min="3" max="3" width="44.83203125" style="12" customWidth="1"/>
    <col min="4" max="4" width="23.5" style="12" customWidth="1"/>
    <col min="5" max="5" width="26.1640625" style="12" customWidth="1"/>
    <col min="6" max="6" width="20.33203125" style="12" customWidth="1"/>
    <col min="7" max="16384" width="8.83203125" style="12"/>
  </cols>
  <sheetData>
    <row r="1" spans="1:27" s="17" customFormat="1" ht="11.25" customHeight="1">
      <c r="A1" s="17" t="s">
        <v>1275</v>
      </c>
      <c r="B1" s="17" t="s">
        <v>36</v>
      </c>
      <c r="C1" s="17" t="s">
        <v>1276</v>
      </c>
      <c r="D1" s="17" t="s">
        <v>38</v>
      </c>
      <c r="E1" s="17" t="s">
        <v>8</v>
      </c>
      <c r="F1" s="18" t="s">
        <v>1274</v>
      </c>
    </row>
    <row r="2" spans="1:27" ht="12" customHeight="1">
      <c r="B2" s="12">
        <v>2009</v>
      </c>
      <c r="D2" s="12" t="s">
        <v>50</v>
      </c>
      <c r="E2" s="12" t="s">
        <v>1246</v>
      </c>
      <c r="F2" s="15" t="s">
        <v>1247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5.75" customHeight="1">
      <c r="B3" s="12">
        <v>2008</v>
      </c>
      <c r="D3" s="12" t="s">
        <v>294</v>
      </c>
      <c r="E3" s="15" t="s">
        <v>34</v>
      </c>
      <c r="F3" s="15" t="s">
        <v>1250</v>
      </c>
    </row>
    <row r="4" spans="1:27">
      <c r="B4" s="12">
        <v>2012</v>
      </c>
      <c r="D4" s="16" t="s">
        <v>58</v>
      </c>
      <c r="E4" s="16" t="s">
        <v>1253</v>
      </c>
      <c r="F4" s="16" t="s">
        <v>1247</v>
      </c>
    </row>
    <row r="5" spans="1:27">
      <c r="A5" s="12" t="s">
        <v>67</v>
      </c>
      <c r="B5" s="12">
        <v>2007</v>
      </c>
      <c r="C5" s="12" t="s">
        <v>68</v>
      </c>
      <c r="D5" s="12" t="s">
        <v>69</v>
      </c>
      <c r="F5" s="12" t="s">
        <v>1270</v>
      </c>
    </row>
    <row r="6" spans="1:27">
      <c r="A6" s="12" t="s">
        <v>71</v>
      </c>
      <c r="B6" s="12">
        <v>2012</v>
      </c>
      <c r="C6" s="12" t="s">
        <v>72</v>
      </c>
      <c r="D6" s="12" t="s">
        <v>73</v>
      </c>
      <c r="F6" s="12" t="s">
        <v>1247</v>
      </c>
    </row>
    <row r="7" spans="1:27">
      <c r="A7" s="12" t="s">
        <v>81</v>
      </c>
      <c r="B7" s="12">
        <v>2007</v>
      </c>
      <c r="C7" s="12" t="s">
        <v>82</v>
      </c>
      <c r="D7" s="12" t="s">
        <v>83</v>
      </c>
      <c r="F7" s="12" t="s">
        <v>1250</v>
      </c>
    </row>
    <row r="8" spans="1:27">
      <c r="A8" t="s">
        <v>85</v>
      </c>
      <c r="B8">
        <v>2012</v>
      </c>
      <c r="C8" t="s">
        <v>86</v>
      </c>
      <c r="D8" s="11" t="s">
        <v>87</v>
      </c>
      <c r="F8" s="19" t="s">
        <v>1277</v>
      </c>
    </row>
    <row r="9" spans="1:27">
      <c r="A9" t="s">
        <v>90</v>
      </c>
      <c r="B9">
        <v>2004</v>
      </c>
      <c r="C9" t="s">
        <v>91</v>
      </c>
      <c r="D9" t="s">
        <v>27</v>
      </c>
      <c r="F9" s="19" t="s">
        <v>1247</v>
      </c>
    </row>
    <row r="10" spans="1:27">
      <c r="A10" t="s">
        <v>93</v>
      </c>
      <c r="B10">
        <v>2012</v>
      </c>
      <c r="C10" t="s">
        <v>94</v>
      </c>
      <c r="D10" t="s">
        <v>54</v>
      </c>
      <c r="F10" s="20" t="s">
        <v>1247</v>
      </c>
    </row>
    <row r="11" spans="1:27">
      <c r="A11" t="s">
        <v>96</v>
      </c>
      <c r="B11">
        <v>2009</v>
      </c>
      <c r="C11" t="s">
        <v>97</v>
      </c>
      <c r="D11" t="s">
        <v>27</v>
      </c>
      <c r="F11" s="20" t="s">
        <v>1278</v>
      </c>
    </row>
    <row r="12" spans="1:27">
      <c r="A12" t="s">
        <v>75</v>
      </c>
      <c r="B12">
        <v>2006</v>
      </c>
      <c r="C12" t="s">
        <v>76</v>
      </c>
      <c r="D12" t="s">
        <v>27</v>
      </c>
      <c r="F12" s="20" t="s">
        <v>1278</v>
      </c>
    </row>
    <row r="13" spans="1:27">
      <c r="A13" t="s">
        <v>99</v>
      </c>
      <c r="B13">
        <v>2013</v>
      </c>
      <c r="C13" t="s">
        <v>100</v>
      </c>
      <c r="D13" t="s">
        <v>101</v>
      </c>
      <c r="F13" s="20" t="s">
        <v>1279</v>
      </c>
    </row>
    <row r="14" spans="1:27">
      <c r="A14" t="s">
        <v>103</v>
      </c>
      <c r="B14">
        <v>2004</v>
      </c>
      <c r="C14" t="s">
        <v>104</v>
      </c>
      <c r="D14" t="s">
        <v>105</v>
      </c>
      <c r="F14" s="20" t="s">
        <v>1280</v>
      </c>
    </row>
    <row r="15" spans="1:27">
      <c r="A15" t="s">
        <v>110</v>
      </c>
      <c r="B15">
        <v>2007</v>
      </c>
      <c r="C15" t="s">
        <v>111</v>
      </c>
      <c r="D15" t="s">
        <v>58</v>
      </c>
      <c r="F15" s="20" t="s">
        <v>1247</v>
      </c>
    </row>
    <row r="16" spans="1:27">
      <c r="A16" t="s">
        <v>116</v>
      </c>
      <c r="B16">
        <v>2011</v>
      </c>
      <c r="C16" t="s">
        <v>117</v>
      </c>
      <c r="D16" t="s">
        <v>87</v>
      </c>
      <c r="F16" s="20" t="s">
        <v>1270</v>
      </c>
    </row>
    <row r="17" spans="1:6">
      <c r="A17" t="s">
        <v>119</v>
      </c>
      <c r="B17">
        <v>2004</v>
      </c>
      <c r="C17" t="s">
        <v>120</v>
      </c>
      <c r="D17" t="s">
        <v>73</v>
      </c>
      <c r="F17" s="20" t="s">
        <v>1250</v>
      </c>
    </row>
    <row r="18" spans="1:6">
      <c r="A18" t="s">
        <v>122</v>
      </c>
      <c r="B18">
        <v>2006</v>
      </c>
      <c r="C18" t="s">
        <v>123</v>
      </c>
      <c r="D18" t="s">
        <v>50</v>
      </c>
      <c r="F18" s="20" t="s">
        <v>1247</v>
      </c>
    </row>
    <row r="19" spans="1:6">
      <c r="A19" t="s">
        <v>128</v>
      </c>
      <c r="B19">
        <v>2012</v>
      </c>
      <c r="C19" t="s">
        <v>129</v>
      </c>
      <c r="D19" t="s">
        <v>73</v>
      </c>
      <c r="F19" s="20" t="s">
        <v>1280</v>
      </c>
    </row>
    <row r="20" spans="1:6">
      <c r="A20" t="s">
        <v>134</v>
      </c>
      <c r="B20">
        <v>2014</v>
      </c>
      <c r="C20" t="s">
        <v>135</v>
      </c>
      <c r="D20" t="s">
        <v>50</v>
      </c>
      <c r="F20" s="20" t="s">
        <v>1247</v>
      </c>
    </row>
    <row r="21" spans="1:6">
      <c r="A21" t="s">
        <v>137</v>
      </c>
      <c r="B21">
        <v>2005</v>
      </c>
      <c r="C21" t="s">
        <v>138</v>
      </c>
      <c r="D21" t="s">
        <v>139</v>
      </c>
      <c r="F21" s="20" t="s">
        <v>1247</v>
      </c>
    </row>
    <row r="22" spans="1:6">
      <c r="A22" t="s">
        <v>151</v>
      </c>
      <c r="B22">
        <v>2005</v>
      </c>
      <c r="C22" t="s">
        <v>152</v>
      </c>
      <c r="D22" t="s">
        <v>27</v>
      </c>
      <c r="F22" s="20" t="s">
        <v>1277</v>
      </c>
    </row>
    <row r="23" spans="1:6">
      <c r="A23" t="s">
        <v>154</v>
      </c>
      <c r="B23">
        <v>2011</v>
      </c>
      <c r="C23" t="s">
        <v>155</v>
      </c>
      <c r="D23" t="s">
        <v>87</v>
      </c>
      <c r="F23" s="20" t="s">
        <v>1270</v>
      </c>
    </row>
    <row r="24" spans="1:6">
      <c r="A24" t="s">
        <v>169</v>
      </c>
      <c r="B24">
        <v>2006</v>
      </c>
      <c r="C24" t="s">
        <v>170</v>
      </c>
      <c r="D24" t="s">
        <v>58</v>
      </c>
      <c r="F24" s="20" t="s">
        <v>1277</v>
      </c>
    </row>
    <row r="25" spans="1:6">
      <c r="A25" t="s">
        <v>172</v>
      </c>
      <c r="B25">
        <v>2013</v>
      </c>
      <c r="C25" t="s">
        <v>173</v>
      </c>
      <c r="D25" t="s">
        <v>50</v>
      </c>
      <c r="F25" s="20" t="s">
        <v>1247</v>
      </c>
    </row>
    <row r="26" spans="1:6">
      <c r="A26" t="s">
        <v>181</v>
      </c>
      <c r="B26">
        <v>2010</v>
      </c>
      <c r="C26" t="s">
        <v>182</v>
      </c>
      <c r="D26" t="s">
        <v>33</v>
      </c>
      <c r="F26" s="20" t="s">
        <v>1295</v>
      </c>
    </row>
    <row r="27" spans="1:6">
      <c r="A27" t="s">
        <v>187</v>
      </c>
      <c r="B27">
        <v>2005</v>
      </c>
      <c r="C27" t="s">
        <v>188</v>
      </c>
      <c r="D27" t="s">
        <v>27</v>
      </c>
      <c r="F27" s="20" t="s">
        <v>1247</v>
      </c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Data-bearing</vt:lpstr>
      <vt:lpstr>Raw Draw</vt:lpstr>
      <vt:lpstr>Tossed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Choi</dc:creator>
  <cp:lastModifiedBy>Lyndon Estes</cp:lastModifiedBy>
  <dcterms:created xsi:type="dcterms:W3CDTF">2015-09-10T20:27:15Z</dcterms:created>
  <dcterms:modified xsi:type="dcterms:W3CDTF">2015-12-17T17:24:37Z</dcterms:modified>
</cp:coreProperties>
</file>