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6060" yWindow="0" windowWidth="17480" windowHeight="17460" tabRatio="500" activeTab="3"/>
  </bookViews>
  <sheets>
    <sheet name="Elsen_calibration" sheetId="1" r:id="rId1"/>
    <sheet name="calibration_key" sheetId="2" r:id="rId2"/>
    <sheet name="Elsen_data" sheetId="4" r:id="rId3"/>
    <sheet name="Elsen_final_data"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56" i="5" l="1"/>
  <c r="L56" i="5"/>
  <c r="N56" i="5"/>
  <c r="M56" i="5"/>
  <c r="I56" i="5"/>
  <c r="K56" i="5"/>
  <c r="O55" i="5"/>
  <c r="L55" i="5"/>
  <c r="N55" i="5"/>
  <c r="K55" i="5"/>
  <c r="O54" i="5"/>
  <c r="N54" i="5"/>
  <c r="I54" i="5"/>
  <c r="K54" i="5"/>
  <c r="N53" i="5"/>
  <c r="L53" i="5"/>
  <c r="J53" i="5"/>
  <c r="K53" i="5"/>
  <c r="O52" i="5"/>
  <c r="N52" i="5"/>
  <c r="I52" i="5"/>
  <c r="K52" i="5"/>
  <c r="O51" i="5"/>
  <c r="N51" i="5"/>
  <c r="I51" i="5"/>
  <c r="K51" i="5"/>
  <c r="O50" i="5"/>
  <c r="N50" i="5"/>
  <c r="M50" i="5"/>
  <c r="I50" i="5"/>
  <c r="K50" i="5"/>
  <c r="O49" i="5"/>
  <c r="N49" i="5"/>
  <c r="M49" i="5"/>
  <c r="I49" i="5"/>
  <c r="K49" i="5"/>
  <c r="L48" i="5"/>
  <c r="N48" i="5"/>
  <c r="O48" i="5"/>
  <c r="I48" i="5"/>
  <c r="K48" i="5"/>
  <c r="N47" i="5"/>
  <c r="I47" i="5"/>
  <c r="K47" i="5"/>
  <c r="O46" i="5"/>
  <c r="N46" i="5"/>
  <c r="I46" i="5"/>
  <c r="K46" i="5"/>
  <c r="O45" i="5"/>
  <c r="N45" i="5"/>
  <c r="I45" i="5"/>
  <c r="K45" i="5"/>
  <c r="O44" i="5"/>
  <c r="N44" i="5"/>
  <c r="I44" i="5"/>
  <c r="K44" i="5"/>
  <c r="O43" i="5"/>
  <c r="L43" i="5"/>
  <c r="N43" i="5"/>
  <c r="M43" i="5"/>
  <c r="I43" i="5"/>
  <c r="K43" i="5"/>
  <c r="O42" i="5"/>
  <c r="L42" i="5"/>
  <c r="N42" i="5"/>
  <c r="M42" i="5"/>
  <c r="I42" i="5"/>
  <c r="K42" i="5"/>
  <c r="O41" i="5"/>
  <c r="L41" i="5"/>
  <c r="N41" i="5"/>
  <c r="M41" i="5"/>
  <c r="I41" i="5"/>
  <c r="K41" i="5"/>
  <c r="O40" i="5"/>
  <c r="N40" i="5"/>
  <c r="I40" i="5"/>
  <c r="K40" i="5"/>
  <c r="O39" i="5"/>
  <c r="N39" i="5"/>
  <c r="I39" i="5"/>
  <c r="K39" i="5"/>
  <c r="O38" i="5"/>
  <c r="L38" i="5"/>
  <c r="I38" i="5"/>
  <c r="K38" i="5"/>
  <c r="N38" i="5"/>
  <c r="L37" i="5"/>
  <c r="N37" i="5"/>
  <c r="I37" i="5"/>
  <c r="K37" i="5"/>
  <c r="O36" i="5"/>
  <c r="L36" i="5"/>
  <c r="N36" i="5"/>
  <c r="I36" i="5"/>
  <c r="K36" i="5"/>
  <c r="O35" i="5"/>
  <c r="L35" i="5"/>
  <c r="N35" i="5"/>
  <c r="I35" i="5"/>
  <c r="K35" i="5"/>
  <c r="O34" i="5"/>
  <c r="L34" i="5"/>
  <c r="N34" i="5"/>
  <c r="I34" i="5"/>
  <c r="K34" i="5"/>
  <c r="L33" i="5"/>
  <c r="N33" i="5"/>
  <c r="I33" i="5"/>
  <c r="K33" i="5"/>
  <c r="L32" i="5"/>
  <c r="N32" i="5"/>
  <c r="I32" i="5"/>
  <c r="K32" i="5"/>
  <c r="L31" i="5"/>
  <c r="N31" i="5"/>
  <c r="I31" i="5"/>
  <c r="K31" i="5"/>
  <c r="L30" i="5"/>
  <c r="N30" i="5"/>
  <c r="I30" i="5"/>
  <c r="K30" i="5"/>
  <c r="L29" i="5"/>
  <c r="N29" i="5"/>
  <c r="I29" i="5"/>
  <c r="K29" i="5"/>
  <c r="N28" i="5"/>
  <c r="I28" i="5"/>
  <c r="K28" i="5"/>
  <c r="L27" i="5"/>
  <c r="N27" i="5"/>
  <c r="M27" i="5"/>
  <c r="I27" i="5"/>
  <c r="K27" i="5"/>
  <c r="L26" i="5"/>
  <c r="N26" i="5"/>
  <c r="M26" i="5"/>
  <c r="I26" i="5"/>
  <c r="K26" i="5"/>
  <c r="O25" i="5"/>
  <c r="L25" i="5"/>
  <c r="N25" i="5"/>
  <c r="I25" i="5"/>
  <c r="K25" i="5"/>
  <c r="O24" i="5"/>
  <c r="L24" i="5"/>
  <c r="N24" i="5"/>
  <c r="I24" i="5"/>
  <c r="K24" i="5"/>
  <c r="L23" i="5"/>
  <c r="N23" i="5"/>
  <c r="M23" i="5"/>
  <c r="I23" i="5"/>
  <c r="K23" i="5"/>
  <c r="L22" i="5"/>
  <c r="N22" i="5"/>
  <c r="I22" i="5"/>
  <c r="K22" i="5"/>
  <c r="L21" i="5"/>
  <c r="N21" i="5"/>
  <c r="I21" i="5"/>
  <c r="K21" i="5"/>
  <c r="L20" i="5"/>
  <c r="N20" i="5"/>
  <c r="K20" i="5"/>
  <c r="L19" i="5"/>
  <c r="N19" i="5"/>
  <c r="K19" i="5"/>
  <c r="L18" i="5"/>
  <c r="N18" i="5"/>
  <c r="K18" i="5"/>
  <c r="O17" i="5"/>
  <c r="L17" i="5"/>
  <c r="N17" i="5"/>
  <c r="M17" i="5"/>
  <c r="I17" i="5"/>
  <c r="K17" i="5"/>
  <c r="O16" i="5"/>
  <c r="L16" i="5"/>
  <c r="N16" i="5"/>
  <c r="M16" i="5"/>
  <c r="I16" i="5"/>
  <c r="K16" i="5"/>
  <c r="O15" i="5"/>
  <c r="L15" i="5"/>
  <c r="N15" i="5"/>
  <c r="I15" i="5"/>
  <c r="K15" i="5"/>
  <c r="O14" i="5"/>
  <c r="L14" i="5"/>
  <c r="N14" i="5"/>
  <c r="I14" i="5"/>
  <c r="K14" i="5"/>
  <c r="O13" i="5"/>
  <c r="L13" i="5"/>
  <c r="N13" i="5"/>
  <c r="I13" i="5"/>
  <c r="K13" i="5"/>
  <c r="K12" i="5"/>
  <c r="O11" i="5"/>
  <c r="L11" i="5"/>
  <c r="N11" i="5"/>
  <c r="I11" i="5"/>
  <c r="K11" i="5"/>
  <c r="L10" i="5"/>
  <c r="J10" i="5"/>
  <c r="K10" i="5"/>
  <c r="L9" i="5"/>
  <c r="I9" i="5"/>
  <c r="J9" i="5"/>
  <c r="K9" i="5"/>
  <c r="O8" i="5"/>
  <c r="L8" i="5"/>
  <c r="N8" i="5"/>
  <c r="J8" i="5"/>
  <c r="K8" i="5"/>
  <c r="L7" i="5"/>
  <c r="N7" i="5"/>
  <c r="M7" i="5"/>
  <c r="I7" i="5"/>
  <c r="K7" i="5"/>
  <c r="L6" i="5"/>
  <c r="J6" i="5"/>
  <c r="N6" i="5"/>
  <c r="I6" i="5"/>
  <c r="K6" i="5"/>
  <c r="O5" i="5"/>
  <c r="L5" i="5"/>
  <c r="K5" i="5"/>
  <c r="O4" i="5"/>
  <c r="J4" i="5"/>
  <c r="N4" i="5"/>
  <c r="M4" i="5"/>
  <c r="K4" i="5"/>
  <c r="I4" i="5"/>
  <c r="I3" i="5"/>
  <c r="K3" i="5"/>
  <c r="O2" i="5"/>
  <c r="J2" i="5"/>
  <c r="K2" i="5"/>
  <c r="O122" i="4"/>
  <c r="N122" i="4"/>
  <c r="K122" i="4"/>
  <c r="I122" i="4"/>
  <c r="O124" i="4"/>
  <c r="N124" i="4"/>
  <c r="M124" i="4"/>
  <c r="L124" i="4"/>
  <c r="K124" i="4"/>
  <c r="I124" i="4"/>
  <c r="O123" i="4"/>
  <c r="N123" i="4"/>
  <c r="L123" i="4"/>
  <c r="K123" i="4"/>
  <c r="N119" i="4"/>
  <c r="L119" i="4"/>
  <c r="K119" i="4"/>
  <c r="J119" i="4"/>
  <c r="I118" i="4"/>
  <c r="O118" i="4"/>
  <c r="N118" i="4"/>
  <c r="K118" i="4"/>
  <c r="O117" i="4"/>
  <c r="N117" i="4"/>
  <c r="K117" i="4"/>
  <c r="I117" i="4"/>
  <c r="I116" i="4"/>
  <c r="O116" i="4"/>
  <c r="N116" i="4"/>
  <c r="M116" i="4"/>
  <c r="K116" i="4"/>
  <c r="O115" i="4"/>
  <c r="N115" i="4"/>
  <c r="M115" i="4"/>
  <c r="K115" i="4"/>
  <c r="I115" i="4"/>
  <c r="O111" i="4"/>
  <c r="N111" i="4"/>
  <c r="L111" i="4"/>
  <c r="K111" i="4"/>
  <c r="I111" i="4"/>
  <c r="N105" i="4"/>
  <c r="K105" i="4"/>
  <c r="I105" i="4"/>
  <c r="N104" i="4"/>
  <c r="N103" i="4"/>
  <c r="N102" i="4"/>
  <c r="O104" i="4"/>
  <c r="O103" i="4"/>
  <c r="O102" i="4"/>
  <c r="K104" i="4"/>
  <c r="K103" i="4"/>
  <c r="K102" i="4"/>
  <c r="I104" i="4"/>
  <c r="I103" i="4"/>
  <c r="I102" i="4"/>
  <c r="I99" i="4"/>
  <c r="L99" i="4"/>
  <c r="L98" i="4"/>
  <c r="I98" i="4"/>
  <c r="M99" i="4"/>
  <c r="M98" i="4"/>
  <c r="N99" i="4"/>
  <c r="N98" i="4"/>
  <c r="O99" i="4"/>
  <c r="O98" i="4"/>
  <c r="K99" i="4"/>
  <c r="K98" i="4"/>
  <c r="O97" i="4"/>
  <c r="N97" i="4"/>
  <c r="M97" i="4"/>
  <c r="L97" i="4"/>
  <c r="K97" i="4"/>
  <c r="I97" i="4"/>
  <c r="O93" i="4"/>
  <c r="N93" i="4"/>
  <c r="K93" i="4"/>
  <c r="I93" i="4"/>
  <c r="O92" i="4"/>
  <c r="N92" i="4"/>
  <c r="K92" i="4"/>
  <c r="I92" i="4"/>
  <c r="N91" i="4"/>
  <c r="O91" i="4"/>
  <c r="L91" i="4"/>
  <c r="K91" i="4"/>
  <c r="I91" i="4"/>
  <c r="I90" i="4"/>
  <c r="N90" i="4"/>
  <c r="L90" i="4"/>
  <c r="K90" i="4"/>
  <c r="O89" i="4"/>
  <c r="O88" i="4"/>
  <c r="N89" i="4"/>
  <c r="L89" i="4"/>
  <c r="K89" i="4"/>
  <c r="I89" i="4"/>
  <c r="N88" i="4"/>
  <c r="L88" i="4"/>
  <c r="K88" i="4"/>
  <c r="I88" i="4"/>
  <c r="N87" i="4"/>
  <c r="O87" i="4"/>
  <c r="L87" i="4"/>
  <c r="K87" i="4"/>
  <c r="I87" i="4"/>
  <c r="I84" i="4"/>
  <c r="K84" i="4"/>
  <c r="L84" i="4"/>
  <c r="N84" i="4"/>
  <c r="L83" i="4"/>
  <c r="N83" i="4"/>
  <c r="I83" i="4"/>
  <c r="K83" i="4"/>
  <c r="J27" i="4"/>
  <c r="I28" i="4"/>
  <c r="J28" i="4"/>
  <c r="K27" i="4"/>
  <c r="K28" i="4"/>
  <c r="L82" i="4"/>
  <c r="N82" i="4"/>
  <c r="I82" i="4"/>
  <c r="K82" i="4"/>
  <c r="L77" i="4"/>
  <c r="N77" i="4"/>
  <c r="I77" i="4"/>
  <c r="K77" i="4"/>
  <c r="L76" i="4"/>
  <c r="N76" i="4"/>
  <c r="I76" i="4"/>
  <c r="K76" i="4"/>
  <c r="N75" i="4"/>
  <c r="I75" i="4"/>
  <c r="K75" i="4"/>
  <c r="L74" i="4"/>
  <c r="N74" i="4"/>
  <c r="M74" i="4"/>
  <c r="I74" i="4"/>
  <c r="K74" i="4"/>
  <c r="L73" i="4"/>
  <c r="N73" i="4"/>
  <c r="M73" i="4"/>
  <c r="I73" i="4"/>
  <c r="K73" i="4"/>
  <c r="O72" i="4"/>
  <c r="L72" i="4"/>
  <c r="N72" i="4"/>
  <c r="I72" i="4"/>
  <c r="K72" i="4"/>
  <c r="O71" i="4"/>
  <c r="L71" i="4"/>
  <c r="N71" i="4"/>
  <c r="I71" i="4"/>
  <c r="K71" i="4"/>
  <c r="L64" i="4"/>
  <c r="N64" i="4"/>
  <c r="M64" i="4"/>
  <c r="I64" i="4"/>
  <c r="K64" i="4"/>
  <c r="L63" i="4"/>
  <c r="N63" i="4"/>
  <c r="I63" i="4"/>
  <c r="K63" i="4"/>
  <c r="L62" i="4"/>
  <c r="N62" i="4"/>
  <c r="I62" i="4"/>
  <c r="K62" i="4"/>
  <c r="L61" i="4"/>
  <c r="N61" i="4"/>
  <c r="K61" i="4"/>
  <c r="L60" i="4"/>
  <c r="N60" i="4"/>
  <c r="L59" i="4"/>
  <c r="N59" i="4"/>
  <c r="K60" i="4"/>
  <c r="K59" i="4"/>
  <c r="O46" i="4"/>
  <c r="M46" i="4"/>
  <c r="L46" i="4"/>
  <c r="I46" i="4"/>
  <c r="N46" i="4"/>
  <c r="K46" i="4"/>
  <c r="L45" i="4"/>
  <c r="M45" i="4"/>
  <c r="O45" i="4"/>
  <c r="O44" i="4"/>
  <c r="N45" i="4"/>
  <c r="I45" i="4"/>
  <c r="K45" i="4"/>
  <c r="O43" i="4"/>
  <c r="L44" i="4"/>
  <c r="N44" i="4"/>
  <c r="I44" i="4"/>
  <c r="K44" i="4"/>
  <c r="L43" i="4"/>
  <c r="N43" i="4"/>
  <c r="I43" i="4"/>
  <c r="K43" i="4"/>
  <c r="L36" i="4"/>
  <c r="I36" i="4"/>
  <c r="O36" i="4"/>
  <c r="L34" i="4"/>
  <c r="N34" i="4"/>
  <c r="I34" i="4"/>
  <c r="I26" i="4"/>
  <c r="O34" i="4"/>
  <c r="J29" i="4"/>
  <c r="L28" i="4"/>
  <c r="L27" i="4"/>
  <c r="N27" i="4"/>
  <c r="O27" i="4"/>
  <c r="L26" i="4"/>
  <c r="N26" i="4"/>
  <c r="M26" i="4"/>
  <c r="N36" i="4"/>
  <c r="L29" i="4"/>
  <c r="K36" i="4"/>
  <c r="K35" i="4"/>
  <c r="K34" i="4"/>
  <c r="K29" i="4"/>
  <c r="K26" i="4"/>
  <c r="L25" i="4"/>
  <c r="J25" i="4"/>
  <c r="N25" i="4"/>
  <c r="I25" i="4"/>
  <c r="K25" i="4"/>
  <c r="O14" i="4"/>
  <c r="L14" i="4"/>
  <c r="K14" i="4"/>
  <c r="O12" i="4"/>
  <c r="J12" i="4"/>
  <c r="N12" i="4"/>
  <c r="M12" i="4"/>
  <c r="K12" i="4"/>
  <c r="I12" i="4"/>
  <c r="I9" i="4"/>
  <c r="K9" i="4"/>
  <c r="O8" i="4"/>
  <c r="J8" i="4"/>
  <c r="K8" i="4"/>
  <c r="L4" i="1"/>
  <c r="I4" i="1"/>
  <c r="L31" i="1"/>
  <c r="M31" i="1"/>
  <c r="I31" i="1"/>
  <c r="H31" i="1"/>
  <c r="G31" i="1"/>
  <c r="K29" i="1"/>
  <c r="L29" i="1"/>
  <c r="M29" i="1"/>
  <c r="J29" i="1"/>
  <c r="I29" i="1"/>
  <c r="H29" i="1"/>
  <c r="G29" i="1"/>
  <c r="K28" i="1"/>
  <c r="L28" i="1"/>
  <c r="J28" i="1"/>
  <c r="M28" i="1"/>
  <c r="G28" i="1"/>
  <c r="I28" i="1"/>
  <c r="L27" i="1"/>
  <c r="H27" i="1"/>
  <c r="K27" i="1"/>
  <c r="I27" i="1"/>
  <c r="M26" i="1"/>
  <c r="L26" i="1"/>
  <c r="J26" i="1"/>
  <c r="I26" i="1"/>
  <c r="H25" i="1"/>
  <c r="G26" i="1"/>
  <c r="L24" i="1"/>
  <c r="J25" i="1"/>
  <c r="J24" i="1"/>
  <c r="I25" i="1"/>
  <c r="I24" i="1"/>
  <c r="G22" i="1"/>
  <c r="G25" i="1"/>
  <c r="L22" i="1"/>
  <c r="J22" i="1"/>
  <c r="I22" i="1"/>
  <c r="L21" i="1"/>
  <c r="K21" i="1"/>
  <c r="I21" i="1"/>
  <c r="L17" i="1"/>
  <c r="K17" i="1"/>
  <c r="K13" i="1"/>
  <c r="H17" i="1"/>
  <c r="G17" i="1"/>
  <c r="I17" i="1"/>
  <c r="G16" i="1"/>
  <c r="L16" i="1"/>
  <c r="K16" i="1"/>
  <c r="I16" i="1"/>
  <c r="L15" i="1"/>
  <c r="K15" i="1"/>
  <c r="L14" i="1"/>
  <c r="L13" i="1"/>
  <c r="L12" i="1"/>
  <c r="M14" i="1"/>
  <c r="K14" i="1"/>
  <c r="M13" i="1"/>
  <c r="G15" i="1"/>
  <c r="I15" i="1"/>
  <c r="G14" i="1"/>
  <c r="I14" i="1"/>
  <c r="I13" i="1"/>
  <c r="K12" i="1"/>
  <c r="I12" i="1"/>
  <c r="M9" i="1"/>
  <c r="J9" i="1"/>
  <c r="J8" i="1"/>
  <c r="H8" i="1"/>
  <c r="L8" i="1"/>
  <c r="G8" i="1"/>
  <c r="I8" i="1"/>
  <c r="J6" i="1"/>
  <c r="I9" i="1"/>
  <c r="L6" i="1"/>
  <c r="M6" i="1"/>
  <c r="K6" i="1"/>
  <c r="G6" i="1"/>
  <c r="I6" i="1"/>
</calcChain>
</file>

<file path=xl/comments1.xml><?xml version="1.0" encoding="utf-8"?>
<comments xmlns="http://schemas.openxmlformats.org/spreadsheetml/2006/main">
  <authors>
    <author/>
    <author>Paul Elsen</author>
  </authors>
  <commentList>
    <comment ref="I2" authorId="0">
      <text>
        <r>
          <rPr>
            <sz val="10"/>
            <rFont val="Arial"/>
          </rPr>
          <t xml:space="preserve">Lyndon Estes:
Calculate as (plot resolution * N sites) / 10000
</t>
        </r>
      </text>
    </comment>
    <comment ref="R2" authorId="0">
      <text>
        <r>
          <rPr>
            <sz val="10"/>
            <rFont val="Arial"/>
          </rPr>
          <t>Lyndon Estes:
separate with semi-colon if more than one</t>
        </r>
      </text>
    </comment>
    <comment ref="J4" authorId="1">
      <text>
        <r>
          <rPr>
            <b/>
            <sz val="9"/>
            <color indexed="81"/>
            <rFont val="Arial"/>
          </rPr>
          <t>Paul Elsen:</t>
        </r>
        <r>
          <rPr>
            <sz val="9"/>
            <color indexed="81"/>
            <rFont val="Arial"/>
          </rPr>
          <t xml:space="preserve">
continuous acoustic recording, each plot surveyed over two days, but assume only recorded for 12 hours per day</t>
        </r>
      </text>
    </comment>
    <comment ref="K4" authorId="1">
      <text>
        <r>
          <rPr>
            <b/>
            <sz val="9"/>
            <color indexed="81"/>
            <rFont val="Arial"/>
          </rPr>
          <t>Paul Elsen:</t>
        </r>
        <r>
          <rPr>
            <sz val="9"/>
            <color indexed="81"/>
            <rFont val="Arial"/>
          </rPr>
          <t xml:space="preserve">
assume data collected 30 days apart first in August then in September</t>
        </r>
      </text>
    </comment>
    <comment ref="L4" authorId="1">
      <text>
        <r>
          <rPr>
            <b/>
            <sz val="9"/>
            <color indexed="81"/>
            <rFont val="Arial"/>
          </rPr>
          <t>Paul Elsen:</t>
        </r>
        <r>
          <rPr>
            <sz val="9"/>
            <color indexed="81"/>
            <rFont val="Arial"/>
          </rPr>
          <t xml:space="preserve">
2 repeated samples, each sample takes 12 hours</t>
        </r>
      </text>
    </comment>
    <comment ref="G6" authorId="1">
      <text>
        <r>
          <rPr>
            <b/>
            <sz val="9"/>
            <color indexed="81"/>
            <rFont val="Arial"/>
          </rPr>
          <t>Paul Elsen:</t>
        </r>
        <r>
          <rPr>
            <sz val="9"/>
            <color indexed="81"/>
            <rFont val="Arial"/>
          </rPr>
          <t xml:space="preserve">
assuming 10 cm diameter core</t>
        </r>
      </text>
    </comment>
    <comment ref="J6" authorId="1">
      <text>
        <r>
          <rPr>
            <b/>
            <sz val="9"/>
            <color indexed="81"/>
            <rFont val="Arial"/>
          </rPr>
          <t>Paul Elsen:</t>
        </r>
        <r>
          <rPr>
            <sz val="9"/>
            <color indexed="81"/>
            <rFont val="Arial"/>
          </rPr>
          <t xml:space="preserve">
assuming it takes 30 seconds to extract a core</t>
        </r>
      </text>
    </comment>
    <comment ref="K6" authorId="1">
      <text>
        <r>
          <rPr>
            <b/>
            <sz val="9"/>
            <color indexed="81"/>
            <rFont val="Arial"/>
          </rPr>
          <t>Paul Elsen:</t>
        </r>
        <r>
          <rPr>
            <sz val="9"/>
            <color indexed="81"/>
            <rFont val="Arial"/>
          </rPr>
          <t xml:space="preserve">
assuming the 250 year sampling interval</t>
        </r>
      </text>
    </comment>
    <comment ref="G8" authorId="1">
      <text>
        <r>
          <rPr>
            <b/>
            <sz val="9"/>
            <color indexed="81"/>
            <rFont val="Arial"/>
          </rPr>
          <t>Paul Elsen:</t>
        </r>
        <r>
          <rPr>
            <sz val="9"/>
            <color indexed="81"/>
            <rFont val="Arial"/>
          </rPr>
          <t xml:space="preserve">
assume 20, 2 inch diameter wheat shoots were sampled</t>
        </r>
      </text>
    </comment>
    <comment ref="J8" authorId="1">
      <text>
        <r>
          <rPr>
            <b/>
            <sz val="9"/>
            <color indexed="81"/>
            <rFont val="Arial"/>
          </rPr>
          <t>Paul Elsen:</t>
        </r>
        <r>
          <rPr>
            <sz val="9"/>
            <color indexed="81"/>
            <rFont val="Arial"/>
          </rPr>
          <t xml:space="preserve">
assuming it takes 5 minutes to sample</t>
        </r>
      </text>
    </comment>
    <comment ref="J9" authorId="1">
      <text>
        <r>
          <rPr>
            <b/>
            <sz val="9"/>
            <color indexed="81"/>
            <rFont val="Arial"/>
          </rPr>
          <t xml:space="preserve">Paul Elsen:
</t>
        </r>
        <r>
          <rPr>
            <sz val="9"/>
            <color indexed="81"/>
            <rFont val="Arial"/>
          </rPr>
          <t>assuming it takes 10 minutes to sample the 50-m long transect</t>
        </r>
      </text>
    </comment>
    <comment ref="L9" authorId="1">
      <text>
        <r>
          <rPr>
            <b/>
            <sz val="9"/>
            <color indexed="81"/>
            <rFont val="Arial"/>
          </rPr>
          <t>Paul Elsen:</t>
        </r>
        <r>
          <rPr>
            <sz val="9"/>
            <color indexed="81"/>
            <rFont val="Arial"/>
          </rPr>
          <t xml:space="preserve">
assuming sampling takes one day per transect per year</t>
        </r>
      </text>
    </comment>
    <comment ref="J12" authorId="1">
      <text>
        <r>
          <rPr>
            <b/>
            <sz val="9"/>
            <color indexed="81"/>
            <rFont val="Arial"/>
          </rPr>
          <t>Paul Elsen:</t>
        </r>
        <r>
          <rPr>
            <sz val="9"/>
            <color indexed="81"/>
            <rFont val="Arial"/>
          </rPr>
          <t xml:space="preserve">
assume it takes one day to measure all trees in a site</t>
        </r>
      </text>
    </comment>
    <comment ref="L12" authorId="1">
      <text>
        <r>
          <rPr>
            <b/>
            <sz val="9"/>
            <color indexed="81"/>
            <rFont val="Arial"/>
          </rPr>
          <t>Paul Elsen:</t>
        </r>
        <r>
          <rPr>
            <sz val="9"/>
            <color indexed="81"/>
            <rFont val="Arial"/>
          </rPr>
          <t xml:space="preserve">
x 2 time periods</t>
        </r>
      </text>
    </comment>
    <comment ref="J13" authorId="1">
      <text>
        <r>
          <rPr>
            <b/>
            <sz val="9"/>
            <color indexed="81"/>
            <rFont val="Arial"/>
          </rPr>
          <t>Paul Elsen:</t>
        </r>
        <r>
          <rPr>
            <sz val="9"/>
            <color indexed="81"/>
            <rFont val="Arial"/>
          </rPr>
          <t xml:space="preserve">
assume it takes 1 day per site</t>
        </r>
      </text>
    </comment>
    <comment ref="K13" authorId="1">
      <text>
        <r>
          <rPr>
            <b/>
            <sz val="9"/>
            <color indexed="81"/>
            <rFont val="Arial"/>
          </rPr>
          <t>Paul Elsen:</t>
        </r>
        <r>
          <rPr>
            <sz val="9"/>
            <color indexed="81"/>
            <rFont val="Arial"/>
          </rPr>
          <t xml:space="preserve">
assume even spacing of sample collection throughout the year</t>
        </r>
      </text>
    </comment>
    <comment ref="J14" authorId="1">
      <text>
        <r>
          <rPr>
            <b/>
            <sz val="9"/>
            <color indexed="81"/>
            <rFont val="Arial"/>
          </rPr>
          <t>Paul Elsen:</t>
        </r>
        <r>
          <rPr>
            <sz val="9"/>
            <color indexed="81"/>
            <rFont val="Arial"/>
          </rPr>
          <t xml:space="preserve">
assume 1 day sampling per site</t>
        </r>
      </text>
    </comment>
    <comment ref="L14" authorId="1">
      <text>
        <r>
          <rPr>
            <b/>
            <sz val="9"/>
            <color indexed="81"/>
            <rFont val="Arial"/>
          </rPr>
          <t>Paul Elsen:</t>
        </r>
        <r>
          <rPr>
            <sz val="9"/>
            <color indexed="81"/>
            <rFont val="Arial"/>
          </rPr>
          <t xml:space="preserve">
* two time periods (2007 &amp; 2010)</t>
        </r>
      </text>
    </comment>
    <comment ref="J15" authorId="1">
      <text>
        <r>
          <rPr>
            <b/>
            <sz val="9"/>
            <color indexed="81"/>
            <rFont val="Arial"/>
          </rPr>
          <t>Paul Elsen:</t>
        </r>
        <r>
          <rPr>
            <sz val="9"/>
            <color indexed="81"/>
            <rFont val="Arial"/>
          </rPr>
          <t xml:space="preserve">
assume 1 day sampling per site</t>
        </r>
      </text>
    </comment>
    <comment ref="K15" authorId="1">
      <text>
        <r>
          <rPr>
            <b/>
            <sz val="9"/>
            <color indexed="81"/>
            <rFont val="Arial"/>
          </rPr>
          <t>Paul Elsen:</t>
        </r>
        <r>
          <rPr>
            <sz val="9"/>
            <color indexed="81"/>
            <rFont val="Arial"/>
          </rPr>
          <t xml:space="preserve">
assume even spacing of sample collection throughout the summer</t>
        </r>
      </text>
    </comment>
    <comment ref="J16" authorId="1">
      <text>
        <r>
          <rPr>
            <b/>
            <sz val="9"/>
            <color indexed="81"/>
            <rFont val="Arial"/>
          </rPr>
          <t>Paul Elsen:</t>
        </r>
        <r>
          <rPr>
            <sz val="9"/>
            <color indexed="81"/>
            <rFont val="Arial"/>
          </rPr>
          <t xml:space="preserve">
assume 1 site per day</t>
        </r>
      </text>
    </comment>
    <comment ref="K16" authorId="1">
      <text>
        <r>
          <rPr>
            <b/>
            <sz val="9"/>
            <color indexed="81"/>
            <rFont val="Arial"/>
          </rPr>
          <t>Paul Elsen:</t>
        </r>
        <r>
          <rPr>
            <sz val="9"/>
            <color indexed="81"/>
            <rFont val="Arial"/>
          </rPr>
          <t xml:space="preserve">
assume even spacing of sample collection throughout the summer</t>
        </r>
      </text>
    </comment>
    <comment ref="G17" authorId="1">
      <text>
        <r>
          <rPr>
            <b/>
            <sz val="9"/>
            <color indexed="81"/>
            <rFont val="Arial"/>
          </rPr>
          <t>Paul Elsen:</t>
        </r>
        <r>
          <rPr>
            <sz val="9"/>
            <color indexed="81"/>
            <rFont val="Arial"/>
          </rPr>
          <t xml:space="preserve">
assume a 1 cm diameter depth probe</t>
        </r>
      </text>
    </comment>
    <comment ref="J17" authorId="1">
      <text>
        <r>
          <rPr>
            <b/>
            <sz val="9"/>
            <color indexed="81"/>
            <rFont val="Arial"/>
          </rPr>
          <t>Paul Elsen:</t>
        </r>
        <r>
          <rPr>
            <sz val="9"/>
            <color indexed="81"/>
            <rFont val="Arial"/>
          </rPr>
          <t xml:space="preserve">
assume 1 day per site</t>
        </r>
      </text>
    </comment>
    <comment ref="K17" authorId="1">
      <text>
        <r>
          <rPr>
            <b/>
            <sz val="9"/>
            <color indexed="81"/>
            <rFont val="Arial"/>
          </rPr>
          <t>Paul Elsen:</t>
        </r>
        <r>
          <rPr>
            <sz val="9"/>
            <color indexed="81"/>
            <rFont val="Arial"/>
          </rPr>
          <t xml:space="preserve">
assume even spacing of data collection throughout year</t>
        </r>
      </text>
    </comment>
    <comment ref="J21" authorId="1">
      <text>
        <r>
          <rPr>
            <b/>
            <sz val="9"/>
            <color indexed="81"/>
            <rFont val="Arial"/>
          </rPr>
          <t>Paul Elsen:</t>
        </r>
        <r>
          <rPr>
            <sz val="9"/>
            <color indexed="81"/>
            <rFont val="Arial"/>
          </rPr>
          <t xml:space="preserve">
assume 1 day to sample 1 site</t>
        </r>
      </text>
    </comment>
    <comment ref="G22" authorId="1">
      <text>
        <r>
          <rPr>
            <b/>
            <sz val="9"/>
            <color indexed="81"/>
            <rFont val="Arial"/>
          </rPr>
          <t>Paul Elsen:</t>
        </r>
        <r>
          <rPr>
            <sz val="9"/>
            <color indexed="81"/>
            <rFont val="Arial"/>
          </rPr>
          <t xml:space="preserve">
assume sward is .5 cm diameter</t>
        </r>
      </text>
    </comment>
    <comment ref="M22" authorId="1">
      <text>
        <r>
          <rPr>
            <b/>
            <sz val="9"/>
            <color indexed="81"/>
            <rFont val="Arial"/>
          </rPr>
          <t>Paul Elsen:</t>
        </r>
        <r>
          <rPr>
            <sz val="9"/>
            <color indexed="81"/>
            <rFont val="Arial"/>
          </rPr>
          <t xml:space="preserve">
assuming a six month growing season</t>
        </r>
      </text>
    </comment>
    <comment ref="G24" authorId="1">
      <text>
        <r>
          <rPr>
            <b/>
            <sz val="9"/>
            <color indexed="81"/>
            <rFont val="Arial"/>
          </rPr>
          <t>Paul Elsen:</t>
        </r>
        <r>
          <rPr>
            <sz val="9"/>
            <color indexed="81"/>
            <rFont val="Arial"/>
          </rPr>
          <t xml:space="preserve">
found reference stating areal dimensions of 0.36 m^2 (see notes for reference)</t>
        </r>
      </text>
    </comment>
    <comment ref="J24" authorId="1">
      <text>
        <r>
          <rPr>
            <b/>
            <sz val="9"/>
            <color indexed="81"/>
            <rFont val="Arial"/>
          </rPr>
          <t>Paul Elsen:</t>
        </r>
        <r>
          <rPr>
            <sz val="9"/>
            <color indexed="81"/>
            <rFont val="Arial"/>
          </rPr>
          <t xml:space="preserve">
assume constant sampling over two survey periods in 2004/2005</t>
        </r>
      </text>
    </comment>
    <comment ref="L24" authorId="1">
      <text>
        <r>
          <rPr>
            <b/>
            <sz val="9"/>
            <color indexed="81"/>
            <rFont val="Arial"/>
          </rPr>
          <t>Paul Elsen:</t>
        </r>
        <r>
          <rPr>
            <sz val="9"/>
            <color indexed="81"/>
            <rFont val="Arial"/>
          </rPr>
          <t xml:space="preserve">
assume no repeated samples</t>
        </r>
      </text>
    </comment>
    <comment ref="M24" authorId="1">
      <text>
        <r>
          <rPr>
            <b/>
            <sz val="9"/>
            <color indexed="81"/>
            <rFont val="Arial"/>
          </rPr>
          <t>Paul Elsen:</t>
        </r>
        <r>
          <rPr>
            <sz val="9"/>
            <color indexed="81"/>
            <rFont val="Arial"/>
          </rPr>
          <t xml:space="preserve">
from Jun 2 2004 to Aug 15 2005</t>
        </r>
      </text>
    </comment>
    <comment ref="G25" authorId="1">
      <text>
        <r>
          <rPr>
            <b/>
            <sz val="9"/>
            <color indexed="81"/>
            <rFont val="Arial"/>
          </rPr>
          <t>Paul Elsen:</t>
        </r>
        <r>
          <rPr>
            <sz val="9"/>
            <color indexed="81"/>
            <rFont val="Arial"/>
          </rPr>
          <t xml:space="preserve">
assume 10 cm diameter for pitfall trap * 4 traps</t>
        </r>
      </text>
    </comment>
    <comment ref="J25" authorId="1">
      <text>
        <r>
          <rPr>
            <b/>
            <sz val="9"/>
            <color indexed="81"/>
            <rFont val="Arial"/>
          </rPr>
          <t>Paul Elsen:</t>
        </r>
        <r>
          <rPr>
            <sz val="9"/>
            <color indexed="81"/>
            <rFont val="Arial"/>
          </rPr>
          <t xml:space="preserve">
as above</t>
        </r>
      </text>
    </comment>
    <comment ref="L25" authorId="1">
      <text>
        <r>
          <rPr>
            <b/>
            <sz val="9"/>
            <color indexed="81"/>
            <rFont val="Arial"/>
          </rPr>
          <t>Paul Elsen:</t>
        </r>
        <r>
          <rPr>
            <sz val="9"/>
            <color indexed="81"/>
            <rFont val="Arial"/>
          </rPr>
          <t xml:space="preserve">
assume no repeated samples</t>
        </r>
      </text>
    </comment>
    <comment ref="M25" authorId="1">
      <text>
        <r>
          <rPr>
            <b/>
            <sz val="9"/>
            <color indexed="81"/>
            <rFont val="Arial"/>
          </rPr>
          <t>Paul Elsen:</t>
        </r>
        <r>
          <rPr>
            <sz val="9"/>
            <color indexed="81"/>
            <rFont val="Arial"/>
          </rPr>
          <t xml:space="preserve">
as above</t>
        </r>
      </text>
    </comment>
    <comment ref="J27" authorId="1">
      <text>
        <r>
          <rPr>
            <b/>
            <sz val="9"/>
            <color indexed="81"/>
            <rFont val="Arial"/>
          </rPr>
          <t>Paul Elsen:</t>
        </r>
        <r>
          <rPr>
            <sz val="9"/>
            <color indexed="81"/>
            <rFont val="Arial"/>
          </rPr>
          <t xml:space="preserve">
assume each stand takes one day to survey</t>
        </r>
      </text>
    </comment>
    <comment ref="K27" authorId="1">
      <text>
        <r>
          <rPr>
            <b/>
            <sz val="9"/>
            <color indexed="81"/>
            <rFont val="Arial"/>
          </rPr>
          <t>Paul Elsen:</t>
        </r>
        <r>
          <rPr>
            <sz val="9"/>
            <color indexed="81"/>
            <rFont val="Arial"/>
          </rPr>
          <t xml:space="preserve">
assume even spacing between sampling; assume study span matched that of max(beetles, birds)</t>
        </r>
      </text>
    </comment>
    <comment ref="L27" authorId="1">
      <text>
        <r>
          <rPr>
            <b/>
            <sz val="9"/>
            <color indexed="81"/>
            <rFont val="Arial"/>
          </rPr>
          <t>Paul Elsen:</t>
        </r>
        <r>
          <rPr>
            <sz val="9"/>
            <color indexed="81"/>
            <rFont val="Arial"/>
          </rPr>
          <t xml:space="preserve">
assume sampling throughout period surveyed for beetles/birds</t>
        </r>
      </text>
    </comment>
    <comment ref="M27" authorId="1">
      <text>
        <r>
          <rPr>
            <b/>
            <sz val="9"/>
            <color indexed="81"/>
            <rFont val="Arial"/>
          </rPr>
          <t>Paul Elsen:</t>
        </r>
        <r>
          <rPr>
            <sz val="9"/>
            <color indexed="81"/>
            <rFont val="Arial"/>
          </rPr>
          <t xml:space="preserve">
assume max(beetles, birds)</t>
        </r>
      </text>
    </comment>
    <comment ref="K28" authorId="1">
      <text>
        <r>
          <rPr>
            <b/>
            <sz val="9"/>
            <color indexed="81"/>
            <rFont val="Arial"/>
          </rPr>
          <t>Paul Elsen:</t>
        </r>
        <r>
          <rPr>
            <sz val="9"/>
            <color indexed="81"/>
            <rFont val="Arial"/>
          </rPr>
          <t xml:space="preserve">
assume equal spacing of sampling = 76/50</t>
        </r>
      </text>
    </comment>
    <comment ref="K29" authorId="1">
      <text>
        <r>
          <rPr>
            <b/>
            <sz val="9"/>
            <color indexed="81"/>
            <rFont val="Arial"/>
          </rPr>
          <t>Paul Elsen:</t>
        </r>
        <r>
          <rPr>
            <sz val="9"/>
            <color indexed="81"/>
            <rFont val="Arial"/>
          </rPr>
          <t xml:space="preserve">
assume even spacing = 76/600</t>
        </r>
      </text>
    </comment>
    <comment ref="G31" authorId="1">
      <text>
        <r>
          <rPr>
            <b/>
            <sz val="9"/>
            <color indexed="81"/>
            <rFont val="Arial"/>
          </rPr>
          <t>Paul Elsen:</t>
        </r>
        <r>
          <rPr>
            <sz val="9"/>
            <color indexed="81"/>
            <rFont val="Arial"/>
          </rPr>
          <t xml:space="preserve">
assuming lynx is 100 cm long and 25 cm wide</t>
        </r>
      </text>
    </comment>
    <comment ref="J31" authorId="1">
      <text>
        <r>
          <rPr>
            <b/>
            <sz val="9"/>
            <color indexed="81"/>
            <rFont val="Arial"/>
          </rPr>
          <t>Paul Elsen:</t>
        </r>
        <r>
          <rPr>
            <sz val="9"/>
            <color indexed="81"/>
            <rFont val="Arial"/>
          </rPr>
          <t xml:space="preserve">
assume 1 day to record developmental measurements for each individual</t>
        </r>
      </text>
    </comment>
  </commentList>
</comments>
</file>

<file path=xl/comments2.xml><?xml version="1.0" encoding="utf-8"?>
<comments xmlns="http://schemas.openxmlformats.org/spreadsheetml/2006/main">
  <authors>
    <author/>
  </authors>
  <commentList>
    <comment ref="A18" authorId="0">
      <text>
        <r>
          <rPr>
            <sz val="10"/>
            <rFont val="Arial"/>
          </rPr>
          <t>Lyndon Estes:
separate with semi-colon if more than one</t>
        </r>
      </text>
    </comment>
  </commentList>
</comments>
</file>

<file path=xl/comments3.xml><?xml version="1.0" encoding="utf-8"?>
<comments xmlns="http://schemas.openxmlformats.org/spreadsheetml/2006/main">
  <authors>
    <author/>
    <author>Paul Elsen</author>
  </authors>
  <commentList>
    <comment ref="K2" authorId="0">
      <text>
        <r>
          <rPr>
            <sz val="10"/>
            <rFont val="Arial"/>
          </rPr>
          <t xml:space="preserve">Lyndon Estes:
Calculate as (plot resolution * N sites) / 10000
</t>
        </r>
      </text>
    </comment>
    <comment ref="T2" authorId="0">
      <text>
        <r>
          <rPr>
            <sz val="10"/>
            <rFont val="Arial"/>
          </rPr>
          <t>Lyndon Estes:
separate with semi-colon if more than one</t>
        </r>
      </text>
    </comment>
    <comment ref="J8" authorId="1">
      <text>
        <r>
          <rPr>
            <b/>
            <sz val="9"/>
            <color indexed="81"/>
            <rFont val="Arial"/>
          </rPr>
          <t>Paul Elsen:</t>
        </r>
        <r>
          <rPr>
            <sz val="9"/>
            <color indexed="81"/>
            <rFont val="Arial"/>
          </rPr>
          <t xml:space="preserve">
Kopuatai bog = 16 + 4 sites; Chatham Island = (28 + 29 - 27) sites</t>
        </r>
      </text>
    </comment>
    <comment ref="L8" authorId="1">
      <text>
        <r>
          <rPr>
            <b/>
            <sz val="9"/>
            <color indexed="81"/>
            <rFont val="Arial"/>
          </rPr>
          <t>Paul Elsen:</t>
        </r>
        <r>
          <rPr>
            <sz val="9"/>
            <color indexed="81"/>
            <rFont val="Arial"/>
          </rPr>
          <t xml:space="preserve">
all 50 sites were surveyed in November 2002 and February 21 so assume 1 day per site</t>
        </r>
      </text>
    </comment>
    <comment ref="I9" authorId="1">
      <text>
        <r>
          <rPr>
            <b/>
            <sz val="9"/>
            <color indexed="81"/>
            <rFont val="Arial"/>
          </rPr>
          <t>Paul Elsen:</t>
        </r>
        <r>
          <rPr>
            <sz val="9"/>
            <color indexed="81"/>
            <rFont val="Arial"/>
          </rPr>
          <t xml:space="preserve">
assume the roots are .5 long by .1 m wide</t>
        </r>
      </text>
    </comment>
    <comment ref="L9" authorId="1">
      <text>
        <r>
          <rPr>
            <b/>
            <sz val="9"/>
            <color indexed="81"/>
            <rFont val="Arial"/>
          </rPr>
          <t>Paul Elsen:</t>
        </r>
        <r>
          <rPr>
            <sz val="9"/>
            <color indexed="81"/>
            <rFont val="Arial"/>
          </rPr>
          <t xml:space="preserve">
assume 1 day to sample roots at each plot</t>
        </r>
      </text>
    </comment>
    <comment ref="N9" authorId="1">
      <text>
        <r>
          <rPr>
            <b/>
            <sz val="9"/>
            <color indexed="81"/>
            <rFont val="Arial"/>
          </rPr>
          <t>Paul Elsen:</t>
        </r>
        <r>
          <rPr>
            <sz val="9"/>
            <color indexed="81"/>
            <rFont val="Arial"/>
          </rPr>
          <t xml:space="preserve">
2 root samples at each site</t>
        </r>
      </text>
    </comment>
    <comment ref="I12" authorId="1">
      <text>
        <r>
          <rPr>
            <b/>
            <sz val="9"/>
            <color indexed="81"/>
            <rFont val="Arial"/>
          </rPr>
          <t>Paul Elsen:</t>
        </r>
        <r>
          <rPr>
            <sz val="9"/>
            <color indexed="81"/>
            <rFont val="Arial"/>
          </rPr>
          <t xml:space="preserve">
average of total area for each of four areas divided by the number of prairie dog colonies (data given in hectares so converting to m2)</t>
        </r>
      </text>
    </comment>
    <comment ref="J12" authorId="1">
      <text>
        <r>
          <rPr>
            <b/>
            <sz val="9"/>
            <color indexed="81"/>
            <rFont val="Arial"/>
          </rPr>
          <t>Paul Elsen:</t>
        </r>
        <r>
          <rPr>
            <sz val="9"/>
            <color indexed="81"/>
            <rFont val="Arial"/>
          </rPr>
          <t xml:space="preserve">
treating each prairie dog colony as a site</t>
        </r>
      </text>
    </comment>
    <comment ref="K12" authorId="1">
      <text>
        <r>
          <rPr>
            <b/>
            <sz val="9"/>
            <color indexed="81"/>
            <rFont val="Arial"/>
          </rPr>
          <t>Paul Elsen:</t>
        </r>
        <r>
          <rPr>
            <sz val="9"/>
            <color indexed="81"/>
            <rFont val="Arial"/>
          </rPr>
          <t xml:space="preserve">
total hectares given for each of four study areas</t>
        </r>
      </text>
    </comment>
    <comment ref="L12" authorId="1">
      <text>
        <r>
          <rPr>
            <b/>
            <sz val="9"/>
            <color indexed="81"/>
            <rFont val="Arial"/>
          </rPr>
          <t>Paul Elsen:</t>
        </r>
        <r>
          <rPr>
            <sz val="9"/>
            <color indexed="81"/>
            <rFont val="Arial"/>
          </rPr>
          <t xml:space="preserve">
assume it takes 1 day to sruvey a prairie dog colony</t>
        </r>
      </text>
    </comment>
    <comment ref="M12" authorId="1">
      <text>
        <r>
          <rPr>
            <b/>
            <sz val="9"/>
            <color indexed="81"/>
            <rFont val="Arial"/>
          </rPr>
          <t>Paul Elsen:</t>
        </r>
        <r>
          <rPr>
            <sz val="9"/>
            <color indexed="81"/>
            <rFont val="Arial"/>
          </rPr>
          <t xml:space="preserve">
two sites surveyed 30 days apart, one surveyed 15 days apart, averaged to 25 days between</t>
        </r>
      </text>
    </comment>
    <comment ref="N12" authorId="1">
      <text>
        <r>
          <rPr>
            <b/>
            <sz val="9"/>
            <color indexed="81"/>
            <rFont val="Arial"/>
          </rPr>
          <t>Paul Elsen:</t>
        </r>
        <r>
          <rPr>
            <sz val="9"/>
            <color indexed="81"/>
            <rFont val="Arial"/>
          </rPr>
          <t xml:space="preserve">
assume average of 2.5 repeated samples (sites surveyed &gt;=2 or &gt;=3 times)</t>
        </r>
      </text>
    </comment>
    <comment ref="O12" authorId="1">
      <text>
        <r>
          <rPr>
            <b/>
            <sz val="9"/>
            <color indexed="81"/>
            <rFont val="Arial"/>
          </rPr>
          <t>Paul Elsen:</t>
        </r>
        <r>
          <rPr>
            <sz val="9"/>
            <color indexed="81"/>
            <rFont val="Arial"/>
          </rPr>
          <t xml:space="preserve">
surveyed birds from May 2003 - June 2007</t>
        </r>
      </text>
    </comment>
    <comment ref="I14" authorId="1">
      <text>
        <r>
          <rPr>
            <b/>
            <sz val="9"/>
            <color indexed="81"/>
            <rFont val="Arial"/>
          </rPr>
          <t>Paul Elsen:</t>
        </r>
        <r>
          <rPr>
            <sz val="9"/>
            <color indexed="81"/>
            <rFont val="Arial"/>
          </rPr>
          <t xml:space="preserve">
treating each market as a plot, assuming each market is 10 x 10 m</t>
        </r>
      </text>
    </comment>
    <comment ref="L14" authorId="1">
      <text>
        <r>
          <rPr>
            <b/>
            <sz val="9"/>
            <color indexed="81"/>
            <rFont val="Arial"/>
          </rPr>
          <t>Paul Elsen:</t>
        </r>
        <r>
          <rPr>
            <sz val="9"/>
            <color indexed="81"/>
            <rFont val="Arial"/>
          </rPr>
          <t xml:space="preserve">
total number of site-days given as 7594 so 7594/89 sites</t>
        </r>
      </text>
    </comment>
    <comment ref="N14" authorId="1">
      <text>
        <r>
          <rPr>
            <b/>
            <sz val="9"/>
            <color indexed="81"/>
            <rFont val="Arial"/>
          </rPr>
          <t>Paul Elsen:</t>
        </r>
        <r>
          <rPr>
            <sz val="9"/>
            <color indexed="81"/>
            <rFont val="Arial"/>
          </rPr>
          <t xml:space="preserve">
&gt; study span because many observers collecting market data simultaneously</t>
        </r>
      </text>
    </comment>
    <comment ref="O14" authorId="1">
      <text>
        <r>
          <rPr>
            <b/>
            <sz val="9"/>
            <color indexed="81"/>
            <rFont val="Arial"/>
          </rPr>
          <t>Paul Elsen:</t>
        </r>
        <r>
          <rPr>
            <sz val="9"/>
            <color indexed="81"/>
            <rFont val="Arial"/>
          </rPr>
          <t xml:space="preserve">
Aug 2002 - Jan 2003</t>
        </r>
      </text>
    </comment>
    <comment ref="I25" authorId="1">
      <text>
        <r>
          <rPr>
            <b/>
            <sz val="9"/>
            <color indexed="81"/>
            <rFont val="Arial"/>
          </rPr>
          <t>Paul Elsen:</t>
        </r>
        <r>
          <rPr>
            <sz val="9"/>
            <color indexed="81"/>
            <rFont val="Arial"/>
          </rPr>
          <t xml:space="preserve">
assume 20, 2 inch diameter wheat shoots were sampled</t>
        </r>
      </text>
    </comment>
    <comment ref="L25" authorId="1">
      <text>
        <r>
          <rPr>
            <b/>
            <sz val="9"/>
            <color indexed="81"/>
            <rFont val="Arial"/>
          </rPr>
          <t>Paul Elsen:</t>
        </r>
        <r>
          <rPr>
            <sz val="9"/>
            <color indexed="81"/>
            <rFont val="Arial"/>
          </rPr>
          <t xml:space="preserve">
assuming it takes 5 minutes to sample</t>
        </r>
      </text>
    </comment>
    <comment ref="I26" authorId="1">
      <text>
        <r>
          <rPr>
            <b/>
            <sz val="9"/>
            <color indexed="81"/>
            <rFont val="Arial"/>
          </rPr>
          <t>Paul Elsen:</t>
        </r>
        <r>
          <rPr>
            <sz val="9"/>
            <color indexed="81"/>
            <rFont val="Arial"/>
          </rPr>
          <t xml:space="preserve">
according to the Atlas they wanted &gt;= 25 point counts per 100km2 grid cell, so assumed 25. Although the point counts are unlimited radius, they divide observations between &lt;100 m and &gt;100 m so I took the radius to be 100 m</t>
        </r>
      </text>
    </comment>
    <comment ref="L26" authorId="1">
      <text>
        <r>
          <rPr>
            <b/>
            <sz val="9"/>
            <color indexed="81"/>
            <rFont val="Arial"/>
          </rPr>
          <t>Paul Elsen:</t>
        </r>
        <r>
          <rPr>
            <sz val="9"/>
            <color indexed="81"/>
            <rFont val="Arial"/>
          </rPr>
          <t xml:space="preserve">
5 minute point counts</t>
        </r>
      </text>
    </comment>
    <comment ref="M26" authorId="1">
      <text>
        <r>
          <rPr>
            <b/>
            <sz val="9"/>
            <color indexed="81"/>
            <rFont val="Arial"/>
          </rPr>
          <t>Paul Elsen:</t>
        </r>
        <r>
          <rPr>
            <sz val="9"/>
            <color indexed="81"/>
            <rFont val="Arial"/>
          </rPr>
          <t xml:space="preserve">
assuming 12 minutes between each point count as Atlas says all 25 counts should be completed within 5 hours</t>
        </r>
      </text>
    </comment>
    <comment ref="O26" authorId="1">
      <text>
        <r>
          <rPr>
            <b/>
            <sz val="9"/>
            <color indexed="81"/>
            <rFont val="Arial"/>
          </rPr>
          <t>Paul Elsen:</t>
        </r>
        <r>
          <rPr>
            <sz val="9"/>
            <color indexed="81"/>
            <rFont val="Arial"/>
          </rPr>
          <t xml:space="preserve">
Bird surveys done from 24 May to 10 July 2005</t>
        </r>
      </text>
    </comment>
    <comment ref="I27" authorId="1">
      <text>
        <r>
          <rPr>
            <b/>
            <sz val="9"/>
            <color indexed="81"/>
            <rFont val="Arial"/>
          </rPr>
          <t>Paul Elsen:</t>
        </r>
        <r>
          <rPr>
            <sz val="9"/>
            <color indexed="81"/>
            <rFont val="Arial"/>
          </rPr>
          <t xml:space="preserve">
Landsat TM = 30 x 30 m</t>
        </r>
      </text>
    </comment>
    <comment ref="J27" authorId="1">
      <text>
        <r>
          <rPr>
            <b/>
            <sz val="9"/>
            <color indexed="81"/>
            <rFont val="Arial"/>
          </rPr>
          <t>Paul Elsen:</t>
        </r>
        <r>
          <rPr>
            <sz val="9"/>
            <color indexed="81"/>
            <rFont val="Arial"/>
          </rPr>
          <t xml:space="preserve">
covered 993 10 x 10 km2 grid cells with Landsat Data</t>
        </r>
      </text>
    </comment>
    <comment ref="L27" authorId="1">
      <text>
        <r>
          <rPr>
            <b/>
            <sz val="9"/>
            <color indexed="81"/>
            <rFont val="Arial"/>
          </rPr>
          <t>Paul Elsen:</t>
        </r>
        <r>
          <rPr>
            <sz val="9"/>
            <color indexed="81"/>
            <rFont val="Arial"/>
          </rPr>
          <t xml:space="preserve">
assuming instantaneous (1 second) sampling</t>
        </r>
      </text>
    </comment>
    <comment ref="M27" authorId="1">
      <text>
        <r>
          <rPr>
            <b/>
            <sz val="9"/>
            <color indexed="81"/>
            <rFont val="Arial"/>
          </rPr>
          <t>Paul Elsen:</t>
        </r>
        <r>
          <rPr>
            <sz val="9"/>
            <color indexed="81"/>
            <rFont val="Arial"/>
          </rPr>
          <t xml:space="preserve">
assume they took the Landsat data on same date each year</t>
        </r>
      </text>
    </comment>
    <comment ref="N27" authorId="1">
      <text>
        <r>
          <rPr>
            <b/>
            <sz val="9"/>
            <color indexed="81"/>
            <rFont val="Arial"/>
          </rPr>
          <t>Paul Elsen:</t>
        </r>
        <r>
          <rPr>
            <sz val="9"/>
            <color indexed="81"/>
            <rFont val="Arial"/>
          </rPr>
          <t xml:space="preserve">
assume token 1 day</t>
        </r>
      </text>
    </comment>
    <comment ref="O27" authorId="1">
      <text>
        <r>
          <rPr>
            <b/>
            <sz val="9"/>
            <color indexed="81"/>
            <rFont val="Arial"/>
          </rPr>
          <t>Paul Elsen:</t>
        </r>
        <r>
          <rPr>
            <sz val="9"/>
            <color indexed="81"/>
            <rFont val="Arial"/>
          </rPr>
          <t xml:space="preserve">
Landsat TM data from 1999-2003</t>
        </r>
      </text>
    </comment>
    <comment ref="J28" authorId="1">
      <text>
        <r>
          <rPr>
            <b/>
            <sz val="9"/>
            <color indexed="81"/>
            <rFont val="Arial"/>
          </rPr>
          <t>Paul Elsen:</t>
        </r>
        <r>
          <rPr>
            <sz val="9"/>
            <color indexed="81"/>
            <rFont val="Arial"/>
          </rPr>
          <t xml:space="preserve">
covered 993 10 x 10 km2 grid cells with Landsat Data</t>
        </r>
      </text>
    </comment>
    <comment ref="L28" authorId="1">
      <text>
        <r>
          <rPr>
            <b/>
            <sz val="9"/>
            <color indexed="81"/>
            <rFont val="Arial"/>
          </rPr>
          <t>Paul Elsen:</t>
        </r>
        <r>
          <rPr>
            <sz val="9"/>
            <color indexed="81"/>
            <rFont val="Arial"/>
          </rPr>
          <t xml:space="preserve">
assuming instantaneous (1 second) sampling</t>
        </r>
      </text>
    </comment>
    <comment ref="N28" authorId="1">
      <text>
        <r>
          <rPr>
            <b/>
            <sz val="9"/>
            <color indexed="81"/>
            <rFont val="Arial"/>
          </rPr>
          <t>Paul Elsen:</t>
        </r>
        <r>
          <rPr>
            <sz val="9"/>
            <color indexed="81"/>
            <rFont val="Arial"/>
          </rPr>
          <t xml:space="preserve">
assume token 1 day</t>
        </r>
      </text>
    </comment>
    <comment ref="O28" authorId="1">
      <text>
        <r>
          <rPr>
            <b/>
            <sz val="9"/>
            <color indexed="81"/>
            <rFont val="Arial"/>
          </rPr>
          <t>Paul Elsen:</t>
        </r>
        <r>
          <rPr>
            <sz val="9"/>
            <color indexed="81"/>
            <rFont val="Arial"/>
          </rPr>
          <t xml:space="preserve">
assume token 1 day</t>
        </r>
      </text>
    </comment>
    <comment ref="I29" authorId="1">
      <text>
        <r>
          <rPr>
            <b/>
            <sz val="9"/>
            <color indexed="81"/>
            <rFont val="Arial"/>
          </rPr>
          <t>Paul Elsen:</t>
        </r>
        <r>
          <rPr>
            <sz val="9"/>
            <color indexed="81"/>
            <rFont val="Arial"/>
          </rPr>
          <t xml:space="preserve">
Landsat TM = 30 x 30 m</t>
        </r>
      </text>
    </comment>
    <comment ref="J29" authorId="1">
      <text>
        <r>
          <rPr>
            <b/>
            <sz val="9"/>
            <color indexed="81"/>
            <rFont val="Arial"/>
          </rPr>
          <t>Paul Elsen:</t>
        </r>
        <r>
          <rPr>
            <sz val="9"/>
            <color indexed="81"/>
            <rFont val="Arial"/>
          </rPr>
          <t xml:space="preserve">
covered 993 10 x 10 km2 grid cells with Landsat Data</t>
        </r>
      </text>
    </comment>
    <comment ref="L29" authorId="1">
      <text>
        <r>
          <rPr>
            <b/>
            <sz val="9"/>
            <color indexed="81"/>
            <rFont val="Arial"/>
          </rPr>
          <t>Paul Elsen:</t>
        </r>
        <r>
          <rPr>
            <sz val="9"/>
            <color indexed="81"/>
            <rFont val="Arial"/>
          </rPr>
          <t xml:space="preserve">
assuming instantaneous (1 second) sampling</t>
        </r>
      </text>
    </comment>
    <comment ref="N29" authorId="1">
      <text>
        <r>
          <rPr>
            <b/>
            <sz val="9"/>
            <color indexed="81"/>
            <rFont val="Arial"/>
          </rPr>
          <t>Paul Elsen:</t>
        </r>
        <r>
          <rPr>
            <sz val="9"/>
            <color indexed="81"/>
            <rFont val="Arial"/>
          </rPr>
          <t xml:space="preserve">
assume token 1 day</t>
        </r>
      </text>
    </comment>
    <comment ref="O29" authorId="1">
      <text>
        <r>
          <rPr>
            <b/>
            <sz val="9"/>
            <color indexed="81"/>
            <rFont val="Arial"/>
          </rPr>
          <t>Paul Elsen:</t>
        </r>
        <r>
          <rPr>
            <sz val="9"/>
            <color indexed="81"/>
            <rFont val="Arial"/>
          </rPr>
          <t xml:space="preserve">
assume token 1 day</t>
        </r>
      </text>
    </comment>
    <comment ref="I34" authorId="1">
      <text>
        <r>
          <rPr>
            <b/>
            <sz val="9"/>
            <color indexed="81"/>
            <rFont val="Arial"/>
          </rPr>
          <t>Paul Elsen:</t>
        </r>
        <r>
          <rPr>
            <sz val="9"/>
            <color indexed="81"/>
            <rFont val="Arial"/>
          </rPr>
          <t xml:space="preserve">
at least 8 (assumed exactly 8) samples in 2 km x 2 km quadrats</t>
        </r>
      </text>
    </comment>
    <comment ref="L34" authorId="1">
      <text>
        <r>
          <rPr>
            <b/>
            <sz val="9"/>
            <color indexed="81"/>
            <rFont val="Arial"/>
          </rPr>
          <t>Paul Elsen:</t>
        </r>
        <r>
          <rPr>
            <sz val="9"/>
            <color indexed="81"/>
            <rFont val="Arial"/>
          </rPr>
          <t xml:space="preserve">
2 hours of surveying per site</t>
        </r>
      </text>
    </comment>
    <comment ref="M34" authorId="1">
      <text>
        <r>
          <rPr>
            <b/>
            <sz val="9"/>
            <color indexed="81"/>
            <rFont val="Arial"/>
          </rPr>
          <t>Paul Elsen:</t>
        </r>
        <r>
          <rPr>
            <sz val="9"/>
            <color indexed="81"/>
            <rFont val="Arial"/>
          </rPr>
          <t xml:space="preserve">
bird surveys spaced out at least 4 weeks, so assume 28 days</t>
        </r>
      </text>
    </comment>
    <comment ref="N34" authorId="1">
      <text>
        <r>
          <rPr>
            <b/>
            <sz val="9"/>
            <color indexed="81"/>
            <rFont val="Arial"/>
          </rPr>
          <t>Paul Elsen:</t>
        </r>
        <r>
          <rPr>
            <sz val="9"/>
            <color indexed="81"/>
            <rFont val="Arial"/>
          </rPr>
          <t xml:space="preserve">
2 hour duration to at least 8 point count stations</t>
        </r>
      </text>
    </comment>
    <comment ref="O34" authorId="1">
      <text>
        <r>
          <rPr>
            <b/>
            <sz val="9"/>
            <color indexed="81"/>
            <rFont val="Arial"/>
          </rPr>
          <t>Paul Elsen:</t>
        </r>
        <r>
          <rPr>
            <sz val="9"/>
            <color indexed="81"/>
            <rFont val="Arial"/>
          </rPr>
          <t xml:space="preserve">
Bird surveys during April - July 1988-91</t>
        </r>
      </text>
    </comment>
    <comment ref="I35" authorId="1">
      <text>
        <r>
          <rPr>
            <b/>
            <sz val="9"/>
            <color indexed="81"/>
            <rFont val="Arial"/>
          </rPr>
          <t>Paul Elsen:</t>
        </r>
        <r>
          <rPr>
            <sz val="9"/>
            <color indexed="81"/>
            <rFont val="Arial"/>
          </rPr>
          <t xml:space="preserve">
38254 UK enumeration districts in 1991. Total land area of UK is 94058 square miles</t>
        </r>
      </text>
    </comment>
    <comment ref="L35" authorId="1">
      <text>
        <r>
          <rPr>
            <b/>
            <sz val="9"/>
            <color indexed="81"/>
            <rFont val="Arial"/>
          </rPr>
          <t>Paul Elsen:</t>
        </r>
        <r>
          <rPr>
            <sz val="9"/>
            <color indexed="81"/>
            <rFont val="Arial"/>
          </rPr>
          <t xml:space="preserve">
assume census took place on one day</t>
        </r>
      </text>
    </comment>
    <comment ref="O35" authorId="1">
      <text>
        <r>
          <rPr>
            <b/>
            <sz val="9"/>
            <color indexed="81"/>
            <rFont val="Arial"/>
          </rPr>
          <t>Paul Elsen:</t>
        </r>
        <r>
          <rPr>
            <sz val="9"/>
            <color indexed="81"/>
            <rFont val="Arial"/>
          </rPr>
          <t xml:space="preserve">
assume token 1 day</t>
        </r>
      </text>
    </comment>
    <comment ref="I36" authorId="1">
      <text>
        <r>
          <rPr>
            <b/>
            <sz val="9"/>
            <color indexed="81"/>
            <rFont val="Arial"/>
          </rPr>
          <t>Paul Elsen:</t>
        </r>
        <r>
          <rPr>
            <sz val="9"/>
            <color indexed="81"/>
            <rFont val="Arial"/>
          </rPr>
          <t xml:space="preserve">
assume weather station is .5 m radius instrument</t>
        </r>
      </text>
    </comment>
    <comment ref="J36" authorId="1">
      <text>
        <r>
          <rPr>
            <b/>
            <sz val="9"/>
            <color indexed="81"/>
            <rFont val="Arial"/>
          </rPr>
          <t>Paul Elsen:</t>
        </r>
        <r>
          <rPr>
            <sz val="9"/>
            <color indexed="81"/>
            <rFont val="Arial"/>
          </rPr>
          <t xml:space="preserve">
270 weather stations distributed across the UK</t>
        </r>
      </text>
    </comment>
    <comment ref="L36" authorId="1">
      <text>
        <r>
          <rPr>
            <b/>
            <sz val="9"/>
            <color indexed="81"/>
            <rFont val="Arial"/>
          </rPr>
          <t>Paul Elsen:</t>
        </r>
        <r>
          <rPr>
            <sz val="9"/>
            <color indexed="81"/>
            <rFont val="Arial"/>
          </rPr>
          <t xml:space="preserve">
assuming instantaneous (1 second) sampling</t>
        </r>
      </text>
    </comment>
    <comment ref="N36" authorId="1">
      <text>
        <r>
          <rPr>
            <b/>
            <sz val="9"/>
            <color indexed="81"/>
            <rFont val="Arial"/>
          </rPr>
          <t>Paul Elsen:</t>
        </r>
        <r>
          <rPr>
            <sz val="9"/>
            <color indexed="81"/>
            <rFont val="Arial"/>
          </rPr>
          <t xml:space="preserve">
mean monthly temperature for May, June, and July from 1961-1990</t>
        </r>
      </text>
    </comment>
    <comment ref="O36" authorId="1">
      <text>
        <r>
          <rPr>
            <b/>
            <sz val="9"/>
            <color indexed="81"/>
            <rFont val="Arial"/>
          </rPr>
          <t>Paul Elsen:</t>
        </r>
        <r>
          <rPr>
            <sz val="9"/>
            <color indexed="81"/>
            <rFont val="Arial"/>
          </rPr>
          <t xml:space="preserve">
temperature data collected from 1961-90</t>
        </r>
      </text>
    </comment>
    <comment ref="I43"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43" authorId="1">
      <text>
        <r>
          <rPr>
            <b/>
            <sz val="9"/>
            <color indexed="81"/>
            <rFont val="Arial"/>
          </rPr>
          <t>Paul Elsen:</t>
        </r>
        <r>
          <rPr>
            <sz val="9"/>
            <color indexed="81"/>
            <rFont val="Arial"/>
          </rPr>
          <t xml:space="preserve">
study from Feb 1997 to Feb 2006</t>
        </r>
      </text>
    </comment>
    <comment ref="I44"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44" authorId="1">
      <text>
        <r>
          <rPr>
            <b/>
            <sz val="9"/>
            <color indexed="81"/>
            <rFont val="Arial"/>
          </rPr>
          <t>Paul Elsen:</t>
        </r>
        <r>
          <rPr>
            <sz val="9"/>
            <color indexed="81"/>
            <rFont val="Arial"/>
          </rPr>
          <t xml:space="preserve">
study from Aug 1997 to Aug 2006</t>
        </r>
      </text>
    </comment>
    <comment ref="I45"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45" authorId="1">
      <text>
        <r>
          <rPr>
            <b/>
            <sz val="9"/>
            <color indexed="81"/>
            <rFont val="Arial"/>
          </rPr>
          <t>Paul Elsen:</t>
        </r>
        <r>
          <rPr>
            <sz val="9"/>
            <color indexed="81"/>
            <rFont val="Arial"/>
          </rPr>
          <t xml:space="preserve">
study from 1994-2000</t>
        </r>
      </text>
    </comment>
    <comment ref="I46" authorId="1">
      <text>
        <r>
          <rPr>
            <b/>
            <sz val="9"/>
            <color indexed="81"/>
            <rFont val="Arial"/>
          </rPr>
          <t>Paul Elsen:</t>
        </r>
        <r>
          <rPr>
            <sz val="9"/>
            <color indexed="81"/>
            <rFont val="Arial"/>
          </rPr>
          <t xml:space="preserve">
here the plot size is the plant, authors state &lt;50 cm tall so assumed 40 cm tall x 5 cm wide</t>
        </r>
      </text>
    </comment>
    <comment ref="O46" authorId="1">
      <text>
        <r>
          <rPr>
            <b/>
            <sz val="9"/>
            <color indexed="81"/>
            <rFont val="Arial"/>
          </rPr>
          <t>Paul Elsen:</t>
        </r>
        <r>
          <rPr>
            <sz val="9"/>
            <color indexed="81"/>
            <rFont val="Arial"/>
          </rPr>
          <t xml:space="preserve">
study from 1995-1998</t>
        </r>
      </text>
    </comment>
    <comment ref="I59" authorId="1">
      <text>
        <r>
          <rPr>
            <b/>
            <sz val="9"/>
            <color indexed="81"/>
            <rFont val="Arial"/>
          </rPr>
          <t>Paul Elsen:</t>
        </r>
        <r>
          <rPr>
            <sz val="9"/>
            <color indexed="81"/>
            <rFont val="Arial"/>
          </rPr>
          <t xml:space="preserve">
plot size is variable and is the cushion, with females averaging 1219.7 cm2 and hermaphrodites averaging 877 cm2</t>
        </r>
      </text>
    </comment>
    <comment ref="L59" authorId="1">
      <text>
        <r>
          <rPr>
            <b/>
            <sz val="9"/>
            <color indexed="81"/>
            <rFont val="Arial"/>
          </rPr>
          <t>Paul Elsen:</t>
        </r>
        <r>
          <rPr>
            <sz val="9"/>
            <color indexed="81"/>
            <rFont val="Arial"/>
          </rPr>
          <t xml:space="preserve">
60 days of study, 160 plots</t>
        </r>
      </text>
    </comment>
    <comment ref="I60" authorId="1">
      <text>
        <r>
          <rPr>
            <b/>
            <sz val="9"/>
            <color indexed="81"/>
            <rFont val="Arial"/>
          </rPr>
          <t>Paul Elsen:</t>
        </r>
        <r>
          <rPr>
            <sz val="9"/>
            <color indexed="81"/>
            <rFont val="Arial"/>
          </rPr>
          <t xml:space="preserve">
plot size is variable and is the cushion, with females averaging 1219.7 cm2 and hermaphrodites averaging 877 cm2; here there are also 80 control plots, so assuming they have the average plot size</t>
        </r>
      </text>
    </comment>
    <comment ref="J60" authorId="1">
      <text>
        <r>
          <rPr>
            <b/>
            <sz val="9"/>
            <color indexed="81"/>
            <rFont val="Arial"/>
          </rPr>
          <t>Paul Elsen:</t>
        </r>
        <r>
          <rPr>
            <sz val="9"/>
            <color indexed="81"/>
            <rFont val="Arial"/>
          </rPr>
          <t xml:space="preserve">
includes 80 additional control plots</t>
        </r>
      </text>
    </comment>
    <comment ref="I61" authorId="1">
      <text>
        <r>
          <rPr>
            <b/>
            <sz val="9"/>
            <color indexed="81"/>
            <rFont val="Arial"/>
          </rPr>
          <t>Paul Elsen:</t>
        </r>
        <r>
          <rPr>
            <sz val="9"/>
            <color indexed="81"/>
            <rFont val="Arial"/>
          </rPr>
          <t xml:space="preserve">
plot size is variable and is the cushion, with females averaging 1219.7 cm2 and hermaphrodites averaging 877 cm2</t>
        </r>
      </text>
    </comment>
    <comment ref="J61" authorId="1">
      <text>
        <r>
          <rPr>
            <b/>
            <sz val="9"/>
            <color indexed="81"/>
            <rFont val="Arial"/>
          </rPr>
          <t>Paul Elsen:</t>
        </r>
        <r>
          <rPr>
            <sz val="9"/>
            <color indexed="81"/>
            <rFont val="Arial"/>
          </rPr>
          <t xml:space="preserve">
16 females and 16 hermaphrodites at two locations</t>
        </r>
      </text>
    </comment>
    <comment ref="L61" authorId="1">
      <text>
        <r>
          <rPr>
            <b/>
            <sz val="9"/>
            <color indexed="81"/>
            <rFont val="Arial"/>
          </rPr>
          <t>Paul Elsen:</t>
        </r>
        <r>
          <rPr>
            <sz val="9"/>
            <color indexed="81"/>
            <rFont val="Arial"/>
          </rPr>
          <t xml:space="preserve">
all samples taken on Aug 10 2010</t>
        </r>
      </text>
    </comment>
    <comment ref="I62" authorId="1">
      <text>
        <r>
          <rPr>
            <b/>
            <sz val="9"/>
            <color indexed="81"/>
            <rFont val="Arial"/>
          </rPr>
          <t>Paul Elsen:</t>
        </r>
        <r>
          <rPr>
            <sz val="9"/>
            <color indexed="81"/>
            <rFont val="Arial"/>
          </rPr>
          <t xml:space="preserve">
assume leaf is 1 cm x .5 cm; 20 leaves</t>
        </r>
      </text>
    </comment>
    <comment ref="L62" authorId="1">
      <text>
        <r>
          <rPr>
            <b/>
            <sz val="9"/>
            <color indexed="81"/>
            <rFont val="Arial"/>
          </rPr>
          <t>Paul Elsen:</t>
        </r>
        <r>
          <rPr>
            <sz val="9"/>
            <color indexed="81"/>
            <rFont val="Arial"/>
          </rPr>
          <t xml:space="preserve">
all samples taken on Aug 10 2010</t>
        </r>
      </text>
    </comment>
    <comment ref="I63" authorId="1">
      <text>
        <r>
          <rPr>
            <b/>
            <sz val="9"/>
            <color indexed="81"/>
            <rFont val="Arial"/>
          </rPr>
          <t>Paul Elsen:</t>
        </r>
        <r>
          <rPr>
            <sz val="9"/>
            <color indexed="81"/>
            <rFont val="Arial"/>
          </rPr>
          <t xml:space="preserve">
assume fruit size is 2 cm x 2 cm; 3 fruits per cushion</t>
        </r>
      </text>
    </comment>
    <comment ref="L63" authorId="1">
      <text>
        <r>
          <rPr>
            <b/>
            <sz val="9"/>
            <color indexed="81"/>
            <rFont val="Arial"/>
          </rPr>
          <t>Paul Elsen:</t>
        </r>
        <r>
          <rPr>
            <sz val="9"/>
            <color indexed="81"/>
            <rFont val="Arial"/>
          </rPr>
          <t xml:space="preserve">
all samples taken on Aug 10 2010</t>
        </r>
      </text>
    </comment>
    <comment ref="I64" authorId="1">
      <text>
        <r>
          <rPr>
            <b/>
            <sz val="9"/>
            <color indexed="81"/>
            <rFont val="Arial"/>
          </rPr>
          <t>Paul Elsen:</t>
        </r>
        <r>
          <rPr>
            <sz val="9"/>
            <color indexed="81"/>
            <rFont val="Arial"/>
          </rPr>
          <t xml:space="preserve">
ibuttons are 16 mm diameter</t>
        </r>
      </text>
    </comment>
    <comment ref="L64" authorId="1">
      <text>
        <r>
          <rPr>
            <b/>
            <sz val="9"/>
            <color indexed="81"/>
            <rFont val="Arial"/>
          </rPr>
          <t>Paul Elsen:</t>
        </r>
        <r>
          <rPr>
            <sz val="9"/>
            <color indexed="81"/>
            <rFont val="Arial"/>
          </rPr>
          <t xml:space="preserve">
assuming instantaneous (1 second) sampling</t>
        </r>
      </text>
    </comment>
    <comment ref="M64" authorId="1">
      <text>
        <r>
          <rPr>
            <b/>
            <sz val="9"/>
            <color indexed="81"/>
            <rFont val="Arial"/>
          </rPr>
          <t>Paul Elsen:</t>
        </r>
        <r>
          <rPr>
            <sz val="9"/>
            <color indexed="81"/>
            <rFont val="Arial"/>
          </rPr>
          <t xml:space="preserve">
assume 5 minute automated recording interval</t>
        </r>
      </text>
    </comment>
    <comment ref="N64" authorId="1">
      <text>
        <r>
          <rPr>
            <b/>
            <sz val="9"/>
            <color indexed="81"/>
            <rFont val="Arial"/>
          </rPr>
          <t>Paul Elsen:</t>
        </r>
        <r>
          <rPr>
            <sz val="9"/>
            <color indexed="81"/>
            <rFont val="Arial"/>
          </rPr>
          <t xml:space="preserve">
12 recordings an hour for 24 hours for 60 days</t>
        </r>
      </text>
    </comment>
    <comment ref="I71" authorId="1">
      <text>
        <r>
          <rPr>
            <b/>
            <sz val="9"/>
            <color indexed="81"/>
            <rFont val="Arial"/>
          </rPr>
          <t>Paul Elsen:</t>
        </r>
        <r>
          <rPr>
            <sz val="9"/>
            <color indexed="81"/>
            <rFont val="Arial"/>
          </rPr>
          <t xml:space="preserve">
Niskin sampler sensor has 48.3 mm diameter</t>
        </r>
      </text>
    </comment>
    <comment ref="L71" authorId="1">
      <text>
        <r>
          <rPr>
            <b/>
            <sz val="9"/>
            <color indexed="81"/>
            <rFont val="Arial"/>
          </rPr>
          <t>Paul Elsen:</t>
        </r>
        <r>
          <rPr>
            <sz val="9"/>
            <color indexed="81"/>
            <rFont val="Arial"/>
          </rPr>
          <t xml:space="preserve">
assuming instantaneous (1 second) sampling</t>
        </r>
      </text>
    </comment>
    <comment ref="M71" authorId="1">
      <text>
        <r>
          <rPr>
            <b/>
            <sz val="9"/>
            <color indexed="81"/>
            <rFont val="Arial"/>
          </rPr>
          <t>Paul Elsen:</t>
        </r>
        <r>
          <rPr>
            <sz val="9"/>
            <color indexed="81"/>
            <rFont val="Arial"/>
          </rPr>
          <t xml:space="preserve">
no info given, but there are 14 recordings shown in a plot over 450 days so 450/14 ~ 32</t>
        </r>
      </text>
    </comment>
    <comment ref="O71" authorId="1">
      <text>
        <r>
          <rPr>
            <b/>
            <sz val="9"/>
            <color indexed="81"/>
            <rFont val="Arial"/>
          </rPr>
          <t>Paul Elsen:</t>
        </r>
        <r>
          <rPr>
            <sz val="9"/>
            <color indexed="81"/>
            <rFont val="Arial"/>
          </rPr>
          <t xml:space="preserve">
assume two year study; paper states "collected during 2002 and 2003"</t>
        </r>
      </text>
    </comment>
    <comment ref="I72" authorId="1">
      <text>
        <r>
          <rPr>
            <b/>
            <sz val="9"/>
            <color indexed="81"/>
            <rFont val="Arial"/>
          </rPr>
          <t>Paul Elsen:</t>
        </r>
        <r>
          <rPr>
            <sz val="9"/>
            <color indexed="81"/>
            <rFont val="Arial"/>
          </rPr>
          <t xml:space="preserve">
SeaBird SBE-9 sensor is 33 cm diameter</t>
        </r>
      </text>
    </comment>
    <comment ref="L72" authorId="1">
      <text>
        <r>
          <rPr>
            <b/>
            <sz val="9"/>
            <color indexed="81"/>
            <rFont val="Arial"/>
          </rPr>
          <t>Paul Elsen:</t>
        </r>
        <r>
          <rPr>
            <sz val="9"/>
            <color indexed="81"/>
            <rFont val="Arial"/>
          </rPr>
          <t xml:space="preserve">
assuming instantaneous (1 second) sampling</t>
        </r>
      </text>
    </comment>
    <comment ref="M72" authorId="1">
      <text>
        <r>
          <rPr>
            <b/>
            <sz val="9"/>
            <color indexed="81"/>
            <rFont val="Arial"/>
          </rPr>
          <t>Paul Elsen:</t>
        </r>
        <r>
          <rPr>
            <sz val="9"/>
            <color indexed="81"/>
            <rFont val="Arial"/>
          </rPr>
          <t xml:space="preserve">
no info given, but there are 14 recordings shown in a plot over 450 days so 450/14 ~ 32</t>
        </r>
      </text>
    </comment>
    <comment ref="O72" authorId="1">
      <text>
        <r>
          <rPr>
            <b/>
            <sz val="9"/>
            <color indexed="81"/>
            <rFont val="Arial"/>
          </rPr>
          <t>Paul Elsen:</t>
        </r>
        <r>
          <rPr>
            <sz val="9"/>
            <color indexed="81"/>
            <rFont val="Arial"/>
          </rPr>
          <t xml:space="preserve">
assume two year study; paper states "collected during 2002 and 2003"</t>
        </r>
      </text>
    </comment>
    <comment ref="I73" authorId="1">
      <text>
        <r>
          <rPr>
            <b/>
            <sz val="9"/>
            <color indexed="81"/>
            <rFont val="Arial"/>
          </rPr>
          <t>Paul Elsen:</t>
        </r>
        <r>
          <rPr>
            <sz val="9"/>
            <color indexed="81"/>
            <rFont val="Arial"/>
          </rPr>
          <t xml:space="preserve">
CARIOCA buoy sensor is 0.2 m diameter</t>
        </r>
      </text>
    </comment>
    <comment ref="L73" authorId="1">
      <text>
        <r>
          <rPr>
            <b/>
            <sz val="9"/>
            <color indexed="81"/>
            <rFont val="Arial"/>
          </rPr>
          <t>Paul Elsen:</t>
        </r>
        <r>
          <rPr>
            <sz val="9"/>
            <color indexed="81"/>
            <rFont val="Arial"/>
          </rPr>
          <t xml:space="preserve">
assuming instantaneous (1 second) sampling</t>
        </r>
      </text>
    </comment>
    <comment ref="M73" authorId="1">
      <text>
        <r>
          <rPr>
            <b/>
            <sz val="9"/>
            <color indexed="81"/>
            <rFont val="Arial"/>
          </rPr>
          <t>Paul Elsen:</t>
        </r>
        <r>
          <rPr>
            <sz val="9"/>
            <color indexed="81"/>
            <rFont val="Arial"/>
          </rPr>
          <t xml:space="preserve">
hourly samples</t>
        </r>
      </text>
    </comment>
    <comment ref="O73" authorId="1">
      <text>
        <r>
          <rPr>
            <b/>
            <sz val="9"/>
            <color indexed="81"/>
            <rFont val="Arial"/>
          </rPr>
          <t>Paul Elsen:</t>
        </r>
        <r>
          <rPr>
            <sz val="9"/>
            <color indexed="81"/>
            <rFont val="Arial"/>
          </rPr>
          <t xml:space="preserve">
recording from 16 Oct 2002 to 28 Aug 2003, with gap from 20 Jan 2003 to 26 Apr 2003</t>
        </r>
      </text>
    </comment>
    <comment ref="I74" authorId="1">
      <text>
        <r>
          <rPr>
            <b/>
            <sz val="9"/>
            <color indexed="81"/>
            <rFont val="Arial"/>
          </rPr>
          <t>Paul Elsen:</t>
        </r>
        <r>
          <rPr>
            <sz val="9"/>
            <color indexed="81"/>
            <rFont val="Arial"/>
          </rPr>
          <t xml:space="preserve">
assumed 0.5 m radius of instrument sensor</t>
        </r>
      </text>
    </comment>
    <comment ref="L74" authorId="1">
      <text>
        <r>
          <rPr>
            <b/>
            <sz val="9"/>
            <color indexed="81"/>
            <rFont val="Arial"/>
          </rPr>
          <t>Paul Elsen:</t>
        </r>
        <r>
          <rPr>
            <sz val="9"/>
            <color indexed="81"/>
            <rFont val="Arial"/>
          </rPr>
          <t xml:space="preserve">
assuming instantaneous (1 second) sampling</t>
        </r>
      </text>
    </comment>
    <comment ref="M74" authorId="1">
      <text>
        <r>
          <rPr>
            <b/>
            <sz val="9"/>
            <color indexed="81"/>
            <rFont val="Arial"/>
          </rPr>
          <t>Paul Elsen:</t>
        </r>
        <r>
          <rPr>
            <sz val="9"/>
            <color indexed="81"/>
            <rFont val="Arial"/>
          </rPr>
          <t xml:space="preserve">
hourly samples</t>
        </r>
      </text>
    </comment>
    <comment ref="O74" authorId="1">
      <text>
        <r>
          <rPr>
            <b/>
            <sz val="9"/>
            <color indexed="81"/>
            <rFont val="Arial"/>
          </rPr>
          <t>Paul Elsen:</t>
        </r>
        <r>
          <rPr>
            <sz val="9"/>
            <color indexed="81"/>
            <rFont val="Arial"/>
          </rPr>
          <t xml:space="preserve">
assumed the data collected here matched time period for the overall study, though not explicitly stated</t>
        </r>
      </text>
    </comment>
    <comment ref="I75" authorId="1">
      <text>
        <r>
          <rPr>
            <b/>
            <sz val="9"/>
            <color indexed="81"/>
            <rFont val="Arial"/>
          </rPr>
          <t>Paul Elsen:</t>
        </r>
        <r>
          <rPr>
            <sz val="9"/>
            <color indexed="81"/>
            <rFont val="Arial"/>
          </rPr>
          <t xml:space="preserve">
D. labyrinthiformis colonies average 1-2 m diameters; 8 colonies per site</t>
        </r>
      </text>
    </comment>
    <comment ref="L75" authorId="1">
      <text>
        <r>
          <rPr>
            <b/>
            <sz val="9"/>
            <color indexed="81"/>
            <rFont val="Arial"/>
          </rPr>
          <t>Paul Elsen:</t>
        </r>
        <r>
          <rPr>
            <sz val="9"/>
            <color indexed="81"/>
            <rFont val="Arial"/>
          </rPr>
          <t xml:space="preserve">
assume it took one day to take all colonies within a site to the lab and weigh</t>
        </r>
      </text>
    </comment>
    <comment ref="M75" authorId="1">
      <text>
        <r>
          <rPr>
            <b/>
            <sz val="9"/>
            <color indexed="81"/>
            <rFont val="Arial"/>
          </rPr>
          <t>Paul Elsen:</t>
        </r>
        <r>
          <rPr>
            <sz val="9"/>
            <color indexed="81"/>
            <rFont val="Arial"/>
          </rPr>
          <t xml:space="preserve">
weighed every 3 months on average</t>
        </r>
      </text>
    </comment>
    <comment ref="O75" authorId="1">
      <text>
        <r>
          <rPr>
            <b/>
            <sz val="9"/>
            <color indexed="81"/>
            <rFont val="Arial"/>
          </rPr>
          <t>Paul Elsen:</t>
        </r>
        <r>
          <rPr>
            <sz val="9"/>
            <color indexed="81"/>
            <rFont val="Arial"/>
          </rPr>
          <t xml:space="preserve">
assumed the data collected here matched time period for the overall study, though not explicitly stated</t>
        </r>
      </text>
    </comment>
    <comment ref="I76" authorId="1">
      <text>
        <r>
          <rPr>
            <b/>
            <sz val="9"/>
            <color indexed="81"/>
            <rFont val="Arial"/>
          </rPr>
          <t>Paul Elsen:</t>
        </r>
        <r>
          <rPr>
            <sz val="9"/>
            <color indexed="81"/>
            <rFont val="Arial"/>
          </rPr>
          <t xml:space="preserve">
multiple corer has 6 cm diameter</t>
        </r>
      </text>
    </comment>
    <comment ref="L76" authorId="1">
      <text>
        <r>
          <rPr>
            <b/>
            <sz val="9"/>
            <color indexed="81"/>
            <rFont val="Arial"/>
          </rPr>
          <t>Paul Elsen:</t>
        </r>
        <r>
          <rPr>
            <sz val="9"/>
            <color indexed="81"/>
            <rFont val="Arial"/>
          </rPr>
          <t xml:space="preserve">
assume 1 minute to take a core sample</t>
        </r>
      </text>
    </comment>
    <comment ref="O76" authorId="1">
      <text>
        <r>
          <rPr>
            <b/>
            <sz val="9"/>
            <color indexed="81"/>
            <rFont val="Arial"/>
          </rPr>
          <t>Paul Elsen:</t>
        </r>
        <r>
          <rPr>
            <sz val="9"/>
            <color indexed="81"/>
            <rFont val="Arial"/>
          </rPr>
          <t xml:space="preserve">
January 2009</t>
        </r>
      </text>
    </comment>
    <comment ref="I77" authorId="1">
      <text>
        <r>
          <rPr>
            <b/>
            <sz val="9"/>
            <color indexed="81"/>
            <rFont val="Arial"/>
          </rPr>
          <t>Paul Elsen:</t>
        </r>
        <r>
          <rPr>
            <sz val="9"/>
            <color indexed="81"/>
            <rFont val="Arial"/>
          </rPr>
          <t xml:space="preserve">
SeaBird SBE-43 sensor has 13 mm diameter</t>
        </r>
      </text>
    </comment>
    <comment ref="L77" authorId="1">
      <text>
        <r>
          <rPr>
            <b/>
            <sz val="9"/>
            <color indexed="81"/>
            <rFont val="Arial"/>
          </rPr>
          <t>Paul Elsen:</t>
        </r>
        <r>
          <rPr>
            <sz val="9"/>
            <color indexed="81"/>
            <rFont val="Arial"/>
          </rPr>
          <t xml:space="preserve">
assuming instantaneous (1 second) sampling</t>
        </r>
      </text>
    </comment>
    <comment ref="O77" authorId="1">
      <text>
        <r>
          <rPr>
            <b/>
            <sz val="9"/>
            <color indexed="81"/>
            <rFont val="Arial"/>
          </rPr>
          <t>Paul Elsen:</t>
        </r>
        <r>
          <rPr>
            <sz val="9"/>
            <color indexed="81"/>
            <rFont val="Arial"/>
          </rPr>
          <t xml:space="preserve">
January 2009</t>
        </r>
      </text>
    </comment>
    <comment ref="I82" authorId="1">
      <text>
        <r>
          <rPr>
            <b/>
            <sz val="9"/>
            <color indexed="81"/>
            <rFont val="Arial"/>
          </rPr>
          <t>Paul Elsen:</t>
        </r>
        <r>
          <rPr>
            <sz val="9"/>
            <color indexed="81"/>
            <rFont val="Arial"/>
          </rPr>
          <t xml:space="preserve">
assume camera sensor is 2 cm diameter</t>
        </r>
      </text>
    </comment>
    <comment ref="J82" authorId="1">
      <text>
        <r>
          <rPr>
            <b/>
            <sz val="9"/>
            <color indexed="81"/>
            <rFont val="Arial"/>
          </rPr>
          <t>Paul Elsen:</t>
        </r>
        <r>
          <rPr>
            <sz val="9"/>
            <color indexed="81"/>
            <rFont val="Arial"/>
          </rPr>
          <t xml:space="preserve">
1495 sites collected but only 1141 used for analysis after removing dark/grainy photos</t>
        </r>
      </text>
    </comment>
    <comment ref="K82" authorId="1">
      <text>
        <r>
          <rPr>
            <b/>
            <sz val="9"/>
            <color indexed="81"/>
            <rFont val="Arial"/>
          </rPr>
          <t>Paul Elsen:</t>
        </r>
        <r>
          <rPr>
            <sz val="9"/>
            <color indexed="81"/>
            <rFont val="Arial"/>
          </rPr>
          <t xml:space="preserve">
each plot sampled twice daily for 1 week</t>
        </r>
      </text>
    </comment>
    <comment ref="L82" authorId="1">
      <text>
        <r>
          <rPr>
            <b/>
            <sz val="9"/>
            <color indexed="81"/>
            <rFont val="Arial"/>
          </rPr>
          <t>Paul Elsen:</t>
        </r>
        <r>
          <rPr>
            <sz val="9"/>
            <color indexed="81"/>
            <rFont val="Arial"/>
          </rPr>
          <t xml:space="preserve">
assuming instantaneous (1 second) sampling</t>
        </r>
      </text>
    </comment>
    <comment ref="I83" authorId="1">
      <text>
        <r>
          <rPr>
            <b/>
            <sz val="9"/>
            <color indexed="81"/>
            <rFont val="Arial"/>
          </rPr>
          <t>Paul Elsen:</t>
        </r>
        <r>
          <rPr>
            <sz val="9"/>
            <color indexed="81"/>
            <rFont val="Arial"/>
          </rPr>
          <t xml:space="preserve">
500 m resolution pixel</t>
        </r>
      </text>
    </comment>
    <comment ref="J83" authorId="1">
      <text>
        <r>
          <rPr>
            <b/>
            <sz val="9"/>
            <color indexed="81"/>
            <rFont val="Arial"/>
          </rPr>
          <t>Paul Elsen:</t>
        </r>
        <r>
          <rPr>
            <sz val="9"/>
            <color indexed="81"/>
            <rFont val="Arial"/>
          </rPr>
          <t xml:space="preserve">
subset of 30 training sites</t>
        </r>
      </text>
    </comment>
    <comment ref="L83" authorId="1">
      <text>
        <r>
          <rPr>
            <b/>
            <sz val="9"/>
            <color indexed="81"/>
            <rFont val="Arial"/>
          </rPr>
          <t>Paul Elsen:</t>
        </r>
        <r>
          <rPr>
            <sz val="9"/>
            <color indexed="81"/>
            <rFont val="Arial"/>
          </rPr>
          <t xml:space="preserve">
assuming instantaneous (1 second) sampling</t>
        </r>
      </text>
    </comment>
    <comment ref="M83" authorId="1">
      <text>
        <r>
          <rPr>
            <b/>
            <sz val="9"/>
            <color indexed="81"/>
            <rFont val="Arial"/>
          </rPr>
          <t>Paul Elsen:</t>
        </r>
        <r>
          <rPr>
            <sz val="9"/>
            <color indexed="81"/>
            <rFont val="Arial"/>
          </rPr>
          <t xml:space="preserve">
daily satellite imagery</t>
        </r>
      </text>
    </comment>
    <comment ref="O83" authorId="1">
      <text>
        <r>
          <rPr>
            <b/>
            <sz val="9"/>
            <color indexed="81"/>
            <rFont val="Arial"/>
          </rPr>
          <t>Paul Elsen:</t>
        </r>
        <r>
          <rPr>
            <sz val="9"/>
            <color indexed="81"/>
            <rFont val="Arial"/>
          </rPr>
          <t xml:space="preserve">
jan 1 - dec 31 2008</t>
        </r>
      </text>
    </comment>
    <comment ref="I84" authorId="1">
      <text>
        <r>
          <rPr>
            <b/>
            <sz val="9"/>
            <color indexed="81"/>
            <rFont val="Arial"/>
          </rPr>
          <t>Paul Elsen:</t>
        </r>
        <r>
          <rPr>
            <sz val="9"/>
            <color indexed="81"/>
            <rFont val="Arial"/>
          </rPr>
          <t xml:space="preserve">
500 m resolution pixel</t>
        </r>
      </text>
    </comment>
    <comment ref="J84" authorId="1">
      <text>
        <r>
          <rPr>
            <b/>
            <sz val="9"/>
            <color indexed="81"/>
            <rFont val="Arial"/>
          </rPr>
          <t>Paul Elsen:</t>
        </r>
        <r>
          <rPr>
            <sz val="9"/>
            <color indexed="81"/>
            <rFont val="Arial"/>
          </rPr>
          <t xml:space="preserve">
subset of 30 training sites</t>
        </r>
      </text>
    </comment>
    <comment ref="L84" authorId="1">
      <text>
        <r>
          <rPr>
            <b/>
            <sz val="9"/>
            <color indexed="81"/>
            <rFont val="Arial"/>
          </rPr>
          <t>Paul Elsen:</t>
        </r>
        <r>
          <rPr>
            <sz val="9"/>
            <color indexed="81"/>
            <rFont val="Arial"/>
          </rPr>
          <t xml:space="preserve">
assuming instantaneous (1 second) sampling</t>
        </r>
      </text>
    </comment>
    <comment ref="I87" authorId="1">
      <text>
        <r>
          <rPr>
            <b/>
            <sz val="9"/>
            <color indexed="81"/>
            <rFont val="Arial"/>
          </rPr>
          <t>Paul Elsen:</t>
        </r>
        <r>
          <rPr>
            <sz val="9"/>
            <color indexed="81"/>
            <rFont val="Arial"/>
          </rPr>
          <t xml:space="preserve">
assume 3 m tall mist net, authors state total covered area was 2-4 km so assume 1.8 km long nets spaced out every 200 m = 10 nets @ 1800 m long x 3 m tall = 5400 m2</t>
        </r>
      </text>
    </comment>
    <comment ref="L87" authorId="1">
      <text>
        <r>
          <rPr>
            <b/>
            <sz val="9"/>
            <color indexed="81"/>
            <rFont val="Arial"/>
          </rPr>
          <t>Paul Elsen:</t>
        </r>
        <r>
          <rPr>
            <sz val="9"/>
            <color indexed="81"/>
            <rFont val="Arial"/>
          </rPr>
          <t xml:space="preserve">
no information given in text or references, guessing mist nets were up for 5 hours in the morning</t>
        </r>
      </text>
    </comment>
    <comment ref="M87" authorId="1">
      <text>
        <r>
          <rPr>
            <b/>
            <sz val="9"/>
            <color indexed="81"/>
            <rFont val="Arial"/>
          </rPr>
          <t>Paul Elsen:</t>
        </r>
        <r>
          <rPr>
            <sz val="9"/>
            <color indexed="81"/>
            <rFont val="Arial"/>
          </rPr>
          <t xml:space="preserve">
no info given, assuming mist nets were up every day</t>
        </r>
      </text>
    </comment>
    <comment ref="O87" authorId="1">
      <text>
        <r>
          <rPr>
            <b/>
            <sz val="9"/>
            <color indexed="81"/>
            <rFont val="Arial"/>
          </rPr>
          <t>Paul Elsen:</t>
        </r>
        <r>
          <rPr>
            <sz val="9"/>
            <color indexed="81"/>
            <rFont val="Arial"/>
          </rPr>
          <t xml:space="preserve">
date range given 2003-2008 so assume daily recording</t>
        </r>
      </text>
    </comment>
    <comment ref="I88" authorId="1">
      <text>
        <r>
          <rPr>
            <b/>
            <sz val="9"/>
            <color indexed="81"/>
            <rFont val="Arial"/>
          </rPr>
          <t>Paul Elsen:</t>
        </r>
        <r>
          <rPr>
            <sz val="9"/>
            <color indexed="81"/>
            <rFont val="Arial"/>
          </rPr>
          <t xml:space="preserve">
assume 5 mm diameter needle for extracting blood</t>
        </r>
      </text>
    </comment>
    <comment ref="L88" authorId="1">
      <text>
        <r>
          <rPr>
            <b/>
            <sz val="9"/>
            <color indexed="81"/>
            <rFont val="Arial"/>
          </rPr>
          <t>Paul Elsen:</t>
        </r>
        <r>
          <rPr>
            <sz val="9"/>
            <color indexed="81"/>
            <rFont val="Arial"/>
          </rPr>
          <t xml:space="preserve">
assume 30 seconds to extract a sample</t>
        </r>
      </text>
    </comment>
    <comment ref="O88" authorId="1">
      <text>
        <r>
          <rPr>
            <b/>
            <sz val="9"/>
            <color indexed="81"/>
            <rFont val="Arial"/>
          </rPr>
          <t>Paul Elsen:</t>
        </r>
        <r>
          <rPr>
            <sz val="9"/>
            <color indexed="81"/>
            <rFont val="Arial"/>
          </rPr>
          <t xml:space="preserve">
date range given 2003-2008 so assume daily recording</t>
        </r>
      </text>
    </comment>
    <comment ref="I89" authorId="1">
      <text>
        <r>
          <rPr>
            <b/>
            <sz val="9"/>
            <color indexed="81"/>
            <rFont val="Arial"/>
          </rPr>
          <t>Paul Elsen:</t>
        </r>
        <r>
          <rPr>
            <sz val="9"/>
            <color indexed="81"/>
            <rFont val="Arial"/>
          </rPr>
          <t xml:space="preserve">
superb fairy wren is 14 cm long and assuming 5 cm wide</t>
        </r>
      </text>
    </comment>
    <comment ref="L89" authorId="1">
      <text>
        <r>
          <rPr>
            <b/>
            <sz val="9"/>
            <color indexed="81"/>
            <rFont val="Arial"/>
          </rPr>
          <t>Paul Elsen:</t>
        </r>
        <r>
          <rPr>
            <sz val="9"/>
            <color indexed="81"/>
            <rFont val="Arial"/>
          </rPr>
          <t xml:space="preserve">
assume it takes 10 minutes to record all morphometrics</t>
        </r>
      </text>
    </comment>
    <comment ref="O89" authorId="1">
      <text>
        <r>
          <rPr>
            <b/>
            <sz val="9"/>
            <color indexed="81"/>
            <rFont val="Arial"/>
          </rPr>
          <t>Paul Elsen:</t>
        </r>
        <r>
          <rPr>
            <sz val="9"/>
            <color indexed="81"/>
            <rFont val="Arial"/>
          </rPr>
          <t xml:space="preserve">
date range given 2003-2008 so assume daily recording</t>
        </r>
      </text>
    </comment>
    <comment ref="I90" authorId="1">
      <text>
        <r>
          <rPr>
            <b/>
            <sz val="9"/>
            <color indexed="81"/>
            <rFont val="Arial"/>
          </rPr>
          <t>Paul Elsen:</t>
        </r>
        <r>
          <rPr>
            <sz val="9"/>
            <color indexed="81"/>
            <rFont val="Arial"/>
          </rPr>
          <t xml:space="preserve">
length of G. insensibilis is 1.75 (average male/female); assuming head is 1/8 body length; assuming width is 0.0005 m</t>
        </r>
      </text>
    </comment>
    <comment ref="J90" authorId="1">
      <text>
        <r>
          <rPr>
            <b/>
            <sz val="9"/>
            <color indexed="81"/>
            <rFont val="Arial"/>
          </rPr>
          <t>Paul Elsen:</t>
        </r>
        <r>
          <rPr>
            <sz val="9"/>
            <color indexed="81"/>
            <rFont val="Arial"/>
          </rPr>
          <t xml:space="preserve">
35 heads of G. insensibilis (x 2 categories); 20 head G. pulex (x 2 categories)</t>
        </r>
      </text>
    </comment>
    <comment ref="L90" authorId="1">
      <text>
        <r>
          <rPr>
            <b/>
            <sz val="9"/>
            <color indexed="81"/>
            <rFont val="Arial"/>
          </rPr>
          <t>Paul Elsen:</t>
        </r>
        <r>
          <rPr>
            <sz val="9"/>
            <color indexed="81"/>
            <rFont val="Arial"/>
          </rPr>
          <t xml:space="preserve">
assume 30 seconds to extract a sample</t>
        </r>
      </text>
    </comment>
    <comment ref="O90" authorId="1">
      <text>
        <r>
          <rPr>
            <b/>
            <sz val="9"/>
            <color indexed="81"/>
            <rFont val="Arial"/>
          </rPr>
          <t>Paul Elsen:</t>
        </r>
        <r>
          <rPr>
            <sz val="9"/>
            <color indexed="81"/>
            <rFont val="Arial"/>
          </rPr>
          <t xml:space="preserve">
July 2004</t>
        </r>
      </text>
    </comment>
    <comment ref="I91" authorId="1">
      <text>
        <r>
          <rPr>
            <b/>
            <sz val="9"/>
            <color indexed="81"/>
            <rFont val="Arial"/>
          </rPr>
          <t>Paul Elsen:</t>
        </r>
        <r>
          <rPr>
            <sz val="9"/>
            <color indexed="81"/>
            <rFont val="Arial"/>
          </rPr>
          <t xml:space="preserve">
average tree dbh is 1.3 meters</t>
        </r>
      </text>
    </comment>
    <comment ref="L91" authorId="1">
      <text>
        <r>
          <rPr>
            <b/>
            <sz val="9"/>
            <color indexed="81"/>
            <rFont val="Arial"/>
          </rPr>
          <t>Paul Elsen:</t>
        </r>
        <r>
          <rPr>
            <sz val="9"/>
            <color indexed="81"/>
            <rFont val="Arial"/>
          </rPr>
          <t xml:space="preserve">
assume it took 12 hours to survey all 171 sites (all sampling took place on first day of the month)</t>
        </r>
      </text>
    </comment>
    <comment ref="O91" authorId="1">
      <text>
        <r>
          <rPr>
            <b/>
            <sz val="9"/>
            <color indexed="81"/>
            <rFont val="Arial"/>
          </rPr>
          <t>Paul Elsen:</t>
        </r>
        <r>
          <rPr>
            <sz val="9"/>
            <color indexed="81"/>
            <rFont val="Arial"/>
          </rPr>
          <t xml:space="preserve">
started 1 March 1990 to 1 June 2000</t>
        </r>
      </text>
    </comment>
    <comment ref="I92" authorId="1">
      <text>
        <r>
          <rPr>
            <b/>
            <sz val="9"/>
            <color indexed="81"/>
            <rFont val="Arial"/>
          </rPr>
          <t>Paul Elsen:</t>
        </r>
        <r>
          <rPr>
            <sz val="9"/>
            <color indexed="81"/>
            <rFont val="Arial"/>
          </rPr>
          <t xml:space="preserve">
assume 8" diameter rain gauge</t>
        </r>
      </text>
    </comment>
    <comment ref="O92" authorId="1">
      <text>
        <r>
          <rPr>
            <b/>
            <sz val="9"/>
            <color indexed="81"/>
            <rFont val="Arial"/>
          </rPr>
          <t>Paul Elsen:</t>
        </r>
        <r>
          <rPr>
            <sz val="9"/>
            <color indexed="81"/>
            <rFont val="Arial"/>
          </rPr>
          <t xml:space="preserve">
started 1 March 1990 to 1 June 2000</t>
        </r>
      </text>
    </comment>
    <comment ref="I93" authorId="1">
      <text>
        <r>
          <rPr>
            <b/>
            <sz val="9"/>
            <color indexed="81"/>
            <rFont val="Arial"/>
          </rPr>
          <t>Paul Elsen:</t>
        </r>
        <r>
          <rPr>
            <sz val="9"/>
            <color indexed="81"/>
            <rFont val="Arial"/>
          </rPr>
          <t xml:space="preserve">
assume diameter of thermometer is 8 mm</t>
        </r>
      </text>
    </comment>
    <comment ref="L93" authorId="1">
      <text>
        <r>
          <rPr>
            <b/>
            <sz val="9"/>
            <color indexed="81"/>
            <rFont val="Arial"/>
          </rPr>
          <t>Paul Elsen:</t>
        </r>
        <r>
          <rPr>
            <sz val="9"/>
            <color indexed="81"/>
            <rFont val="Arial"/>
          </rPr>
          <t xml:space="preserve">
calculating min and max temp so sampling must have occurred all day</t>
        </r>
      </text>
    </comment>
    <comment ref="O93" authorId="1">
      <text>
        <r>
          <rPr>
            <b/>
            <sz val="9"/>
            <color indexed="81"/>
            <rFont val="Arial"/>
          </rPr>
          <t>Paul Elsen:</t>
        </r>
        <r>
          <rPr>
            <sz val="9"/>
            <color indexed="81"/>
            <rFont val="Arial"/>
          </rPr>
          <t xml:space="preserve">
didn't start recording temperature until Oct 1 1993</t>
        </r>
      </text>
    </comment>
    <comment ref="I97" authorId="1">
      <text>
        <r>
          <rPr>
            <b/>
            <sz val="9"/>
            <color indexed="81"/>
            <rFont val="Arial"/>
          </rPr>
          <t>Paul Elsen:</t>
        </r>
        <r>
          <rPr>
            <sz val="9"/>
            <color indexed="81"/>
            <rFont val="Arial"/>
          </rPr>
          <t xml:space="preserve">
assume temp/humidity/irrandiance sensor has 6" diameter</t>
        </r>
      </text>
    </comment>
    <comment ref="L97" authorId="1">
      <text>
        <r>
          <rPr>
            <b/>
            <sz val="9"/>
            <color indexed="81"/>
            <rFont val="Arial"/>
          </rPr>
          <t>Paul Elsen:</t>
        </r>
        <r>
          <rPr>
            <sz val="9"/>
            <color indexed="81"/>
            <rFont val="Arial"/>
          </rPr>
          <t xml:space="preserve">
assuming instantaneous (1 second) sampling</t>
        </r>
      </text>
    </comment>
    <comment ref="M97" authorId="1">
      <text>
        <r>
          <rPr>
            <b/>
            <sz val="9"/>
            <color indexed="81"/>
            <rFont val="Arial"/>
          </rPr>
          <t>Paul Elsen:</t>
        </r>
        <r>
          <rPr>
            <sz val="9"/>
            <color indexed="81"/>
            <rFont val="Arial"/>
          </rPr>
          <t xml:space="preserve">
all measurements recorded every 5 seconds</t>
        </r>
      </text>
    </comment>
    <comment ref="O97"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I98" authorId="1">
      <text>
        <r>
          <rPr>
            <b/>
            <sz val="9"/>
            <color indexed="81"/>
            <rFont val="Arial"/>
          </rPr>
          <t>Paul Elsen:</t>
        </r>
        <r>
          <rPr>
            <sz val="9"/>
            <color indexed="81"/>
            <rFont val="Arial"/>
          </rPr>
          <t xml:space="preserve">
sampled 600 mm2 of every leaf, 3 separate measurements</t>
        </r>
      </text>
    </comment>
    <comment ref="L98" authorId="1">
      <text>
        <r>
          <rPr>
            <b/>
            <sz val="9"/>
            <color indexed="81"/>
            <rFont val="Arial"/>
          </rPr>
          <t>Paul Elsen:</t>
        </r>
        <r>
          <rPr>
            <sz val="9"/>
            <color indexed="81"/>
            <rFont val="Arial"/>
          </rPr>
          <t xml:space="preserve">
took 2 minutes to take all three samples per leaf</t>
        </r>
      </text>
    </comment>
    <comment ref="M98" authorId="1">
      <text>
        <r>
          <rPr>
            <b/>
            <sz val="9"/>
            <color indexed="81"/>
            <rFont val="Arial"/>
          </rPr>
          <t>Paul Elsen:</t>
        </r>
        <r>
          <rPr>
            <sz val="9"/>
            <color indexed="81"/>
            <rFont val="Arial"/>
          </rPr>
          <t xml:space="preserve">
photosynthesis measured at hourly intervals; 36 h continuous in 2000, then 72 hours continuous in 2001; wait 5 days, 36 hours continuous = average interval of 2.2 hours</t>
        </r>
      </text>
    </comment>
    <comment ref="N98" authorId="1">
      <text>
        <r>
          <rPr>
            <b/>
            <sz val="9"/>
            <color indexed="81"/>
            <rFont val="Arial"/>
          </rPr>
          <t>Paul Elsen:</t>
        </r>
        <r>
          <rPr>
            <sz val="9"/>
            <color indexed="81"/>
            <rFont val="Arial"/>
          </rPr>
          <t xml:space="preserve">
assume 12 hours of daylight</t>
        </r>
      </text>
    </comment>
    <comment ref="O98"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I99" authorId="1">
      <text>
        <r>
          <rPr>
            <b/>
            <sz val="9"/>
            <color indexed="81"/>
            <rFont val="Arial"/>
          </rPr>
          <t>Paul Elsen:</t>
        </r>
        <r>
          <rPr>
            <sz val="9"/>
            <color indexed="81"/>
            <rFont val="Arial"/>
          </rPr>
          <t xml:space="preserve">
sampled 600 mm2 of every leaf, 6 separate measurements</t>
        </r>
      </text>
    </comment>
    <comment ref="L99" authorId="1">
      <text>
        <r>
          <rPr>
            <b/>
            <sz val="9"/>
            <color indexed="81"/>
            <rFont val="Arial"/>
          </rPr>
          <t>Paul Elsen:</t>
        </r>
        <r>
          <rPr>
            <sz val="9"/>
            <color indexed="81"/>
            <rFont val="Arial"/>
          </rPr>
          <t xml:space="preserve">
took 5 minutes to take all six samples per leaf</t>
        </r>
      </text>
    </comment>
    <comment ref="M99" authorId="1">
      <text>
        <r>
          <rPr>
            <b/>
            <sz val="9"/>
            <color indexed="81"/>
            <rFont val="Arial"/>
          </rPr>
          <t>Paul Elsen:</t>
        </r>
        <r>
          <rPr>
            <sz val="9"/>
            <color indexed="81"/>
            <rFont val="Arial"/>
          </rPr>
          <t xml:space="preserve">
respiration measured at 2 hour intervals; 36 h continuous in 2000, then 72 hours continuous in 2001; wait 5 days, 36 hours continuous = average interval of 4.4 hours</t>
        </r>
      </text>
    </comment>
    <comment ref="N99" authorId="1">
      <text>
        <r>
          <rPr>
            <b/>
            <sz val="9"/>
            <color indexed="81"/>
            <rFont val="Arial"/>
          </rPr>
          <t>Paul Elsen:</t>
        </r>
        <r>
          <rPr>
            <sz val="9"/>
            <color indexed="81"/>
            <rFont val="Arial"/>
          </rPr>
          <t xml:space="preserve">
assume 12 hours of night-time</t>
        </r>
      </text>
    </comment>
    <comment ref="O99"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V99" authorId="1">
      <text>
        <r>
          <rPr>
            <b/>
            <sz val="9"/>
            <color indexed="81"/>
            <rFont val="Arial"/>
          </rPr>
          <t>Paul Elsen:</t>
        </r>
        <r>
          <rPr>
            <sz val="9"/>
            <color indexed="81"/>
            <rFont val="Arial"/>
          </rPr>
          <t xml:space="preserve">
note that additional measurements were taken under experimental conditions, which are exluded here</t>
        </r>
      </text>
    </comment>
    <comment ref="I102" authorId="1">
      <text>
        <r>
          <rPr>
            <b/>
            <sz val="9"/>
            <color indexed="81"/>
            <rFont val="Arial"/>
          </rPr>
          <t>Paul Elsen:</t>
        </r>
        <r>
          <rPr>
            <sz val="9"/>
            <color indexed="81"/>
            <rFont val="Arial"/>
          </rPr>
          <t xml:space="preserve">
assume 10 cm pitfall trap diameter</t>
        </r>
      </text>
    </comment>
    <comment ref="O102" authorId="1">
      <text>
        <r>
          <rPr>
            <b/>
            <sz val="9"/>
            <color indexed="81"/>
            <rFont val="Arial"/>
          </rPr>
          <t>Paul Elsen:</t>
        </r>
        <r>
          <rPr>
            <sz val="9"/>
            <color indexed="81"/>
            <rFont val="Arial"/>
          </rPr>
          <t xml:space="preserve">
May-October 1996</t>
        </r>
      </text>
    </comment>
    <comment ref="I103" authorId="1">
      <text>
        <r>
          <rPr>
            <b/>
            <sz val="9"/>
            <color indexed="81"/>
            <rFont val="Arial"/>
          </rPr>
          <t>Paul Elsen:</t>
        </r>
        <r>
          <rPr>
            <sz val="9"/>
            <color indexed="81"/>
            <rFont val="Arial"/>
          </rPr>
          <t xml:space="preserve">
assume 10 cm pitfall trap diameter</t>
        </r>
      </text>
    </comment>
    <comment ref="O103" authorId="1">
      <text>
        <r>
          <rPr>
            <b/>
            <sz val="9"/>
            <color indexed="81"/>
            <rFont val="Arial"/>
          </rPr>
          <t>Paul Elsen:</t>
        </r>
        <r>
          <rPr>
            <sz val="9"/>
            <color indexed="81"/>
            <rFont val="Arial"/>
          </rPr>
          <t xml:space="preserve">
May-October 1997</t>
        </r>
      </text>
    </comment>
    <comment ref="I104" authorId="1">
      <text>
        <r>
          <rPr>
            <b/>
            <sz val="9"/>
            <color indexed="81"/>
            <rFont val="Arial"/>
          </rPr>
          <t>Paul Elsen:</t>
        </r>
        <r>
          <rPr>
            <sz val="9"/>
            <color indexed="81"/>
            <rFont val="Arial"/>
          </rPr>
          <t xml:space="preserve">
assume 10 cm pitfall trap diameter</t>
        </r>
      </text>
    </comment>
    <comment ref="L104" authorId="1">
      <text>
        <r>
          <rPr>
            <b/>
            <sz val="9"/>
            <color indexed="81"/>
            <rFont val="Arial"/>
          </rPr>
          <t>Paul Elsen:</t>
        </r>
        <r>
          <rPr>
            <sz val="9"/>
            <color indexed="81"/>
            <rFont val="Arial"/>
          </rPr>
          <t xml:space="preserve">
not stated, assuming 5 days as in 1997</t>
        </r>
      </text>
    </comment>
    <comment ref="O104" authorId="1">
      <text>
        <r>
          <rPr>
            <b/>
            <sz val="9"/>
            <color indexed="81"/>
            <rFont val="Arial"/>
          </rPr>
          <t>Paul Elsen:</t>
        </r>
        <r>
          <rPr>
            <sz val="9"/>
            <color indexed="81"/>
            <rFont val="Arial"/>
          </rPr>
          <t xml:space="preserve">
May-October 2000</t>
        </r>
      </text>
    </comment>
    <comment ref="I105" authorId="1">
      <text>
        <r>
          <rPr>
            <b/>
            <sz val="9"/>
            <color indexed="81"/>
            <rFont val="Arial"/>
          </rPr>
          <t>Paul Elsen:</t>
        </r>
        <r>
          <rPr>
            <sz val="9"/>
            <color indexed="81"/>
            <rFont val="Arial"/>
          </rPr>
          <t xml:space="preserve">
no information on what constitutes a "plot"; assuming a 5m x 5m plot since they mention that traps at field margins were placed within 5 meters of the margin</t>
        </r>
      </text>
    </comment>
    <comment ref="J105" authorId="1">
      <text>
        <r>
          <rPr>
            <b/>
            <sz val="9"/>
            <color indexed="81"/>
            <rFont val="Arial"/>
          </rPr>
          <t>Paul Elsen:</t>
        </r>
        <r>
          <rPr>
            <sz val="9"/>
            <color indexed="81"/>
            <rFont val="Arial"/>
          </rPr>
          <t xml:space="preserve">
10 different sites</t>
        </r>
      </text>
    </comment>
    <comment ref="L105" authorId="1">
      <text>
        <r>
          <rPr>
            <b/>
            <sz val="9"/>
            <color indexed="81"/>
            <rFont val="Arial"/>
          </rPr>
          <t>Paul Elsen:</t>
        </r>
        <r>
          <rPr>
            <sz val="9"/>
            <color indexed="81"/>
            <rFont val="Arial"/>
          </rPr>
          <t xml:space="preserve">
all samples were recorded during Sep 1997, so assuming it took 3 days to record each of 10 sites</t>
        </r>
      </text>
    </comment>
    <comment ref="O105" authorId="1">
      <text>
        <r>
          <rPr>
            <b/>
            <sz val="9"/>
            <color indexed="81"/>
            <rFont val="Arial"/>
          </rPr>
          <t>Paul Elsen:</t>
        </r>
        <r>
          <rPr>
            <sz val="9"/>
            <color indexed="81"/>
            <rFont val="Arial"/>
          </rPr>
          <t xml:space="preserve">
all collected during Sep 1997</t>
        </r>
      </text>
    </comment>
    <comment ref="I111" authorId="1">
      <text>
        <r>
          <rPr>
            <b/>
            <sz val="9"/>
            <color indexed="81"/>
            <rFont val="Arial"/>
          </rPr>
          <t>Paul Elsen:</t>
        </r>
        <r>
          <rPr>
            <sz val="9"/>
            <color indexed="81"/>
            <rFont val="Arial"/>
          </rPr>
          <t xml:space="preserve">
average length of fish is approximately 70 mm, assume width is 1/3 length</t>
        </r>
      </text>
    </comment>
    <comment ref="J111" authorId="1">
      <text>
        <r>
          <rPr>
            <b/>
            <sz val="9"/>
            <color indexed="81"/>
            <rFont val="Arial"/>
          </rPr>
          <t>Paul Elsen:</t>
        </r>
        <r>
          <rPr>
            <sz val="9"/>
            <color indexed="81"/>
            <rFont val="Arial"/>
          </rPr>
          <t xml:space="preserve">
799 fish surveyed in 16 sites</t>
        </r>
      </text>
    </comment>
    <comment ref="L111" authorId="1">
      <text>
        <r>
          <rPr>
            <b/>
            <sz val="9"/>
            <color indexed="81"/>
            <rFont val="Arial"/>
          </rPr>
          <t>Paul Elsen:</t>
        </r>
        <r>
          <rPr>
            <sz val="9"/>
            <color indexed="81"/>
            <rFont val="Arial"/>
          </rPr>
          <t xml:space="preserve">
assuming 5 minutes to take photograph of sample and run through statistical software to compute morphometric analyses</t>
        </r>
      </text>
    </comment>
    <comment ref="O111" authorId="1">
      <text>
        <r>
          <rPr>
            <b/>
            <sz val="9"/>
            <color indexed="81"/>
            <rFont val="Arial"/>
          </rPr>
          <t>Paul Elsen:</t>
        </r>
        <r>
          <rPr>
            <sz val="9"/>
            <color indexed="81"/>
            <rFont val="Arial"/>
          </rPr>
          <t xml:space="preserve">
no info given so assume the study spanned the time it took to record all photos</t>
        </r>
      </text>
    </comment>
    <comment ref="I115" authorId="1">
      <text>
        <r>
          <rPr>
            <b/>
            <sz val="9"/>
            <color indexed="81"/>
            <rFont val="Arial"/>
          </rPr>
          <t>Paul Elsen:</t>
        </r>
        <r>
          <rPr>
            <sz val="9"/>
            <color indexed="81"/>
            <rFont val="Arial"/>
          </rPr>
          <t xml:space="preserve">
40 cm diameter swept 180 degrees = 40 cm radius, 10 sweep samples per site</t>
        </r>
      </text>
    </comment>
    <comment ref="J115" authorId="1">
      <text>
        <r>
          <rPr>
            <b/>
            <sz val="9"/>
            <color indexed="81"/>
            <rFont val="Arial"/>
          </rPr>
          <t>Paul Elsen:</t>
        </r>
        <r>
          <rPr>
            <sz val="9"/>
            <color indexed="81"/>
            <rFont val="Arial"/>
          </rPr>
          <t xml:space="preserve">
6 hedgerows, 6 control sites</t>
        </r>
      </text>
    </comment>
    <comment ref="L115" authorId="1">
      <text>
        <r>
          <rPr>
            <b/>
            <sz val="9"/>
            <color indexed="81"/>
            <rFont val="Arial"/>
          </rPr>
          <t>Paul Elsen:</t>
        </r>
        <r>
          <rPr>
            <sz val="9"/>
            <color indexed="81"/>
            <rFont val="Arial"/>
          </rPr>
          <t xml:space="preserve">
assume 1 day to sample a site</t>
        </r>
      </text>
    </comment>
    <comment ref="M115" authorId="1">
      <text>
        <r>
          <rPr>
            <b/>
            <sz val="9"/>
            <color indexed="81"/>
            <rFont val="Arial"/>
          </rPr>
          <t>Paul Elsen:</t>
        </r>
        <r>
          <rPr>
            <sz val="9"/>
            <color indexed="81"/>
            <rFont val="Arial"/>
          </rPr>
          <t xml:space="preserve">
samples spaced out 30 days for four months, taken over two years</t>
        </r>
      </text>
    </comment>
    <comment ref="I116" authorId="1">
      <text>
        <r>
          <rPr>
            <b/>
            <sz val="9"/>
            <color indexed="81"/>
            <rFont val="Arial"/>
          </rPr>
          <t>Paul Elsen:</t>
        </r>
        <r>
          <rPr>
            <sz val="9"/>
            <color indexed="81"/>
            <rFont val="Arial"/>
          </rPr>
          <t xml:space="preserve">
sticky note 7.6 cm x 12.7 cm, 12 notes per site</t>
        </r>
      </text>
    </comment>
    <comment ref="M116" authorId="1">
      <text>
        <r>
          <rPr>
            <b/>
            <sz val="9"/>
            <color indexed="81"/>
            <rFont val="Arial"/>
          </rPr>
          <t>Paul Elsen:</t>
        </r>
        <r>
          <rPr>
            <sz val="9"/>
            <color indexed="81"/>
            <rFont val="Arial"/>
          </rPr>
          <t xml:space="preserve">
samples spaced out 30 days for four months, taken over two years</t>
        </r>
      </text>
    </comment>
    <comment ref="I117" authorId="1">
      <text>
        <r>
          <rPr>
            <b/>
            <sz val="9"/>
            <color indexed="81"/>
            <rFont val="Arial"/>
          </rPr>
          <t>Paul Elsen:</t>
        </r>
        <r>
          <rPr>
            <sz val="9"/>
            <color indexed="81"/>
            <rFont val="Arial"/>
          </rPr>
          <t xml:space="preserve">
assume a tomato leaf is 4 cm x 1 cm, 30 leaves sampled, 3 assessments per site</t>
        </r>
      </text>
    </comment>
    <comment ref="L117" authorId="1">
      <text>
        <r>
          <rPr>
            <b/>
            <sz val="9"/>
            <color indexed="81"/>
            <rFont val="Arial"/>
          </rPr>
          <t>Paul Elsen:</t>
        </r>
        <r>
          <rPr>
            <sz val="9"/>
            <color indexed="81"/>
            <rFont val="Arial"/>
          </rPr>
          <t xml:space="preserve">
assume 1 day to assess each site</t>
        </r>
      </text>
    </comment>
    <comment ref="I118" authorId="1">
      <text>
        <r>
          <rPr>
            <b/>
            <sz val="9"/>
            <color indexed="81"/>
            <rFont val="Arial"/>
          </rPr>
          <t>Paul Elsen:</t>
        </r>
        <r>
          <rPr>
            <sz val="9"/>
            <color indexed="81"/>
            <rFont val="Arial"/>
          </rPr>
          <t xml:space="preserve">
assume a tomato is 8 cm x 4 cm, 2 assessments per site</t>
        </r>
      </text>
    </comment>
    <comment ref="L118" authorId="1">
      <text>
        <r>
          <rPr>
            <b/>
            <sz val="9"/>
            <color indexed="81"/>
            <rFont val="Arial"/>
          </rPr>
          <t>Paul Elsen:</t>
        </r>
        <r>
          <rPr>
            <sz val="9"/>
            <color indexed="81"/>
            <rFont val="Arial"/>
          </rPr>
          <t xml:space="preserve">
assume 1 day to assess each site</t>
        </r>
      </text>
    </comment>
    <comment ref="J119" authorId="1">
      <text>
        <r>
          <rPr>
            <b/>
            <sz val="9"/>
            <color indexed="81"/>
            <rFont val="Arial"/>
          </rPr>
          <t>Paul Elsen:</t>
        </r>
        <r>
          <rPr>
            <sz val="9"/>
            <color indexed="81"/>
            <rFont val="Arial"/>
          </rPr>
          <t xml:space="preserve">
enough 1 x 1 m squares to cover a 1.5 km radius at 12 sites, rounded up</t>
        </r>
      </text>
    </comment>
    <comment ref="L119" authorId="1">
      <text>
        <r>
          <rPr>
            <b/>
            <sz val="9"/>
            <color indexed="81"/>
            <rFont val="Arial"/>
          </rPr>
          <t>Paul Elsen:</t>
        </r>
        <r>
          <rPr>
            <sz val="9"/>
            <color indexed="81"/>
            <rFont val="Arial"/>
          </rPr>
          <t xml:space="preserve">
assuming instantaneous (1 second) sampling</t>
        </r>
      </text>
    </comment>
    <comment ref="N119" authorId="1">
      <text>
        <r>
          <rPr>
            <b/>
            <sz val="9"/>
            <color indexed="81"/>
            <rFont val="Arial"/>
          </rPr>
          <t>Paul Elsen:</t>
        </r>
        <r>
          <rPr>
            <sz val="9"/>
            <color indexed="81"/>
            <rFont val="Arial"/>
          </rPr>
          <t xml:space="preserve">
assuming instantaneous (1 second) sampling</t>
        </r>
      </text>
    </comment>
    <comment ref="O119" authorId="1">
      <text>
        <r>
          <rPr>
            <b/>
            <sz val="9"/>
            <color indexed="81"/>
            <rFont val="Arial"/>
          </rPr>
          <t>Paul Elsen:</t>
        </r>
        <r>
          <rPr>
            <sz val="9"/>
            <color indexed="81"/>
            <rFont val="Arial"/>
          </rPr>
          <t xml:space="preserve">
assume analysis done on 1 day</t>
        </r>
      </text>
    </comment>
    <comment ref="L122" authorId="1">
      <text>
        <r>
          <rPr>
            <b/>
            <sz val="9"/>
            <color indexed="81"/>
            <rFont val="Arial"/>
          </rPr>
          <t>Paul Elsen:</t>
        </r>
        <r>
          <rPr>
            <sz val="9"/>
            <color indexed="81"/>
            <rFont val="Arial"/>
          </rPr>
          <t xml:space="preserve">
no information; assume 1 token day to sample each site</t>
        </r>
      </text>
    </comment>
    <comment ref="M122" authorId="1">
      <text>
        <r>
          <rPr>
            <b/>
            <sz val="9"/>
            <color indexed="81"/>
            <rFont val="Arial"/>
          </rPr>
          <t>Paul Elsen:</t>
        </r>
        <r>
          <rPr>
            <sz val="9"/>
            <color indexed="81"/>
            <rFont val="Arial"/>
          </rPr>
          <t xml:space="preserve">
samples taken every 2 weeks</t>
        </r>
      </text>
    </comment>
    <comment ref="N122" authorId="1">
      <text>
        <r>
          <rPr>
            <b/>
            <sz val="9"/>
            <color indexed="81"/>
            <rFont val="Arial"/>
          </rPr>
          <t>Paul Elsen:</t>
        </r>
        <r>
          <rPr>
            <sz val="9"/>
            <color indexed="81"/>
            <rFont val="Arial"/>
          </rPr>
          <t xml:space="preserve">
1 day sampling over 12 days over 2 years</t>
        </r>
      </text>
    </comment>
    <comment ref="O122" authorId="1">
      <text>
        <r>
          <rPr>
            <b/>
            <sz val="9"/>
            <color indexed="81"/>
            <rFont val="Arial"/>
          </rPr>
          <t>Paul Elsen:</t>
        </r>
        <r>
          <rPr>
            <sz val="9"/>
            <color indexed="81"/>
            <rFont val="Arial"/>
          </rPr>
          <t xml:space="preserve">
surveyed over both spring and winter growing seasons during 2001 and 2002, so assume 2 years</t>
        </r>
      </text>
    </comment>
    <comment ref="I123" authorId="1">
      <text>
        <r>
          <rPr>
            <b/>
            <sz val="9"/>
            <color indexed="81"/>
            <rFont val="Arial"/>
          </rPr>
          <t>Paul Elsen:</t>
        </r>
        <r>
          <rPr>
            <sz val="9"/>
            <color indexed="81"/>
            <rFont val="Arial"/>
          </rPr>
          <t xml:space="preserve">
one plot with total area 0.8 ha</t>
        </r>
      </text>
    </comment>
    <comment ref="L123" authorId="1">
      <text>
        <r>
          <rPr>
            <b/>
            <sz val="9"/>
            <color indexed="81"/>
            <rFont val="Arial"/>
          </rPr>
          <t>Paul Elsen:</t>
        </r>
        <r>
          <rPr>
            <sz val="9"/>
            <color indexed="81"/>
            <rFont val="Arial"/>
          </rPr>
          <t xml:space="preserve">
9:30 am - 5:30 pm</t>
        </r>
      </text>
    </comment>
    <comment ref="M123" authorId="1">
      <text>
        <r>
          <rPr>
            <b/>
            <sz val="9"/>
            <color indexed="81"/>
            <rFont val="Arial"/>
          </rPr>
          <t>Paul Elsen:</t>
        </r>
        <r>
          <rPr>
            <sz val="9"/>
            <color indexed="81"/>
            <rFont val="Arial"/>
          </rPr>
          <t xml:space="preserve">
plot resurveyed every 3-5 days, assuming average 4</t>
        </r>
      </text>
    </comment>
    <comment ref="N123" authorId="1">
      <text>
        <r>
          <rPr>
            <b/>
            <sz val="9"/>
            <color indexed="81"/>
            <rFont val="Arial"/>
          </rPr>
          <t>Paul Elsen:</t>
        </r>
        <r>
          <rPr>
            <sz val="9"/>
            <color indexed="81"/>
            <rFont val="Arial"/>
          </rPr>
          <t xml:space="preserve">
8 repeated samples</t>
        </r>
      </text>
    </comment>
    <comment ref="O123" authorId="1">
      <text>
        <r>
          <rPr>
            <b/>
            <sz val="9"/>
            <color indexed="81"/>
            <rFont val="Arial"/>
          </rPr>
          <t>Paul Elsen:</t>
        </r>
        <r>
          <rPr>
            <sz val="9"/>
            <color indexed="81"/>
            <rFont val="Arial"/>
          </rPr>
          <t xml:space="preserve">
July 20 1999 to Aug 17 1999</t>
        </r>
      </text>
    </comment>
    <comment ref="I124" authorId="1">
      <text>
        <r>
          <rPr>
            <b/>
            <sz val="9"/>
            <color indexed="81"/>
            <rFont val="Arial"/>
          </rPr>
          <t>Paul Elsen:</t>
        </r>
        <r>
          <rPr>
            <sz val="9"/>
            <color indexed="81"/>
            <rFont val="Arial"/>
          </rPr>
          <t xml:space="preserve">
assume diameter of thermometer is 8 mm</t>
        </r>
      </text>
    </comment>
    <comment ref="L124" authorId="1">
      <text>
        <r>
          <rPr>
            <b/>
            <sz val="9"/>
            <color indexed="81"/>
            <rFont val="Arial"/>
          </rPr>
          <t>Paul Elsen:</t>
        </r>
        <r>
          <rPr>
            <sz val="9"/>
            <color indexed="81"/>
            <rFont val="Arial"/>
          </rPr>
          <t xml:space="preserve">
assuming instantaneous (1 second) sampling</t>
        </r>
      </text>
    </comment>
    <comment ref="M124" authorId="1">
      <text>
        <r>
          <rPr>
            <b/>
            <sz val="9"/>
            <color indexed="81"/>
            <rFont val="Arial"/>
          </rPr>
          <t>Paul Elsen:</t>
        </r>
        <r>
          <rPr>
            <sz val="9"/>
            <color indexed="81"/>
            <rFont val="Arial"/>
          </rPr>
          <t xml:space="preserve">
26 sampling periods over 28 days</t>
        </r>
      </text>
    </comment>
    <comment ref="O124" authorId="1">
      <text>
        <r>
          <rPr>
            <b/>
            <sz val="9"/>
            <color indexed="81"/>
            <rFont val="Arial"/>
          </rPr>
          <t>Paul Elsen:</t>
        </r>
        <r>
          <rPr>
            <sz val="9"/>
            <color indexed="81"/>
            <rFont val="Arial"/>
          </rPr>
          <t xml:space="preserve">
July 20 1999 to Aug 17 1999</t>
        </r>
      </text>
    </comment>
  </commentList>
</comments>
</file>

<file path=xl/comments4.xml><?xml version="1.0" encoding="utf-8"?>
<comments xmlns="http://schemas.openxmlformats.org/spreadsheetml/2006/main">
  <authors>
    <author/>
    <author>Paul Elsen</author>
  </authors>
  <commentList>
    <comment ref="K1" authorId="0">
      <text>
        <r>
          <rPr>
            <sz val="10"/>
            <rFont val="Arial"/>
          </rPr>
          <t xml:space="preserve">Lyndon Estes:
Calculate as (plot resolution * N sites) / 10000
</t>
        </r>
      </text>
    </comment>
    <comment ref="T1" authorId="0">
      <text>
        <r>
          <rPr>
            <sz val="10"/>
            <rFont val="Arial"/>
          </rPr>
          <t>Lyndon Estes:
separate with semi-colon if more than one</t>
        </r>
      </text>
    </comment>
    <comment ref="J2" authorId="1">
      <text>
        <r>
          <rPr>
            <b/>
            <sz val="9"/>
            <color indexed="81"/>
            <rFont val="Arial"/>
          </rPr>
          <t>Paul Elsen:</t>
        </r>
        <r>
          <rPr>
            <sz val="9"/>
            <color indexed="81"/>
            <rFont val="Arial"/>
          </rPr>
          <t xml:space="preserve">
Kopuatai bog = 16 + 4 sites; Chatham Island = (28 + 29 - 27) sites</t>
        </r>
      </text>
    </comment>
    <comment ref="L2" authorId="1">
      <text>
        <r>
          <rPr>
            <b/>
            <sz val="9"/>
            <color indexed="81"/>
            <rFont val="Arial"/>
          </rPr>
          <t>Paul Elsen:</t>
        </r>
        <r>
          <rPr>
            <sz val="9"/>
            <color indexed="81"/>
            <rFont val="Arial"/>
          </rPr>
          <t xml:space="preserve">
all 50 sites were surveyed in November 2002 and February 21 so assume 1 day per site</t>
        </r>
      </text>
    </comment>
    <comment ref="I3" authorId="1">
      <text>
        <r>
          <rPr>
            <b/>
            <sz val="9"/>
            <color indexed="81"/>
            <rFont val="Arial"/>
          </rPr>
          <t>Paul Elsen:</t>
        </r>
        <r>
          <rPr>
            <sz val="9"/>
            <color indexed="81"/>
            <rFont val="Arial"/>
          </rPr>
          <t xml:space="preserve">
assume the roots are .5 long by .1 m wide</t>
        </r>
      </text>
    </comment>
    <comment ref="L3" authorId="1">
      <text>
        <r>
          <rPr>
            <b/>
            <sz val="9"/>
            <color indexed="81"/>
            <rFont val="Arial"/>
          </rPr>
          <t>Paul Elsen:</t>
        </r>
        <r>
          <rPr>
            <sz val="9"/>
            <color indexed="81"/>
            <rFont val="Arial"/>
          </rPr>
          <t xml:space="preserve">
assume 1 day to sample roots at each plot</t>
        </r>
      </text>
    </comment>
    <comment ref="N3" authorId="1">
      <text>
        <r>
          <rPr>
            <b/>
            <sz val="9"/>
            <color indexed="81"/>
            <rFont val="Arial"/>
          </rPr>
          <t>Paul Elsen:</t>
        </r>
        <r>
          <rPr>
            <sz val="9"/>
            <color indexed="81"/>
            <rFont val="Arial"/>
          </rPr>
          <t xml:space="preserve">
2 root samples at each site</t>
        </r>
      </text>
    </comment>
    <comment ref="I4" authorId="1">
      <text>
        <r>
          <rPr>
            <b/>
            <sz val="9"/>
            <color indexed="81"/>
            <rFont val="Arial"/>
          </rPr>
          <t>Paul Elsen:</t>
        </r>
        <r>
          <rPr>
            <sz val="9"/>
            <color indexed="81"/>
            <rFont val="Arial"/>
          </rPr>
          <t xml:space="preserve">
average of total area for each of four areas divided by the number of prairie dog colonies (data given in hectares so converting to m2)</t>
        </r>
      </text>
    </comment>
    <comment ref="J4" authorId="1">
      <text>
        <r>
          <rPr>
            <b/>
            <sz val="9"/>
            <color indexed="81"/>
            <rFont val="Arial"/>
          </rPr>
          <t>Paul Elsen:</t>
        </r>
        <r>
          <rPr>
            <sz val="9"/>
            <color indexed="81"/>
            <rFont val="Arial"/>
          </rPr>
          <t xml:space="preserve">
treating each prairie dog colony as a site</t>
        </r>
      </text>
    </comment>
    <comment ref="K4" authorId="1">
      <text>
        <r>
          <rPr>
            <b/>
            <sz val="9"/>
            <color indexed="81"/>
            <rFont val="Arial"/>
          </rPr>
          <t>Paul Elsen:</t>
        </r>
        <r>
          <rPr>
            <sz val="9"/>
            <color indexed="81"/>
            <rFont val="Arial"/>
          </rPr>
          <t xml:space="preserve">
total hectares given for each of four study areas</t>
        </r>
      </text>
    </comment>
    <comment ref="L4" authorId="1">
      <text>
        <r>
          <rPr>
            <b/>
            <sz val="9"/>
            <color indexed="81"/>
            <rFont val="Arial"/>
          </rPr>
          <t>Paul Elsen:</t>
        </r>
        <r>
          <rPr>
            <sz val="9"/>
            <color indexed="81"/>
            <rFont val="Arial"/>
          </rPr>
          <t xml:space="preserve">
assume it takes 1 day to sruvey a prairie dog colony</t>
        </r>
      </text>
    </comment>
    <comment ref="M4" authorId="1">
      <text>
        <r>
          <rPr>
            <b/>
            <sz val="9"/>
            <color indexed="81"/>
            <rFont val="Arial"/>
          </rPr>
          <t>Paul Elsen:</t>
        </r>
        <r>
          <rPr>
            <sz val="9"/>
            <color indexed="81"/>
            <rFont val="Arial"/>
          </rPr>
          <t xml:space="preserve">
two sites surveyed 30 days apart, one surveyed 15 days apart, averaged to 25 days between</t>
        </r>
      </text>
    </comment>
    <comment ref="N4" authorId="1">
      <text>
        <r>
          <rPr>
            <b/>
            <sz val="9"/>
            <color indexed="81"/>
            <rFont val="Arial"/>
          </rPr>
          <t>Paul Elsen:</t>
        </r>
        <r>
          <rPr>
            <sz val="9"/>
            <color indexed="81"/>
            <rFont val="Arial"/>
          </rPr>
          <t xml:space="preserve">
assume average of 2.5 repeated samples (sites surveyed &gt;=2 or &gt;=3 times)</t>
        </r>
      </text>
    </comment>
    <comment ref="O4" authorId="1">
      <text>
        <r>
          <rPr>
            <b/>
            <sz val="9"/>
            <color indexed="81"/>
            <rFont val="Arial"/>
          </rPr>
          <t>Paul Elsen:</t>
        </r>
        <r>
          <rPr>
            <sz val="9"/>
            <color indexed="81"/>
            <rFont val="Arial"/>
          </rPr>
          <t xml:space="preserve">
surveyed birds from May 2003 - June 2007</t>
        </r>
      </text>
    </comment>
    <comment ref="I5" authorId="1">
      <text>
        <r>
          <rPr>
            <b/>
            <sz val="9"/>
            <color indexed="81"/>
            <rFont val="Arial"/>
          </rPr>
          <t>Paul Elsen:</t>
        </r>
        <r>
          <rPr>
            <sz val="9"/>
            <color indexed="81"/>
            <rFont val="Arial"/>
          </rPr>
          <t xml:space="preserve">
treating each market as a plot, assuming each market is 10 x 10 m</t>
        </r>
      </text>
    </comment>
    <comment ref="L5" authorId="1">
      <text>
        <r>
          <rPr>
            <b/>
            <sz val="9"/>
            <color indexed="81"/>
            <rFont val="Arial"/>
          </rPr>
          <t>Paul Elsen:</t>
        </r>
        <r>
          <rPr>
            <sz val="9"/>
            <color indexed="81"/>
            <rFont val="Arial"/>
          </rPr>
          <t xml:space="preserve">
total number of site-days given as 7594 so 7594/89 sites</t>
        </r>
      </text>
    </comment>
    <comment ref="N5" authorId="1">
      <text>
        <r>
          <rPr>
            <b/>
            <sz val="9"/>
            <color indexed="81"/>
            <rFont val="Arial"/>
          </rPr>
          <t>Paul Elsen:</t>
        </r>
        <r>
          <rPr>
            <sz val="9"/>
            <color indexed="81"/>
            <rFont val="Arial"/>
          </rPr>
          <t xml:space="preserve">
&gt; study span because many observers collecting market data simultaneously</t>
        </r>
      </text>
    </comment>
    <comment ref="O5" authorId="1">
      <text>
        <r>
          <rPr>
            <b/>
            <sz val="9"/>
            <color indexed="81"/>
            <rFont val="Arial"/>
          </rPr>
          <t>Paul Elsen:</t>
        </r>
        <r>
          <rPr>
            <sz val="9"/>
            <color indexed="81"/>
            <rFont val="Arial"/>
          </rPr>
          <t xml:space="preserve">
Aug 2002 - Jan 2003</t>
        </r>
      </text>
    </comment>
    <comment ref="I6" authorId="1">
      <text>
        <r>
          <rPr>
            <b/>
            <sz val="9"/>
            <color indexed="81"/>
            <rFont val="Arial"/>
          </rPr>
          <t>Paul Elsen:</t>
        </r>
        <r>
          <rPr>
            <sz val="9"/>
            <color indexed="81"/>
            <rFont val="Arial"/>
          </rPr>
          <t xml:space="preserve">
assume 20, 2 inch diameter wheat shoots were sampled</t>
        </r>
      </text>
    </comment>
    <comment ref="L6" authorId="1">
      <text>
        <r>
          <rPr>
            <b/>
            <sz val="9"/>
            <color indexed="81"/>
            <rFont val="Arial"/>
          </rPr>
          <t>Paul Elsen:</t>
        </r>
        <r>
          <rPr>
            <sz val="9"/>
            <color indexed="81"/>
            <rFont val="Arial"/>
          </rPr>
          <t xml:space="preserve">
assuming it takes 5 minutes to sample</t>
        </r>
      </text>
    </comment>
    <comment ref="I7" authorId="1">
      <text>
        <r>
          <rPr>
            <b/>
            <sz val="9"/>
            <color indexed="81"/>
            <rFont val="Arial"/>
          </rPr>
          <t>Paul Elsen:</t>
        </r>
        <r>
          <rPr>
            <sz val="9"/>
            <color indexed="81"/>
            <rFont val="Arial"/>
          </rPr>
          <t xml:space="preserve">
according to the Atlas they wanted &gt;= 25 point counts per 100km2 grid cell, so assumed 25. Although the point counts are unlimited radius, they divide observations between &lt;100 m and &gt;100 m so I took the radius to be 100 m</t>
        </r>
      </text>
    </comment>
    <comment ref="L7" authorId="1">
      <text>
        <r>
          <rPr>
            <b/>
            <sz val="9"/>
            <color indexed="81"/>
            <rFont val="Arial"/>
          </rPr>
          <t>Paul Elsen:</t>
        </r>
        <r>
          <rPr>
            <sz val="9"/>
            <color indexed="81"/>
            <rFont val="Arial"/>
          </rPr>
          <t xml:space="preserve">
5 minute point counts</t>
        </r>
      </text>
    </comment>
    <comment ref="M7" authorId="1">
      <text>
        <r>
          <rPr>
            <b/>
            <sz val="9"/>
            <color indexed="81"/>
            <rFont val="Arial"/>
          </rPr>
          <t>Paul Elsen:</t>
        </r>
        <r>
          <rPr>
            <sz val="9"/>
            <color indexed="81"/>
            <rFont val="Arial"/>
          </rPr>
          <t xml:space="preserve">
assuming 12 minutes between each point count as Atlas says all 25 counts should be completed within 5 hours</t>
        </r>
      </text>
    </comment>
    <comment ref="O7" authorId="1">
      <text>
        <r>
          <rPr>
            <b/>
            <sz val="9"/>
            <color indexed="81"/>
            <rFont val="Arial"/>
          </rPr>
          <t>Paul Elsen:</t>
        </r>
        <r>
          <rPr>
            <sz val="9"/>
            <color indexed="81"/>
            <rFont val="Arial"/>
          </rPr>
          <t xml:space="preserve">
Bird surveys done from 24 May to 10 July 2005</t>
        </r>
      </text>
    </comment>
    <comment ref="I8" authorId="1">
      <text>
        <r>
          <rPr>
            <b/>
            <sz val="9"/>
            <color indexed="81"/>
            <rFont val="Arial"/>
          </rPr>
          <t>Paul Elsen:</t>
        </r>
        <r>
          <rPr>
            <sz val="9"/>
            <color indexed="81"/>
            <rFont val="Arial"/>
          </rPr>
          <t xml:space="preserve">
Landsat TM = 30 x 30 m</t>
        </r>
      </text>
    </comment>
    <comment ref="J8" authorId="1">
      <text>
        <r>
          <rPr>
            <b/>
            <sz val="9"/>
            <color indexed="81"/>
            <rFont val="Arial"/>
          </rPr>
          <t>Paul Elsen:</t>
        </r>
        <r>
          <rPr>
            <sz val="9"/>
            <color indexed="81"/>
            <rFont val="Arial"/>
          </rPr>
          <t xml:space="preserve">
covered 993 10 x 10 km2 grid cells with Landsat Data</t>
        </r>
      </text>
    </comment>
    <comment ref="L8" authorId="1">
      <text>
        <r>
          <rPr>
            <b/>
            <sz val="9"/>
            <color indexed="81"/>
            <rFont val="Arial"/>
          </rPr>
          <t>Paul Elsen:</t>
        </r>
        <r>
          <rPr>
            <sz val="9"/>
            <color indexed="81"/>
            <rFont val="Arial"/>
          </rPr>
          <t xml:space="preserve">
assuming instantaneous (1 second) sampling</t>
        </r>
      </text>
    </comment>
    <comment ref="M8" authorId="1">
      <text>
        <r>
          <rPr>
            <b/>
            <sz val="9"/>
            <color indexed="81"/>
            <rFont val="Arial"/>
          </rPr>
          <t>Paul Elsen:</t>
        </r>
        <r>
          <rPr>
            <sz val="9"/>
            <color indexed="81"/>
            <rFont val="Arial"/>
          </rPr>
          <t xml:space="preserve">
assume they took the Landsat data on same date each year</t>
        </r>
      </text>
    </comment>
    <comment ref="N8" authorId="1">
      <text>
        <r>
          <rPr>
            <b/>
            <sz val="9"/>
            <color indexed="81"/>
            <rFont val="Arial"/>
          </rPr>
          <t>Paul Elsen:</t>
        </r>
        <r>
          <rPr>
            <sz val="9"/>
            <color indexed="81"/>
            <rFont val="Arial"/>
          </rPr>
          <t xml:space="preserve">
assume token 1 day</t>
        </r>
      </text>
    </comment>
    <comment ref="O8" authorId="1">
      <text>
        <r>
          <rPr>
            <b/>
            <sz val="9"/>
            <color indexed="81"/>
            <rFont val="Arial"/>
          </rPr>
          <t>Paul Elsen:</t>
        </r>
        <r>
          <rPr>
            <sz val="9"/>
            <color indexed="81"/>
            <rFont val="Arial"/>
          </rPr>
          <t xml:space="preserve">
Landsat TM data from 1999-2003</t>
        </r>
      </text>
    </comment>
    <comment ref="J9" authorId="1">
      <text>
        <r>
          <rPr>
            <b/>
            <sz val="9"/>
            <color indexed="81"/>
            <rFont val="Arial"/>
          </rPr>
          <t>Paul Elsen:</t>
        </r>
        <r>
          <rPr>
            <sz val="9"/>
            <color indexed="81"/>
            <rFont val="Arial"/>
          </rPr>
          <t xml:space="preserve">
covered 993 10 x 10 km2 grid cells with Landsat Data</t>
        </r>
      </text>
    </comment>
    <comment ref="L9" authorId="1">
      <text>
        <r>
          <rPr>
            <b/>
            <sz val="9"/>
            <color indexed="81"/>
            <rFont val="Arial"/>
          </rPr>
          <t>Paul Elsen:</t>
        </r>
        <r>
          <rPr>
            <sz val="9"/>
            <color indexed="81"/>
            <rFont val="Arial"/>
          </rPr>
          <t xml:space="preserve">
assuming instantaneous (1 second) sampling</t>
        </r>
      </text>
    </comment>
    <comment ref="N9" authorId="1">
      <text>
        <r>
          <rPr>
            <b/>
            <sz val="9"/>
            <color indexed="81"/>
            <rFont val="Arial"/>
          </rPr>
          <t>Paul Elsen:</t>
        </r>
        <r>
          <rPr>
            <sz val="9"/>
            <color indexed="81"/>
            <rFont val="Arial"/>
          </rPr>
          <t xml:space="preserve">
assume token 1 day</t>
        </r>
      </text>
    </comment>
    <comment ref="O9" authorId="1">
      <text>
        <r>
          <rPr>
            <b/>
            <sz val="9"/>
            <color indexed="81"/>
            <rFont val="Arial"/>
          </rPr>
          <t>Paul Elsen:</t>
        </r>
        <r>
          <rPr>
            <sz val="9"/>
            <color indexed="81"/>
            <rFont val="Arial"/>
          </rPr>
          <t xml:space="preserve">
assume token 1 day</t>
        </r>
      </text>
    </comment>
    <comment ref="I10" authorId="1">
      <text>
        <r>
          <rPr>
            <b/>
            <sz val="9"/>
            <color indexed="81"/>
            <rFont val="Arial"/>
          </rPr>
          <t>Paul Elsen:</t>
        </r>
        <r>
          <rPr>
            <sz val="9"/>
            <color indexed="81"/>
            <rFont val="Arial"/>
          </rPr>
          <t xml:space="preserve">
Landsat TM = 30 x 30 m</t>
        </r>
      </text>
    </comment>
    <comment ref="J10" authorId="1">
      <text>
        <r>
          <rPr>
            <b/>
            <sz val="9"/>
            <color indexed="81"/>
            <rFont val="Arial"/>
          </rPr>
          <t>Paul Elsen:</t>
        </r>
        <r>
          <rPr>
            <sz val="9"/>
            <color indexed="81"/>
            <rFont val="Arial"/>
          </rPr>
          <t xml:space="preserve">
covered 993 10 x 10 km2 grid cells with Landsat Data</t>
        </r>
      </text>
    </comment>
    <comment ref="L10" authorId="1">
      <text>
        <r>
          <rPr>
            <b/>
            <sz val="9"/>
            <color indexed="81"/>
            <rFont val="Arial"/>
          </rPr>
          <t>Paul Elsen:</t>
        </r>
        <r>
          <rPr>
            <sz val="9"/>
            <color indexed="81"/>
            <rFont val="Arial"/>
          </rPr>
          <t xml:space="preserve">
assuming instantaneous (1 second) sampling</t>
        </r>
      </text>
    </comment>
    <comment ref="N10" authorId="1">
      <text>
        <r>
          <rPr>
            <b/>
            <sz val="9"/>
            <color indexed="81"/>
            <rFont val="Arial"/>
          </rPr>
          <t>Paul Elsen:</t>
        </r>
        <r>
          <rPr>
            <sz val="9"/>
            <color indexed="81"/>
            <rFont val="Arial"/>
          </rPr>
          <t xml:space="preserve">
assume token 1 day</t>
        </r>
      </text>
    </comment>
    <comment ref="O10" authorId="1">
      <text>
        <r>
          <rPr>
            <b/>
            <sz val="9"/>
            <color indexed="81"/>
            <rFont val="Arial"/>
          </rPr>
          <t>Paul Elsen:</t>
        </r>
        <r>
          <rPr>
            <sz val="9"/>
            <color indexed="81"/>
            <rFont val="Arial"/>
          </rPr>
          <t xml:space="preserve">
assume token 1 day</t>
        </r>
      </text>
    </comment>
    <comment ref="I11" authorId="1">
      <text>
        <r>
          <rPr>
            <b/>
            <sz val="9"/>
            <color indexed="81"/>
            <rFont val="Arial"/>
          </rPr>
          <t>Paul Elsen:</t>
        </r>
        <r>
          <rPr>
            <sz val="9"/>
            <color indexed="81"/>
            <rFont val="Arial"/>
          </rPr>
          <t xml:space="preserve">
at least 8 (assumed exactly 8) samples in 2 km x 2 km quadrats</t>
        </r>
      </text>
    </comment>
    <comment ref="L11" authorId="1">
      <text>
        <r>
          <rPr>
            <b/>
            <sz val="9"/>
            <color indexed="81"/>
            <rFont val="Arial"/>
          </rPr>
          <t>Paul Elsen:</t>
        </r>
        <r>
          <rPr>
            <sz val="9"/>
            <color indexed="81"/>
            <rFont val="Arial"/>
          </rPr>
          <t xml:space="preserve">
2 hours of surveying per site</t>
        </r>
      </text>
    </comment>
    <comment ref="M11" authorId="1">
      <text>
        <r>
          <rPr>
            <b/>
            <sz val="9"/>
            <color indexed="81"/>
            <rFont val="Arial"/>
          </rPr>
          <t>Paul Elsen:</t>
        </r>
        <r>
          <rPr>
            <sz val="9"/>
            <color indexed="81"/>
            <rFont val="Arial"/>
          </rPr>
          <t xml:space="preserve">
bird surveys spaced out at least 4 weeks, so assume 28 days</t>
        </r>
      </text>
    </comment>
    <comment ref="N11" authorId="1">
      <text>
        <r>
          <rPr>
            <b/>
            <sz val="9"/>
            <color indexed="81"/>
            <rFont val="Arial"/>
          </rPr>
          <t>Paul Elsen:</t>
        </r>
        <r>
          <rPr>
            <sz val="9"/>
            <color indexed="81"/>
            <rFont val="Arial"/>
          </rPr>
          <t xml:space="preserve">
2 hour duration to at least 8 point count stations</t>
        </r>
      </text>
    </comment>
    <comment ref="O11" authorId="1">
      <text>
        <r>
          <rPr>
            <b/>
            <sz val="9"/>
            <color indexed="81"/>
            <rFont val="Arial"/>
          </rPr>
          <t>Paul Elsen:</t>
        </r>
        <r>
          <rPr>
            <sz val="9"/>
            <color indexed="81"/>
            <rFont val="Arial"/>
          </rPr>
          <t xml:space="preserve">
Bird surveys during April - July 1988-91</t>
        </r>
      </text>
    </comment>
    <comment ref="I12" authorId="1">
      <text>
        <r>
          <rPr>
            <b/>
            <sz val="9"/>
            <color indexed="81"/>
            <rFont val="Arial"/>
          </rPr>
          <t>Paul Elsen:</t>
        </r>
        <r>
          <rPr>
            <sz val="9"/>
            <color indexed="81"/>
            <rFont val="Arial"/>
          </rPr>
          <t xml:space="preserve">
38254 UK enumeration districts in 1991. Total land area of UK is 94058 square miles</t>
        </r>
      </text>
    </comment>
    <comment ref="L12" authorId="1">
      <text>
        <r>
          <rPr>
            <b/>
            <sz val="9"/>
            <color indexed="81"/>
            <rFont val="Arial"/>
          </rPr>
          <t>Paul Elsen:</t>
        </r>
        <r>
          <rPr>
            <sz val="9"/>
            <color indexed="81"/>
            <rFont val="Arial"/>
          </rPr>
          <t xml:space="preserve">
assume census took place on one day</t>
        </r>
      </text>
    </comment>
    <comment ref="O12" authorId="1">
      <text>
        <r>
          <rPr>
            <b/>
            <sz val="9"/>
            <color indexed="81"/>
            <rFont val="Arial"/>
          </rPr>
          <t>Paul Elsen:</t>
        </r>
        <r>
          <rPr>
            <sz val="9"/>
            <color indexed="81"/>
            <rFont val="Arial"/>
          </rPr>
          <t xml:space="preserve">
assume token 1 day</t>
        </r>
      </text>
    </comment>
    <comment ref="I13" authorId="1">
      <text>
        <r>
          <rPr>
            <b/>
            <sz val="9"/>
            <color indexed="81"/>
            <rFont val="Arial"/>
          </rPr>
          <t>Paul Elsen:</t>
        </r>
        <r>
          <rPr>
            <sz val="9"/>
            <color indexed="81"/>
            <rFont val="Arial"/>
          </rPr>
          <t xml:space="preserve">
assume weather station is .5 m radius instrument</t>
        </r>
      </text>
    </comment>
    <comment ref="J13" authorId="1">
      <text>
        <r>
          <rPr>
            <b/>
            <sz val="9"/>
            <color indexed="81"/>
            <rFont val="Arial"/>
          </rPr>
          <t>Paul Elsen:</t>
        </r>
        <r>
          <rPr>
            <sz val="9"/>
            <color indexed="81"/>
            <rFont val="Arial"/>
          </rPr>
          <t xml:space="preserve">
270 weather stations distributed across the UK</t>
        </r>
      </text>
    </comment>
    <comment ref="L13" authorId="1">
      <text>
        <r>
          <rPr>
            <b/>
            <sz val="9"/>
            <color indexed="81"/>
            <rFont val="Arial"/>
          </rPr>
          <t>Paul Elsen:</t>
        </r>
        <r>
          <rPr>
            <sz val="9"/>
            <color indexed="81"/>
            <rFont val="Arial"/>
          </rPr>
          <t xml:space="preserve">
assuming instantaneous (1 second) sampling</t>
        </r>
      </text>
    </comment>
    <comment ref="N13" authorId="1">
      <text>
        <r>
          <rPr>
            <b/>
            <sz val="9"/>
            <color indexed="81"/>
            <rFont val="Arial"/>
          </rPr>
          <t>Paul Elsen:</t>
        </r>
        <r>
          <rPr>
            <sz val="9"/>
            <color indexed="81"/>
            <rFont val="Arial"/>
          </rPr>
          <t xml:space="preserve">
mean monthly temperature for May, June, and July from 1961-1990</t>
        </r>
      </text>
    </comment>
    <comment ref="O13" authorId="1">
      <text>
        <r>
          <rPr>
            <b/>
            <sz val="9"/>
            <color indexed="81"/>
            <rFont val="Arial"/>
          </rPr>
          <t>Paul Elsen:</t>
        </r>
        <r>
          <rPr>
            <sz val="9"/>
            <color indexed="81"/>
            <rFont val="Arial"/>
          </rPr>
          <t xml:space="preserve">
temperature data collected from 1961-90</t>
        </r>
      </text>
    </comment>
    <comment ref="I14"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14" authorId="1">
      <text>
        <r>
          <rPr>
            <b/>
            <sz val="9"/>
            <color indexed="81"/>
            <rFont val="Arial"/>
          </rPr>
          <t>Paul Elsen:</t>
        </r>
        <r>
          <rPr>
            <sz val="9"/>
            <color indexed="81"/>
            <rFont val="Arial"/>
          </rPr>
          <t xml:space="preserve">
study from Feb 1997 to Feb 2006</t>
        </r>
      </text>
    </comment>
    <comment ref="I15"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15" authorId="1">
      <text>
        <r>
          <rPr>
            <b/>
            <sz val="9"/>
            <color indexed="81"/>
            <rFont val="Arial"/>
          </rPr>
          <t>Paul Elsen:</t>
        </r>
        <r>
          <rPr>
            <sz val="9"/>
            <color indexed="81"/>
            <rFont val="Arial"/>
          </rPr>
          <t xml:space="preserve">
study from Aug 1997 to Aug 2006</t>
        </r>
      </text>
    </comment>
    <comment ref="I16" authorId="1">
      <text>
        <r>
          <rPr>
            <b/>
            <sz val="9"/>
            <color indexed="81"/>
            <rFont val="Arial"/>
          </rPr>
          <t>Paul Elsen:</t>
        </r>
        <r>
          <rPr>
            <sz val="9"/>
            <color indexed="81"/>
            <rFont val="Arial"/>
          </rPr>
          <t xml:space="preserve">
196 plots were 1 x 2 m, then at another site there are two large censuses of 273 m2 and 45 m2, so took the average of all</t>
        </r>
      </text>
    </comment>
    <comment ref="O16" authorId="1">
      <text>
        <r>
          <rPr>
            <b/>
            <sz val="9"/>
            <color indexed="81"/>
            <rFont val="Arial"/>
          </rPr>
          <t>Paul Elsen:</t>
        </r>
        <r>
          <rPr>
            <sz val="9"/>
            <color indexed="81"/>
            <rFont val="Arial"/>
          </rPr>
          <t xml:space="preserve">
study from 1994-2000</t>
        </r>
      </text>
    </comment>
    <comment ref="I17" authorId="1">
      <text>
        <r>
          <rPr>
            <b/>
            <sz val="9"/>
            <color indexed="81"/>
            <rFont val="Arial"/>
          </rPr>
          <t>Paul Elsen:</t>
        </r>
        <r>
          <rPr>
            <sz val="9"/>
            <color indexed="81"/>
            <rFont val="Arial"/>
          </rPr>
          <t xml:space="preserve">
here the plot size is the plant, authors state &lt;50 cm tall so assumed 40 cm tall x 5 cm wide</t>
        </r>
      </text>
    </comment>
    <comment ref="O17" authorId="1">
      <text>
        <r>
          <rPr>
            <b/>
            <sz val="9"/>
            <color indexed="81"/>
            <rFont val="Arial"/>
          </rPr>
          <t>Paul Elsen:</t>
        </r>
        <r>
          <rPr>
            <sz val="9"/>
            <color indexed="81"/>
            <rFont val="Arial"/>
          </rPr>
          <t xml:space="preserve">
study from 1995-1998</t>
        </r>
      </text>
    </comment>
    <comment ref="I18" authorId="1">
      <text>
        <r>
          <rPr>
            <b/>
            <sz val="9"/>
            <color indexed="81"/>
            <rFont val="Arial"/>
          </rPr>
          <t>Paul Elsen:</t>
        </r>
        <r>
          <rPr>
            <sz val="9"/>
            <color indexed="81"/>
            <rFont val="Arial"/>
          </rPr>
          <t xml:space="preserve">
plot size is variable and is the cushion, with females averaging 1219.7 cm2 and hermaphrodites averaging 877 cm2</t>
        </r>
      </text>
    </comment>
    <comment ref="L18" authorId="1">
      <text>
        <r>
          <rPr>
            <b/>
            <sz val="9"/>
            <color indexed="81"/>
            <rFont val="Arial"/>
          </rPr>
          <t>Paul Elsen:</t>
        </r>
        <r>
          <rPr>
            <sz val="9"/>
            <color indexed="81"/>
            <rFont val="Arial"/>
          </rPr>
          <t xml:space="preserve">
60 days of study, 160 plots</t>
        </r>
      </text>
    </comment>
    <comment ref="I19" authorId="1">
      <text>
        <r>
          <rPr>
            <b/>
            <sz val="9"/>
            <color indexed="81"/>
            <rFont val="Arial"/>
          </rPr>
          <t>Paul Elsen:</t>
        </r>
        <r>
          <rPr>
            <sz val="9"/>
            <color indexed="81"/>
            <rFont val="Arial"/>
          </rPr>
          <t xml:space="preserve">
plot size is variable and is the cushion, with females averaging 1219.7 cm2 and hermaphrodites averaging 877 cm2; here there are also 80 control plots, so assuming they have the average plot size</t>
        </r>
      </text>
    </comment>
    <comment ref="J19" authorId="1">
      <text>
        <r>
          <rPr>
            <b/>
            <sz val="9"/>
            <color indexed="81"/>
            <rFont val="Arial"/>
          </rPr>
          <t>Paul Elsen:</t>
        </r>
        <r>
          <rPr>
            <sz val="9"/>
            <color indexed="81"/>
            <rFont val="Arial"/>
          </rPr>
          <t xml:space="preserve">
includes 80 additional control plots</t>
        </r>
      </text>
    </comment>
    <comment ref="I20" authorId="1">
      <text>
        <r>
          <rPr>
            <b/>
            <sz val="9"/>
            <color indexed="81"/>
            <rFont val="Arial"/>
          </rPr>
          <t>Paul Elsen:</t>
        </r>
        <r>
          <rPr>
            <sz val="9"/>
            <color indexed="81"/>
            <rFont val="Arial"/>
          </rPr>
          <t xml:space="preserve">
plot size is variable and is the cushion, with females averaging 1219.7 cm2 and hermaphrodites averaging 877 cm2</t>
        </r>
      </text>
    </comment>
    <comment ref="J20" authorId="1">
      <text>
        <r>
          <rPr>
            <b/>
            <sz val="9"/>
            <color indexed="81"/>
            <rFont val="Arial"/>
          </rPr>
          <t>Paul Elsen:</t>
        </r>
        <r>
          <rPr>
            <sz val="9"/>
            <color indexed="81"/>
            <rFont val="Arial"/>
          </rPr>
          <t xml:space="preserve">
16 females and 16 hermaphrodites at two locations</t>
        </r>
      </text>
    </comment>
    <comment ref="L20" authorId="1">
      <text>
        <r>
          <rPr>
            <b/>
            <sz val="9"/>
            <color indexed="81"/>
            <rFont val="Arial"/>
          </rPr>
          <t>Paul Elsen:</t>
        </r>
        <r>
          <rPr>
            <sz val="9"/>
            <color indexed="81"/>
            <rFont val="Arial"/>
          </rPr>
          <t xml:space="preserve">
all samples taken on Aug 10 2010</t>
        </r>
      </text>
    </comment>
    <comment ref="I21" authorId="1">
      <text>
        <r>
          <rPr>
            <b/>
            <sz val="9"/>
            <color indexed="81"/>
            <rFont val="Arial"/>
          </rPr>
          <t>Paul Elsen:</t>
        </r>
        <r>
          <rPr>
            <sz val="9"/>
            <color indexed="81"/>
            <rFont val="Arial"/>
          </rPr>
          <t xml:space="preserve">
assume leaf is 1 cm x .5 cm; 20 leaves</t>
        </r>
      </text>
    </comment>
    <comment ref="L21" authorId="1">
      <text>
        <r>
          <rPr>
            <b/>
            <sz val="9"/>
            <color indexed="81"/>
            <rFont val="Arial"/>
          </rPr>
          <t>Paul Elsen:</t>
        </r>
        <r>
          <rPr>
            <sz val="9"/>
            <color indexed="81"/>
            <rFont val="Arial"/>
          </rPr>
          <t xml:space="preserve">
all samples taken on Aug 10 2010</t>
        </r>
      </text>
    </comment>
    <comment ref="I22" authorId="1">
      <text>
        <r>
          <rPr>
            <b/>
            <sz val="9"/>
            <color indexed="81"/>
            <rFont val="Arial"/>
          </rPr>
          <t>Paul Elsen:</t>
        </r>
        <r>
          <rPr>
            <sz val="9"/>
            <color indexed="81"/>
            <rFont val="Arial"/>
          </rPr>
          <t xml:space="preserve">
assume fruit size is 2 cm x 2 cm; 3 fruits per cushion</t>
        </r>
      </text>
    </comment>
    <comment ref="L22" authorId="1">
      <text>
        <r>
          <rPr>
            <b/>
            <sz val="9"/>
            <color indexed="81"/>
            <rFont val="Arial"/>
          </rPr>
          <t>Paul Elsen:</t>
        </r>
        <r>
          <rPr>
            <sz val="9"/>
            <color indexed="81"/>
            <rFont val="Arial"/>
          </rPr>
          <t xml:space="preserve">
all samples taken on Aug 10 2010</t>
        </r>
      </text>
    </comment>
    <comment ref="I23" authorId="1">
      <text>
        <r>
          <rPr>
            <b/>
            <sz val="9"/>
            <color indexed="81"/>
            <rFont val="Arial"/>
          </rPr>
          <t>Paul Elsen:</t>
        </r>
        <r>
          <rPr>
            <sz val="9"/>
            <color indexed="81"/>
            <rFont val="Arial"/>
          </rPr>
          <t xml:space="preserve">
ibuttons are 16 mm diameter</t>
        </r>
      </text>
    </comment>
    <comment ref="L23" authorId="1">
      <text>
        <r>
          <rPr>
            <b/>
            <sz val="9"/>
            <color indexed="81"/>
            <rFont val="Arial"/>
          </rPr>
          <t>Paul Elsen:</t>
        </r>
        <r>
          <rPr>
            <sz val="9"/>
            <color indexed="81"/>
            <rFont val="Arial"/>
          </rPr>
          <t xml:space="preserve">
assuming instantaneous (1 second) sampling</t>
        </r>
      </text>
    </comment>
    <comment ref="M23" authorId="1">
      <text>
        <r>
          <rPr>
            <b/>
            <sz val="9"/>
            <color indexed="81"/>
            <rFont val="Arial"/>
          </rPr>
          <t>Paul Elsen:</t>
        </r>
        <r>
          <rPr>
            <sz val="9"/>
            <color indexed="81"/>
            <rFont val="Arial"/>
          </rPr>
          <t xml:space="preserve">
assume 5 minute automated recording interval</t>
        </r>
      </text>
    </comment>
    <comment ref="N23" authorId="1">
      <text>
        <r>
          <rPr>
            <b/>
            <sz val="9"/>
            <color indexed="81"/>
            <rFont val="Arial"/>
          </rPr>
          <t>Paul Elsen:</t>
        </r>
        <r>
          <rPr>
            <sz val="9"/>
            <color indexed="81"/>
            <rFont val="Arial"/>
          </rPr>
          <t xml:space="preserve">
12 recordings an hour for 24 hours for 60 days</t>
        </r>
      </text>
    </comment>
    <comment ref="I24" authorId="1">
      <text>
        <r>
          <rPr>
            <b/>
            <sz val="9"/>
            <color indexed="81"/>
            <rFont val="Arial"/>
          </rPr>
          <t>Paul Elsen:</t>
        </r>
        <r>
          <rPr>
            <sz val="9"/>
            <color indexed="81"/>
            <rFont val="Arial"/>
          </rPr>
          <t xml:space="preserve">
Niskin sampler sensor has 48.3 mm diameter</t>
        </r>
      </text>
    </comment>
    <comment ref="L24" authorId="1">
      <text>
        <r>
          <rPr>
            <b/>
            <sz val="9"/>
            <color indexed="81"/>
            <rFont val="Arial"/>
          </rPr>
          <t>Paul Elsen:</t>
        </r>
        <r>
          <rPr>
            <sz val="9"/>
            <color indexed="81"/>
            <rFont val="Arial"/>
          </rPr>
          <t xml:space="preserve">
assuming instantaneous (1 second) sampling</t>
        </r>
      </text>
    </comment>
    <comment ref="M24" authorId="1">
      <text>
        <r>
          <rPr>
            <b/>
            <sz val="9"/>
            <color indexed="81"/>
            <rFont val="Arial"/>
          </rPr>
          <t>Paul Elsen:</t>
        </r>
        <r>
          <rPr>
            <sz val="9"/>
            <color indexed="81"/>
            <rFont val="Arial"/>
          </rPr>
          <t xml:space="preserve">
no info given, but there are 14 recordings shown in a plot over 450 days so 450/14 ~ 32</t>
        </r>
      </text>
    </comment>
    <comment ref="O24" authorId="1">
      <text>
        <r>
          <rPr>
            <b/>
            <sz val="9"/>
            <color indexed="81"/>
            <rFont val="Arial"/>
          </rPr>
          <t>Paul Elsen:</t>
        </r>
        <r>
          <rPr>
            <sz val="9"/>
            <color indexed="81"/>
            <rFont val="Arial"/>
          </rPr>
          <t xml:space="preserve">
assume two year study; paper states "collected during 2002 and 2003"</t>
        </r>
      </text>
    </comment>
    <comment ref="I25" authorId="1">
      <text>
        <r>
          <rPr>
            <b/>
            <sz val="9"/>
            <color indexed="81"/>
            <rFont val="Arial"/>
          </rPr>
          <t>Paul Elsen:</t>
        </r>
        <r>
          <rPr>
            <sz val="9"/>
            <color indexed="81"/>
            <rFont val="Arial"/>
          </rPr>
          <t xml:space="preserve">
SeaBird SBE-9 sensor is 33 cm diameter</t>
        </r>
      </text>
    </comment>
    <comment ref="L25" authorId="1">
      <text>
        <r>
          <rPr>
            <b/>
            <sz val="9"/>
            <color indexed="81"/>
            <rFont val="Arial"/>
          </rPr>
          <t>Paul Elsen:</t>
        </r>
        <r>
          <rPr>
            <sz val="9"/>
            <color indexed="81"/>
            <rFont val="Arial"/>
          </rPr>
          <t xml:space="preserve">
assuming instantaneous (1 second) sampling</t>
        </r>
      </text>
    </comment>
    <comment ref="M25" authorId="1">
      <text>
        <r>
          <rPr>
            <b/>
            <sz val="9"/>
            <color indexed="81"/>
            <rFont val="Arial"/>
          </rPr>
          <t>Paul Elsen:</t>
        </r>
        <r>
          <rPr>
            <sz val="9"/>
            <color indexed="81"/>
            <rFont val="Arial"/>
          </rPr>
          <t xml:space="preserve">
no info given, but there are 14 recordings shown in a plot over 450 days so 450/14 ~ 32</t>
        </r>
      </text>
    </comment>
    <comment ref="O25" authorId="1">
      <text>
        <r>
          <rPr>
            <b/>
            <sz val="9"/>
            <color indexed="81"/>
            <rFont val="Arial"/>
          </rPr>
          <t>Paul Elsen:</t>
        </r>
        <r>
          <rPr>
            <sz val="9"/>
            <color indexed="81"/>
            <rFont val="Arial"/>
          </rPr>
          <t xml:space="preserve">
assume two year study; paper states "collected during 2002 and 2003"</t>
        </r>
      </text>
    </comment>
    <comment ref="I26" authorId="1">
      <text>
        <r>
          <rPr>
            <b/>
            <sz val="9"/>
            <color indexed="81"/>
            <rFont val="Arial"/>
          </rPr>
          <t>Paul Elsen:</t>
        </r>
        <r>
          <rPr>
            <sz val="9"/>
            <color indexed="81"/>
            <rFont val="Arial"/>
          </rPr>
          <t xml:space="preserve">
CARIOCA buoy sensor is 0.2 m diameter</t>
        </r>
      </text>
    </comment>
    <comment ref="L26" authorId="1">
      <text>
        <r>
          <rPr>
            <b/>
            <sz val="9"/>
            <color indexed="81"/>
            <rFont val="Arial"/>
          </rPr>
          <t>Paul Elsen:</t>
        </r>
        <r>
          <rPr>
            <sz val="9"/>
            <color indexed="81"/>
            <rFont val="Arial"/>
          </rPr>
          <t xml:space="preserve">
assuming instantaneous (1 second) sampling</t>
        </r>
      </text>
    </comment>
    <comment ref="M26" authorId="1">
      <text>
        <r>
          <rPr>
            <b/>
            <sz val="9"/>
            <color indexed="81"/>
            <rFont val="Arial"/>
          </rPr>
          <t>Paul Elsen:</t>
        </r>
        <r>
          <rPr>
            <sz val="9"/>
            <color indexed="81"/>
            <rFont val="Arial"/>
          </rPr>
          <t xml:space="preserve">
hourly samples</t>
        </r>
      </text>
    </comment>
    <comment ref="O26" authorId="1">
      <text>
        <r>
          <rPr>
            <b/>
            <sz val="9"/>
            <color indexed="81"/>
            <rFont val="Arial"/>
          </rPr>
          <t>Paul Elsen:</t>
        </r>
        <r>
          <rPr>
            <sz val="9"/>
            <color indexed="81"/>
            <rFont val="Arial"/>
          </rPr>
          <t xml:space="preserve">
recording from 16 Oct 2002 to 28 Aug 2003, with gap from 20 Jan 2003 to 26 Apr 2003</t>
        </r>
      </text>
    </comment>
    <comment ref="I27" authorId="1">
      <text>
        <r>
          <rPr>
            <b/>
            <sz val="9"/>
            <color indexed="81"/>
            <rFont val="Arial"/>
          </rPr>
          <t>Paul Elsen:</t>
        </r>
        <r>
          <rPr>
            <sz val="9"/>
            <color indexed="81"/>
            <rFont val="Arial"/>
          </rPr>
          <t xml:space="preserve">
assumed 0.5 m radius of instrument sensor</t>
        </r>
      </text>
    </comment>
    <comment ref="L27" authorId="1">
      <text>
        <r>
          <rPr>
            <b/>
            <sz val="9"/>
            <color indexed="81"/>
            <rFont val="Arial"/>
          </rPr>
          <t>Paul Elsen:</t>
        </r>
        <r>
          <rPr>
            <sz val="9"/>
            <color indexed="81"/>
            <rFont val="Arial"/>
          </rPr>
          <t xml:space="preserve">
assuming instantaneous (1 second) sampling</t>
        </r>
      </text>
    </comment>
    <comment ref="M27" authorId="1">
      <text>
        <r>
          <rPr>
            <b/>
            <sz val="9"/>
            <color indexed="81"/>
            <rFont val="Arial"/>
          </rPr>
          <t>Paul Elsen:</t>
        </r>
        <r>
          <rPr>
            <sz val="9"/>
            <color indexed="81"/>
            <rFont val="Arial"/>
          </rPr>
          <t xml:space="preserve">
hourly samples</t>
        </r>
      </text>
    </comment>
    <comment ref="O27" authorId="1">
      <text>
        <r>
          <rPr>
            <b/>
            <sz val="9"/>
            <color indexed="81"/>
            <rFont val="Arial"/>
          </rPr>
          <t>Paul Elsen:</t>
        </r>
        <r>
          <rPr>
            <sz val="9"/>
            <color indexed="81"/>
            <rFont val="Arial"/>
          </rPr>
          <t xml:space="preserve">
assumed the data collected here matched time period for the overall study, though not explicitly stated</t>
        </r>
      </text>
    </comment>
    <comment ref="I28" authorId="1">
      <text>
        <r>
          <rPr>
            <b/>
            <sz val="9"/>
            <color indexed="81"/>
            <rFont val="Arial"/>
          </rPr>
          <t>Paul Elsen:</t>
        </r>
        <r>
          <rPr>
            <sz val="9"/>
            <color indexed="81"/>
            <rFont val="Arial"/>
          </rPr>
          <t xml:space="preserve">
D. labyrinthiformis colonies average 1-2 m diameters; 8 colonies per site</t>
        </r>
      </text>
    </comment>
    <comment ref="L28" authorId="1">
      <text>
        <r>
          <rPr>
            <b/>
            <sz val="9"/>
            <color indexed="81"/>
            <rFont val="Arial"/>
          </rPr>
          <t>Paul Elsen:</t>
        </r>
        <r>
          <rPr>
            <sz val="9"/>
            <color indexed="81"/>
            <rFont val="Arial"/>
          </rPr>
          <t xml:space="preserve">
assume it took one day to take all colonies within a site to the lab and weigh</t>
        </r>
      </text>
    </comment>
    <comment ref="M28" authorId="1">
      <text>
        <r>
          <rPr>
            <b/>
            <sz val="9"/>
            <color indexed="81"/>
            <rFont val="Arial"/>
          </rPr>
          <t>Paul Elsen:</t>
        </r>
        <r>
          <rPr>
            <sz val="9"/>
            <color indexed="81"/>
            <rFont val="Arial"/>
          </rPr>
          <t xml:space="preserve">
weighed every 3 months on average</t>
        </r>
      </text>
    </comment>
    <comment ref="O28" authorId="1">
      <text>
        <r>
          <rPr>
            <b/>
            <sz val="9"/>
            <color indexed="81"/>
            <rFont val="Arial"/>
          </rPr>
          <t>Paul Elsen:</t>
        </r>
        <r>
          <rPr>
            <sz val="9"/>
            <color indexed="81"/>
            <rFont val="Arial"/>
          </rPr>
          <t xml:space="preserve">
assumed the data collected here matched time period for the overall study, though not explicitly stated</t>
        </r>
      </text>
    </comment>
    <comment ref="I29" authorId="1">
      <text>
        <r>
          <rPr>
            <b/>
            <sz val="9"/>
            <color indexed="81"/>
            <rFont val="Arial"/>
          </rPr>
          <t>Paul Elsen:</t>
        </r>
        <r>
          <rPr>
            <sz val="9"/>
            <color indexed="81"/>
            <rFont val="Arial"/>
          </rPr>
          <t xml:space="preserve">
multiple corer has 6 cm diameter</t>
        </r>
      </text>
    </comment>
    <comment ref="L29" authorId="1">
      <text>
        <r>
          <rPr>
            <b/>
            <sz val="9"/>
            <color indexed="81"/>
            <rFont val="Arial"/>
          </rPr>
          <t>Paul Elsen:</t>
        </r>
        <r>
          <rPr>
            <sz val="9"/>
            <color indexed="81"/>
            <rFont val="Arial"/>
          </rPr>
          <t xml:space="preserve">
assume 1 minute to take a core sample</t>
        </r>
      </text>
    </comment>
    <comment ref="O29" authorId="1">
      <text>
        <r>
          <rPr>
            <b/>
            <sz val="9"/>
            <color indexed="81"/>
            <rFont val="Arial"/>
          </rPr>
          <t>Paul Elsen:</t>
        </r>
        <r>
          <rPr>
            <sz val="9"/>
            <color indexed="81"/>
            <rFont val="Arial"/>
          </rPr>
          <t xml:space="preserve">
January 2009</t>
        </r>
      </text>
    </comment>
    <comment ref="I30" authorId="1">
      <text>
        <r>
          <rPr>
            <b/>
            <sz val="9"/>
            <color indexed="81"/>
            <rFont val="Arial"/>
          </rPr>
          <t>Paul Elsen:</t>
        </r>
        <r>
          <rPr>
            <sz val="9"/>
            <color indexed="81"/>
            <rFont val="Arial"/>
          </rPr>
          <t xml:space="preserve">
SeaBird SBE-43 sensor has 13 mm diameter</t>
        </r>
      </text>
    </comment>
    <comment ref="L30" authorId="1">
      <text>
        <r>
          <rPr>
            <b/>
            <sz val="9"/>
            <color indexed="81"/>
            <rFont val="Arial"/>
          </rPr>
          <t>Paul Elsen:</t>
        </r>
        <r>
          <rPr>
            <sz val="9"/>
            <color indexed="81"/>
            <rFont val="Arial"/>
          </rPr>
          <t xml:space="preserve">
assuming instantaneous (1 second) sampling</t>
        </r>
      </text>
    </comment>
    <comment ref="O30" authorId="1">
      <text>
        <r>
          <rPr>
            <b/>
            <sz val="9"/>
            <color indexed="81"/>
            <rFont val="Arial"/>
          </rPr>
          <t>Paul Elsen:</t>
        </r>
        <r>
          <rPr>
            <sz val="9"/>
            <color indexed="81"/>
            <rFont val="Arial"/>
          </rPr>
          <t xml:space="preserve">
January 2009</t>
        </r>
      </text>
    </comment>
    <comment ref="I31" authorId="1">
      <text>
        <r>
          <rPr>
            <b/>
            <sz val="9"/>
            <color indexed="81"/>
            <rFont val="Arial"/>
          </rPr>
          <t>Paul Elsen:</t>
        </r>
        <r>
          <rPr>
            <sz val="9"/>
            <color indexed="81"/>
            <rFont val="Arial"/>
          </rPr>
          <t xml:space="preserve">
assume camera sensor is 2 cm diameter</t>
        </r>
      </text>
    </comment>
    <comment ref="J31" authorId="1">
      <text>
        <r>
          <rPr>
            <b/>
            <sz val="9"/>
            <color indexed="81"/>
            <rFont val="Arial"/>
          </rPr>
          <t>Paul Elsen:</t>
        </r>
        <r>
          <rPr>
            <sz val="9"/>
            <color indexed="81"/>
            <rFont val="Arial"/>
          </rPr>
          <t xml:space="preserve">
1495 sites collected but only 1141 used for analysis after removing dark/grainy photos</t>
        </r>
      </text>
    </comment>
    <comment ref="K31" authorId="1">
      <text>
        <r>
          <rPr>
            <b/>
            <sz val="9"/>
            <color indexed="81"/>
            <rFont val="Arial"/>
          </rPr>
          <t>Paul Elsen:</t>
        </r>
        <r>
          <rPr>
            <sz val="9"/>
            <color indexed="81"/>
            <rFont val="Arial"/>
          </rPr>
          <t xml:space="preserve">
each plot sampled twice daily for 1 week</t>
        </r>
      </text>
    </comment>
    <comment ref="L31" authorId="1">
      <text>
        <r>
          <rPr>
            <b/>
            <sz val="9"/>
            <color indexed="81"/>
            <rFont val="Arial"/>
          </rPr>
          <t>Paul Elsen:</t>
        </r>
        <r>
          <rPr>
            <sz val="9"/>
            <color indexed="81"/>
            <rFont val="Arial"/>
          </rPr>
          <t xml:space="preserve">
assuming instantaneous (1 second) sampling</t>
        </r>
      </text>
    </comment>
    <comment ref="I32" authorId="1">
      <text>
        <r>
          <rPr>
            <b/>
            <sz val="9"/>
            <color indexed="81"/>
            <rFont val="Arial"/>
          </rPr>
          <t>Paul Elsen:</t>
        </r>
        <r>
          <rPr>
            <sz val="9"/>
            <color indexed="81"/>
            <rFont val="Arial"/>
          </rPr>
          <t xml:space="preserve">
500 m resolution pixel</t>
        </r>
      </text>
    </comment>
    <comment ref="J32" authorId="1">
      <text>
        <r>
          <rPr>
            <b/>
            <sz val="9"/>
            <color indexed="81"/>
            <rFont val="Arial"/>
          </rPr>
          <t>Paul Elsen:</t>
        </r>
        <r>
          <rPr>
            <sz val="9"/>
            <color indexed="81"/>
            <rFont val="Arial"/>
          </rPr>
          <t xml:space="preserve">
subset of 30 training sites</t>
        </r>
      </text>
    </comment>
    <comment ref="L32" authorId="1">
      <text>
        <r>
          <rPr>
            <b/>
            <sz val="9"/>
            <color indexed="81"/>
            <rFont val="Arial"/>
          </rPr>
          <t>Paul Elsen:</t>
        </r>
        <r>
          <rPr>
            <sz val="9"/>
            <color indexed="81"/>
            <rFont val="Arial"/>
          </rPr>
          <t xml:space="preserve">
assuming instantaneous (1 second) sampling</t>
        </r>
      </text>
    </comment>
    <comment ref="M32" authorId="1">
      <text>
        <r>
          <rPr>
            <b/>
            <sz val="9"/>
            <color indexed="81"/>
            <rFont val="Arial"/>
          </rPr>
          <t>Paul Elsen:</t>
        </r>
        <r>
          <rPr>
            <sz val="9"/>
            <color indexed="81"/>
            <rFont val="Arial"/>
          </rPr>
          <t xml:space="preserve">
daily satellite imagery</t>
        </r>
      </text>
    </comment>
    <comment ref="O32" authorId="1">
      <text>
        <r>
          <rPr>
            <b/>
            <sz val="9"/>
            <color indexed="81"/>
            <rFont val="Arial"/>
          </rPr>
          <t>Paul Elsen:</t>
        </r>
        <r>
          <rPr>
            <sz val="9"/>
            <color indexed="81"/>
            <rFont val="Arial"/>
          </rPr>
          <t xml:space="preserve">
jan 1 - dec 31 2008</t>
        </r>
      </text>
    </comment>
    <comment ref="I33" authorId="1">
      <text>
        <r>
          <rPr>
            <b/>
            <sz val="9"/>
            <color indexed="81"/>
            <rFont val="Arial"/>
          </rPr>
          <t>Paul Elsen:</t>
        </r>
        <r>
          <rPr>
            <sz val="9"/>
            <color indexed="81"/>
            <rFont val="Arial"/>
          </rPr>
          <t xml:space="preserve">
500 m resolution pixel</t>
        </r>
      </text>
    </comment>
    <comment ref="J33" authorId="1">
      <text>
        <r>
          <rPr>
            <b/>
            <sz val="9"/>
            <color indexed="81"/>
            <rFont val="Arial"/>
          </rPr>
          <t>Paul Elsen:</t>
        </r>
        <r>
          <rPr>
            <sz val="9"/>
            <color indexed="81"/>
            <rFont val="Arial"/>
          </rPr>
          <t xml:space="preserve">
subset of 30 training sites</t>
        </r>
      </text>
    </comment>
    <comment ref="L33" authorId="1">
      <text>
        <r>
          <rPr>
            <b/>
            <sz val="9"/>
            <color indexed="81"/>
            <rFont val="Arial"/>
          </rPr>
          <t>Paul Elsen:</t>
        </r>
        <r>
          <rPr>
            <sz val="9"/>
            <color indexed="81"/>
            <rFont val="Arial"/>
          </rPr>
          <t xml:space="preserve">
assuming instantaneous (1 second) sampling</t>
        </r>
      </text>
    </comment>
    <comment ref="I34" authorId="1">
      <text>
        <r>
          <rPr>
            <b/>
            <sz val="9"/>
            <color indexed="81"/>
            <rFont val="Arial"/>
          </rPr>
          <t>Paul Elsen:</t>
        </r>
        <r>
          <rPr>
            <sz val="9"/>
            <color indexed="81"/>
            <rFont val="Arial"/>
          </rPr>
          <t xml:space="preserve">
assume 3 m tall mist net, authors state total covered area was 2-4 km so assume 1.8 km long nets spaced out every 200 m = 10 nets @ 1800 m long x 3 m tall = 5400 m2</t>
        </r>
      </text>
    </comment>
    <comment ref="L34" authorId="1">
      <text>
        <r>
          <rPr>
            <b/>
            <sz val="9"/>
            <color indexed="81"/>
            <rFont val="Arial"/>
          </rPr>
          <t>Paul Elsen:</t>
        </r>
        <r>
          <rPr>
            <sz val="9"/>
            <color indexed="81"/>
            <rFont val="Arial"/>
          </rPr>
          <t xml:space="preserve">
no information given in text or references, guessing mist nets were up for 5 hours in the morning</t>
        </r>
      </text>
    </comment>
    <comment ref="M34" authorId="1">
      <text>
        <r>
          <rPr>
            <b/>
            <sz val="9"/>
            <color indexed="81"/>
            <rFont val="Arial"/>
          </rPr>
          <t>Paul Elsen:</t>
        </r>
        <r>
          <rPr>
            <sz val="9"/>
            <color indexed="81"/>
            <rFont val="Arial"/>
          </rPr>
          <t xml:space="preserve">
no info given, assuming mist nets were up every day</t>
        </r>
      </text>
    </comment>
    <comment ref="O34" authorId="1">
      <text>
        <r>
          <rPr>
            <b/>
            <sz val="9"/>
            <color indexed="81"/>
            <rFont val="Arial"/>
          </rPr>
          <t>Paul Elsen:</t>
        </r>
        <r>
          <rPr>
            <sz val="9"/>
            <color indexed="81"/>
            <rFont val="Arial"/>
          </rPr>
          <t xml:space="preserve">
date range given 2003-2008 so assume daily recording</t>
        </r>
      </text>
    </comment>
    <comment ref="I35" authorId="1">
      <text>
        <r>
          <rPr>
            <b/>
            <sz val="9"/>
            <color indexed="81"/>
            <rFont val="Arial"/>
          </rPr>
          <t>Paul Elsen:</t>
        </r>
        <r>
          <rPr>
            <sz val="9"/>
            <color indexed="81"/>
            <rFont val="Arial"/>
          </rPr>
          <t xml:space="preserve">
assume 5 mm diameter needle for extracting blood</t>
        </r>
      </text>
    </comment>
    <comment ref="L35" authorId="1">
      <text>
        <r>
          <rPr>
            <b/>
            <sz val="9"/>
            <color indexed="81"/>
            <rFont val="Arial"/>
          </rPr>
          <t>Paul Elsen:</t>
        </r>
        <r>
          <rPr>
            <sz val="9"/>
            <color indexed="81"/>
            <rFont val="Arial"/>
          </rPr>
          <t xml:space="preserve">
assume 30 seconds to extract a sample</t>
        </r>
      </text>
    </comment>
    <comment ref="O35" authorId="1">
      <text>
        <r>
          <rPr>
            <b/>
            <sz val="9"/>
            <color indexed="81"/>
            <rFont val="Arial"/>
          </rPr>
          <t>Paul Elsen:</t>
        </r>
        <r>
          <rPr>
            <sz val="9"/>
            <color indexed="81"/>
            <rFont val="Arial"/>
          </rPr>
          <t xml:space="preserve">
date range given 2003-2008 so assume daily recording</t>
        </r>
      </text>
    </comment>
    <comment ref="I36" authorId="1">
      <text>
        <r>
          <rPr>
            <b/>
            <sz val="9"/>
            <color indexed="81"/>
            <rFont val="Arial"/>
          </rPr>
          <t>Paul Elsen:</t>
        </r>
        <r>
          <rPr>
            <sz val="9"/>
            <color indexed="81"/>
            <rFont val="Arial"/>
          </rPr>
          <t xml:space="preserve">
superb fairy wren is 14 cm long and assuming 5 cm wide</t>
        </r>
      </text>
    </comment>
    <comment ref="L36" authorId="1">
      <text>
        <r>
          <rPr>
            <b/>
            <sz val="9"/>
            <color indexed="81"/>
            <rFont val="Arial"/>
          </rPr>
          <t>Paul Elsen:</t>
        </r>
        <r>
          <rPr>
            <sz val="9"/>
            <color indexed="81"/>
            <rFont val="Arial"/>
          </rPr>
          <t xml:space="preserve">
assume it takes 10 minutes to record all morphometrics</t>
        </r>
      </text>
    </comment>
    <comment ref="O36" authorId="1">
      <text>
        <r>
          <rPr>
            <b/>
            <sz val="9"/>
            <color indexed="81"/>
            <rFont val="Arial"/>
          </rPr>
          <t>Paul Elsen:</t>
        </r>
        <r>
          <rPr>
            <sz val="9"/>
            <color indexed="81"/>
            <rFont val="Arial"/>
          </rPr>
          <t xml:space="preserve">
date range given 2003-2008 so assume daily recording</t>
        </r>
      </text>
    </comment>
    <comment ref="I37" authorId="1">
      <text>
        <r>
          <rPr>
            <b/>
            <sz val="9"/>
            <color indexed="81"/>
            <rFont val="Arial"/>
          </rPr>
          <t>Paul Elsen:</t>
        </r>
        <r>
          <rPr>
            <sz val="9"/>
            <color indexed="81"/>
            <rFont val="Arial"/>
          </rPr>
          <t xml:space="preserve">
length of G. insensibilis is 1.75 (average male/female); assuming head is 1/8 body length; assuming width is 0.0005 m</t>
        </r>
      </text>
    </comment>
    <comment ref="J37" authorId="1">
      <text>
        <r>
          <rPr>
            <b/>
            <sz val="9"/>
            <color indexed="81"/>
            <rFont val="Arial"/>
          </rPr>
          <t>Paul Elsen:</t>
        </r>
        <r>
          <rPr>
            <sz val="9"/>
            <color indexed="81"/>
            <rFont val="Arial"/>
          </rPr>
          <t xml:space="preserve">
35 heads of G. insensibilis (x 2 categories); 20 head G. pulex (x 2 categories)</t>
        </r>
      </text>
    </comment>
    <comment ref="L37" authorId="1">
      <text>
        <r>
          <rPr>
            <b/>
            <sz val="9"/>
            <color indexed="81"/>
            <rFont val="Arial"/>
          </rPr>
          <t>Paul Elsen:</t>
        </r>
        <r>
          <rPr>
            <sz val="9"/>
            <color indexed="81"/>
            <rFont val="Arial"/>
          </rPr>
          <t xml:space="preserve">
assume 30 seconds to extract a sample</t>
        </r>
      </text>
    </comment>
    <comment ref="O37" authorId="1">
      <text>
        <r>
          <rPr>
            <b/>
            <sz val="9"/>
            <color indexed="81"/>
            <rFont val="Arial"/>
          </rPr>
          <t>Paul Elsen:</t>
        </r>
        <r>
          <rPr>
            <sz val="9"/>
            <color indexed="81"/>
            <rFont val="Arial"/>
          </rPr>
          <t xml:space="preserve">
July 2004</t>
        </r>
      </text>
    </comment>
    <comment ref="I38" authorId="1">
      <text>
        <r>
          <rPr>
            <b/>
            <sz val="9"/>
            <color indexed="81"/>
            <rFont val="Arial"/>
          </rPr>
          <t>Paul Elsen:</t>
        </r>
        <r>
          <rPr>
            <sz val="9"/>
            <color indexed="81"/>
            <rFont val="Arial"/>
          </rPr>
          <t xml:space="preserve">
average tree dbh is 1.3 meters</t>
        </r>
      </text>
    </comment>
    <comment ref="L38" authorId="1">
      <text>
        <r>
          <rPr>
            <b/>
            <sz val="9"/>
            <color indexed="81"/>
            <rFont val="Arial"/>
          </rPr>
          <t>Paul Elsen:</t>
        </r>
        <r>
          <rPr>
            <sz val="9"/>
            <color indexed="81"/>
            <rFont val="Arial"/>
          </rPr>
          <t xml:space="preserve">
assume it took 12 hours to survey all 171 sites (all sampling took place on first day of the month)</t>
        </r>
      </text>
    </comment>
    <comment ref="O38" authorId="1">
      <text>
        <r>
          <rPr>
            <b/>
            <sz val="9"/>
            <color indexed="81"/>
            <rFont val="Arial"/>
          </rPr>
          <t>Paul Elsen:</t>
        </r>
        <r>
          <rPr>
            <sz val="9"/>
            <color indexed="81"/>
            <rFont val="Arial"/>
          </rPr>
          <t xml:space="preserve">
started 1 March 1990 to 1 June 2000</t>
        </r>
      </text>
    </comment>
    <comment ref="I39" authorId="1">
      <text>
        <r>
          <rPr>
            <b/>
            <sz val="9"/>
            <color indexed="81"/>
            <rFont val="Arial"/>
          </rPr>
          <t>Paul Elsen:</t>
        </r>
        <r>
          <rPr>
            <sz val="9"/>
            <color indexed="81"/>
            <rFont val="Arial"/>
          </rPr>
          <t xml:space="preserve">
assume 8" diameter rain gauge</t>
        </r>
      </text>
    </comment>
    <comment ref="O39" authorId="1">
      <text>
        <r>
          <rPr>
            <b/>
            <sz val="9"/>
            <color indexed="81"/>
            <rFont val="Arial"/>
          </rPr>
          <t>Paul Elsen:</t>
        </r>
        <r>
          <rPr>
            <sz val="9"/>
            <color indexed="81"/>
            <rFont val="Arial"/>
          </rPr>
          <t xml:space="preserve">
started 1 March 1990 to 1 June 2000</t>
        </r>
      </text>
    </comment>
    <comment ref="I40" authorId="1">
      <text>
        <r>
          <rPr>
            <b/>
            <sz val="9"/>
            <color indexed="81"/>
            <rFont val="Arial"/>
          </rPr>
          <t>Paul Elsen:</t>
        </r>
        <r>
          <rPr>
            <sz val="9"/>
            <color indexed="81"/>
            <rFont val="Arial"/>
          </rPr>
          <t xml:space="preserve">
assume diameter of thermometer is 8 mm</t>
        </r>
      </text>
    </comment>
    <comment ref="L40" authorId="1">
      <text>
        <r>
          <rPr>
            <b/>
            <sz val="9"/>
            <color indexed="81"/>
            <rFont val="Arial"/>
          </rPr>
          <t>Paul Elsen:</t>
        </r>
        <r>
          <rPr>
            <sz val="9"/>
            <color indexed="81"/>
            <rFont val="Arial"/>
          </rPr>
          <t xml:space="preserve">
calculating min and max temp so sampling must have occurred all day</t>
        </r>
      </text>
    </comment>
    <comment ref="O40" authorId="1">
      <text>
        <r>
          <rPr>
            <b/>
            <sz val="9"/>
            <color indexed="81"/>
            <rFont val="Arial"/>
          </rPr>
          <t>Paul Elsen:</t>
        </r>
        <r>
          <rPr>
            <sz val="9"/>
            <color indexed="81"/>
            <rFont val="Arial"/>
          </rPr>
          <t xml:space="preserve">
didn't start recording temperature until Oct 1 1993</t>
        </r>
      </text>
    </comment>
    <comment ref="I41" authorId="1">
      <text>
        <r>
          <rPr>
            <b/>
            <sz val="9"/>
            <color indexed="81"/>
            <rFont val="Arial"/>
          </rPr>
          <t>Paul Elsen:</t>
        </r>
        <r>
          <rPr>
            <sz val="9"/>
            <color indexed="81"/>
            <rFont val="Arial"/>
          </rPr>
          <t xml:space="preserve">
assume temp/humidity/irrandiance sensor has 6" diameter</t>
        </r>
      </text>
    </comment>
    <comment ref="L41" authorId="1">
      <text>
        <r>
          <rPr>
            <b/>
            <sz val="9"/>
            <color indexed="81"/>
            <rFont val="Arial"/>
          </rPr>
          <t>Paul Elsen:</t>
        </r>
        <r>
          <rPr>
            <sz val="9"/>
            <color indexed="81"/>
            <rFont val="Arial"/>
          </rPr>
          <t xml:space="preserve">
assuming instantaneous (1 second) sampling</t>
        </r>
      </text>
    </comment>
    <comment ref="M41" authorId="1">
      <text>
        <r>
          <rPr>
            <b/>
            <sz val="9"/>
            <color indexed="81"/>
            <rFont val="Arial"/>
          </rPr>
          <t>Paul Elsen:</t>
        </r>
        <r>
          <rPr>
            <sz val="9"/>
            <color indexed="81"/>
            <rFont val="Arial"/>
          </rPr>
          <t xml:space="preserve">
all measurements recorded every 5 seconds</t>
        </r>
      </text>
    </comment>
    <comment ref="O41"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I42" authorId="1">
      <text>
        <r>
          <rPr>
            <b/>
            <sz val="9"/>
            <color indexed="81"/>
            <rFont val="Arial"/>
          </rPr>
          <t>Paul Elsen:</t>
        </r>
        <r>
          <rPr>
            <sz val="9"/>
            <color indexed="81"/>
            <rFont val="Arial"/>
          </rPr>
          <t xml:space="preserve">
sampled 600 mm2 of every leaf, 3 separate measurements</t>
        </r>
      </text>
    </comment>
    <comment ref="L42" authorId="1">
      <text>
        <r>
          <rPr>
            <b/>
            <sz val="9"/>
            <color indexed="81"/>
            <rFont val="Arial"/>
          </rPr>
          <t>Paul Elsen:</t>
        </r>
        <r>
          <rPr>
            <sz val="9"/>
            <color indexed="81"/>
            <rFont val="Arial"/>
          </rPr>
          <t xml:space="preserve">
took 2 minutes to take all three samples per leaf</t>
        </r>
      </text>
    </comment>
    <comment ref="M42" authorId="1">
      <text>
        <r>
          <rPr>
            <b/>
            <sz val="9"/>
            <color indexed="81"/>
            <rFont val="Arial"/>
          </rPr>
          <t>Paul Elsen:</t>
        </r>
        <r>
          <rPr>
            <sz val="9"/>
            <color indexed="81"/>
            <rFont val="Arial"/>
          </rPr>
          <t xml:space="preserve">
photosynthesis measured at hourly intervals; 36 h continuous in 2000, then 72 hours continuous in 2001; wait 5 days, 36 hours continuous = average interval of 2.2 hours</t>
        </r>
      </text>
    </comment>
    <comment ref="N42" authorId="1">
      <text>
        <r>
          <rPr>
            <b/>
            <sz val="9"/>
            <color indexed="81"/>
            <rFont val="Arial"/>
          </rPr>
          <t>Paul Elsen:</t>
        </r>
        <r>
          <rPr>
            <sz val="9"/>
            <color indexed="81"/>
            <rFont val="Arial"/>
          </rPr>
          <t xml:space="preserve">
assume 12 hours of daylight</t>
        </r>
      </text>
    </comment>
    <comment ref="O42"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I43" authorId="1">
      <text>
        <r>
          <rPr>
            <b/>
            <sz val="9"/>
            <color indexed="81"/>
            <rFont val="Arial"/>
          </rPr>
          <t>Paul Elsen:</t>
        </r>
        <r>
          <rPr>
            <sz val="9"/>
            <color indexed="81"/>
            <rFont val="Arial"/>
          </rPr>
          <t xml:space="preserve">
sampled 600 mm2 of every leaf, 6 separate measurements</t>
        </r>
      </text>
    </comment>
    <comment ref="L43" authorId="1">
      <text>
        <r>
          <rPr>
            <b/>
            <sz val="9"/>
            <color indexed="81"/>
            <rFont val="Arial"/>
          </rPr>
          <t>Paul Elsen:</t>
        </r>
        <r>
          <rPr>
            <sz val="9"/>
            <color indexed="81"/>
            <rFont val="Arial"/>
          </rPr>
          <t xml:space="preserve">
took 5 minutes to take all six samples per leaf</t>
        </r>
      </text>
    </comment>
    <comment ref="M43" authorId="1">
      <text>
        <r>
          <rPr>
            <b/>
            <sz val="9"/>
            <color indexed="81"/>
            <rFont val="Arial"/>
          </rPr>
          <t>Paul Elsen:</t>
        </r>
        <r>
          <rPr>
            <sz val="9"/>
            <color indexed="81"/>
            <rFont val="Arial"/>
          </rPr>
          <t xml:space="preserve">
respiration measured at 2 hour intervals; 36 h continuous in 2000, then 72 hours continuous in 2001; wait 5 days, 36 hours continuous = average interval of 4.4 hours</t>
        </r>
      </text>
    </comment>
    <comment ref="N43" authorId="1">
      <text>
        <r>
          <rPr>
            <b/>
            <sz val="9"/>
            <color indexed="81"/>
            <rFont val="Arial"/>
          </rPr>
          <t>Paul Elsen:</t>
        </r>
        <r>
          <rPr>
            <sz val="9"/>
            <color indexed="81"/>
            <rFont val="Arial"/>
          </rPr>
          <t xml:space="preserve">
assume 12 hours of night-time</t>
        </r>
      </text>
    </comment>
    <comment ref="O43" authorId="1">
      <text>
        <r>
          <rPr>
            <b/>
            <sz val="9"/>
            <color indexed="81"/>
            <rFont val="Arial"/>
          </rPr>
          <t>Paul Elsen:</t>
        </r>
        <r>
          <rPr>
            <sz val="9"/>
            <color indexed="81"/>
            <rFont val="Arial"/>
          </rPr>
          <t xml:space="preserve">
started late June 2000 ended early July 2001, with one day of sampling in 2000 and 10 days of smapling in 2001</t>
        </r>
      </text>
    </comment>
    <comment ref="V43" authorId="1">
      <text>
        <r>
          <rPr>
            <b/>
            <sz val="9"/>
            <color indexed="81"/>
            <rFont val="Arial"/>
          </rPr>
          <t>Paul Elsen:</t>
        </r>
        <r>
          <rPr>
            <sz val="9"/>
            <color indexed="81"/>
            <rFont val="Arial"/>
          </rPr>
          <t xml:space="preserve">
note that additional measurements were taken under experimental conditions, which are exluded here</t>
        </r>
      </text>
    </comment>
    <comment ref="I44" authorId="1">
      <text>
        <r>
          <rPr>
            <b/>
            <sz val="9"/>
            <color indexed="81"/>
            <rFont val="Arial"/>
          </rPr>
          <t>Paul Elsen:</t>
        </r>
        <r>
          <rPr>
            <sz val="9"/>
            <color indexed="81"/>
            <rFont val="Arial"/>
          </rPr>
          <t xml:space="preserve">
assume 10 cm pitfall trap diameter</t>
        </r>
      </text>
    </comment>
    <comment ref="O44" authorId="1">
      <text>
        <r>
          <rPr>
            <b/>
            <sz val="9"/>
            <color indexed="81"/>
            <rFont val="Arial"/>
          </rPr>
          <t>Paul Elsen:</t>
        </r>
        <r>
          <rPr>
            <sz val="9"/>
            <color indexed="81"/>
            <rFont val="Arial"/>
          </rPr>
          <t xml:space="preserve">
May-October 1996</t>
        </r>
      </text>
    </comment>
    <comment ref="I45" authorId="1">
      <text>
        <r>
          <rPr>
            <b/>
            <sz val="9"/>
            <color indexed="81"/>
            <rFont val="Arial"/>
          </rPr>
          <t>Paul Elsen:</t>
        </r>
        <r>
          <rPr>
            <sz val="9"/>
            <color indexed="81"/>
            <rFont val="Arial"/>
          </rPr>
          <t xml:space="preserve">
assume 10 cm pitfall trap diameter</t>
        </r>
      </text>
    </comment>
    <comment ref="O45" authorId="1">
      <text>
        <r>
          <rPr>
            <b/>
            <sz val="9"/>
            <color indexed="81"/>
            <rFont val="Arial"/>
          </rPr>
          <t>Paul Elsen:</t>
        </r>
        <r>
          <rPr>
            <sz val="9"/>
            <color indexed="81"/>
            <rFont val="Arial"/>
          </rPr>
          <t xml:space="preserve">
May-October 1997</t>
        </r>
      </text>
    </comment>
    <comment ref="I46" authorId="1">
      <text>
        <r>
          <rPr>
            <b/>
            <sz val="9"/>
            <color indexed="81"/>
            <rFont val="Arial"/>
          </rPr>
          <t>Paul Elsen:</t>
        </r>
        <r>
          <rPr>
            <sz val="9"/>
            <color indexed="81"/>
            <rFont val="Arial"/>
          </rPr>
          <t xml:space="preserve">
assume 10 cm pitfall trap diameter</t>
        </r>
      </text>
    </comment>
    <comment ref="L46" authorId="1">
      <text>
        <r>
          <rPr>
            <b/>
            <sz val="9"/>
            <color indexed="81"/>
            <rFont val="Arial"/>
          </rPr>
          <t>Paul Elsen:</t>
        </r>
        <r>
          <rPr>
            <sz val="9"/>
            <color indexed="81"/>
            <rFont val="Arial"/>
          </rPr>
          <t xml:space="preserve">
not stated, assuming 5 days as in 1997</t>
        </r>
      </text>
    </comment>
    <comment ref="O46" authorId="1">
      <text>
        <r>
          <rPr>
            <b/>
            <sz val="9"/>
            <color indexed="81"/>
            <rFont val="Arial"/>
          </rPr>
          <t>Paul Elsen:</t>
        </r>
        <r>
          <rPr>
            <sz val="9"/>
            <color indexed="81"/>
            <rFont val="Arial"/>
          </rPr>
          <t xml:space="preserve">
May-October 2000</t>
        </r>
      </text>
    </comment>
    <comment ref="I47" authorId="1">
      <text>
        <r>
          <rPr>
            <b/>
            <sz val="9"/>
            <color indexed="81"/>
            <rFont val="Arial"/>
          </rPr>
          <t>Paul Elsen:</t>
        </r>
        <r>
          <rPr>
            <sz val="9"/>
            <color indexed="81"/>
            <rFont val="Arial"/>
          </rPr>
          <t xml:space="preserve">
no information on what constitutes a "plot"; assuming a 5m x 5m plot since they mention that traps at field margins were placed within 5 meters of the margin</t>
        </r>
      </text>
    </comment>
    <comment ref="J47" authorId="1">
      <text>
        <r>
          <rPr>
            <b/>
            <sz val="9"/>
            <color indexed="81"/>
            <rFont val="Arial"/>
          </rPr>
          <t>Paul Elsen:</t>
        </r>
        <r>
          <rPr>
            <sz val="9"/>
            <color indexed="81"/>
            <rFont val="Arial"/>
          </rPr>
          <t xml:space="preserve">
10 different sites</t>
        </r>
      </text>
    </comment>
    <comment ref="L47" authorId="1">
      <text>
        <r>
          <rPr>
            <b/>
            <sz val="9"/>
            <color indexed="81"/>
            <rFont val="Arial"/>
          </rPr>
          <t>Paul Elsen:</t>
        </r>
        <r>
          <rPr>
            <sz val="9"/>
            <color indexed="81"/>
            <rFont val="Arial"/>
          </rPr>
          <t xml:space="preserve">
all samples were recorded during Sep 1997, so assuming it took 3 days to record each of 10 sites</t>
        </r>
      </text>
    </comment>
    <comment ref="O47" authorId="1">
      <text>
        <r>
          <rPr>
            <b/>
            <sz val="9"/>
            <color indexed="81"/>
            <rFont val="Arial"/>
          </rPr>
          <t>Paul Elsen:</t>
        </r>
        <r>
          <rPr>
            <sz val="9"/>
            <color indexed="81"/>
            <rFont val="Arial"/>
          </rPr>
          <t xml:space="preserve">
all collected during Sep 1997</t>
        </r>
      </text>
    </comment>
    <comment ref="I48" authorId="1">
      <text>
        <r>
          <rPr>
            <b/>
            <sz val="9"/>
            <color indexed="81"/>
            <rFont val="Arial"/>
          </rPr>
          <t>Paul Elsen:</t>
        </r>
        <r>
          <rPr>
            <sz val="9"/>
            <color indexed="81"/>
            <rFont val="Arial"/>
          </rPr>
          <t xml:space="preserve">
average length of fish is approximately 70 mm, assume width is 1/3 length</t>
        </r>
      </text>
    </comment>
    <comment ref="J48" authorId="1">
      <text>
        <r>
          <rPr>
            <b/>
            <sz val="9"/>
            <color indexed="81"/>
            <rFont val="Arial"/>
          </rPr>
          <t>Paul Elsen:</t>
        </r>
        <r>
          <rPr>
            <sz val="9"/>
            <color indexed="81"/>
            <rFont val="Arial"/>
          </rPr>
          <t xml:space="preserve">
799 fish surveyed in 16 sites</t>
        </r>
      </text>
    </comment>
    <comment ref="L48" authorId="1">
      <text>
        <r>
          <rPr>
            <b/>
            <sz val="9"/>
            <color indexed="81"/>
            <rFont val="Arial"/>
          </rPr>
          <t>Paul Elsen:</t>
        </r>
        <r>
          <rPr>
            <sz val="9"/>
            <color indexed="81"/>
            <rFont val="Arial"/>
          </rPr>
          <t xml:space="preserve">
assuming 5 minutes to take photograph of sample and run through statistical software to compute morphometric analyses</t>
        </r>
      </text>
    </comment>
    <comment ref="O48" authorId="1">
      <text>
        <r>
          <rPr>
            <b/>
            <sz val="9"/>
            <color indexed="81"/>
            <rFont val="Arial"/>
          </rPr>
          <t>Paul Elsen:</t>
        </r>
        <r>
          <rPr>
            <sz val="9"/>
            <color indexed="81"/>
            <rFont val="Arial"/>
          </rPr>
          <t xml:space="preserve">
no info given so assume the study spanned the time it took to record all photos</t>
        </r>
      </text>
    </comment>
    <comment ref="I49" authorId="1">
      <text>
        <r>
          <rPr>
            <b/>
            <sz val="9"/>
            <color indexed="81"/>
            <rFont val="Arial"/>
          </rPr>
          <t>Paul Elsen:</t>
        </r>
        <r>
          <rPr>
            <sz val="9"/>
            <color indexed="81"/>
            <rFont val="Arial"/>
          </rPr>
          <t xml:space="preserve">
40 cm diameter swept 180 degrees = 40 cm radius, 10 sweep samples per site</t>
        </r>
      </text>
    </comment>
    <comment ref="J49" authorId="1">
      <text>
        <r>
          <rPr>
            <b/>
            <sz val="9"/>
            <color indexed="81"/>
            <rFont val="Arial"/>
          </rPr>
          <t>Paul Elsen:</t>
        </r>
        <r>
          <rPr>
            <sz val="9"/>
            <color indexed="81"/>
            <rFont val="Arial"/>
          </rPr>
          <t xml:space="preserve">
6 hedgerows, 6 control sites</t>
        </r>
      </text>
    </comment>
    <comment ref="L49" authorId="1">
      <text>
        <r>
          <rPr>
            <b/>
            <sz val="9"/>
            <color indexed="81"/>
            <rFont val="Arial"/>
          </rPr>
          <t>Paul Elsen:</t>
        </r>
        <r>
          <rPr>
            <sz val="9"/>
            <color indexed="81"/>
            <rFont val="Arial"/>
          </rPr>
          <t xml:space="preserve">
assume 1 day to sample a site</t>
        </r>
      </text>
    </comment>
    <comment ref="M49" authorId="1">
      <text>
        <r>
          <rPr>
            <b/>
            <sz val="9"/>
            <color indexed="81"/>
            <rFont val="Arial"/>
          </rPr>
          <t>Paul Elsen:</t>
        </r>
        <r>
          <rPr>
            <sz val="9"/>
            <color indexed="81"/>
            <rFont val="Arial"/>
          </rPr>
          <t xml:space="preserve">
samples spaced out 30 days for four months, taken over two years</t>
        </r>
      </text>
    </comment>
    <comment ref="I50" authorId="1">
      <text>
        <r>
          <rPr>
            <b/>
            <sz val="9"/>
            <color indexed="81"/>
            <rFont val="Arial"/>
          </rPr>
          <t>Paul Elsen:</t>
        </r>
        <r>
          <rPr>
            <sz val="9"/>
            <color indexed="81"/>
            <rFont val="Arial"/>
          </rPr>
          <t xml:space="preserve">
sticky note 7.6 cm x 12.7 cm, 12 notes per site</t>
        </r>
      </text>
    </comment>
    <comment ref="M50" authorId="1">
      <text>
        <r>
          <rPr>
            <b/>
            <sz val="9"/>
            <color indexed="81"/>
            <rFont val="Arial"/>
          </rPr>
          <t>Paul Elsen:</t>
        </r>
        <r>
          <rPr>
            <sz val="9"/>
            <color indexed="81"/>
            <rFont val="Arial"/>
          </rPr>
          <t xml:space="preserve">
samples spaced out 30 days for four months, taken over two years</t>
        </r>
      </text>
    </comment>
    <comment ref="I51" authorId="1">
      <text>
        <r>
          <rPr>
            <b/>
            <sz val="9"/>
            <color indexed="81"/>
            <rFont val="Arial"/>
          </rPr>
          <t>Paul Elsen:</t>
        </r>
        <r>
          <rPr>
            <sz val="9"/>
            <color indexed="81"/>
            <rFont val="Arial"/>
          </rPr>
          <t xml:space="preserve">
assume a tomato leaf is 4 cm x 1 cm, 30 leaves sampled, 3 assessments per site</t>
        </r>
      </text>
    </comment>
    <comment ref="L51" authorId="1">
      <text>
        <r>
          <rPr>
            <b/>
            <sz val="9"/>
            <color indexed="81"/>
            <rFont val="Arial"/>
          </rPr>
          <t>Paul Elsen:</t>
        </r>
        <r>
          <rPr>
            <sz val="9"/>
            <color indexed="81"/>
            <rFont val="Arial"/>
          </rPr>
          <t xml:space="preserve">
assume 1 day to assess each site</t>
        </r>
      </text>
    </comment>
    <comment ref="I52" authorId="1">
      <text>
        <r>
          <rPr>
            <b/>
            <sz val="9"/>
            <color indexed="81"/>
            <rFont val="Arial"/>
          </rPr>
          <t>Paul Elsen:</t>
        </r>
        <r>
          <rPr>
            <sz val="9"/>
            <color indexed="81"/>
            <rFont val="Arial"/>
          </rPr>
          <t xml:space="preserve">
assume a tomato is 8 cm x 4 cm, 2 assessments per site</t>
        </r>
      </text>
    </comment>
    <comment ref="L52" authorId="1">
      <text>
        <r>
          <rPr>
            <b/>
            <sz val="9"/>
            <color indexed="81"/>
            <rFont val="Arial"/>
          </rPr>
          <t>Paul Elsen:</t>
        </r>
        <r>
          <rPr>
            <sz val="9"/>
            <color indexed="81"/>
            <rFont val="Arial"/>
          </rPr>
          <t xml:space="preserve">
assume 1 day to assess each site</t>
        </r>
      </text>
    </comment>
    <comment ref="J53" authorId="1">
      <text>
        <r>
          <rPr>
            <b/>
            <sz val="9"/>
            <color indexed="81"/>
            <rFont val="Arial"/>
          </rPr>
          <t>Paul Elsen:</t>
        </r>
        <r>
          <rPr>
            <sz val="9"/>
            <color indexed="81"/>
            <rFont val="Arial"/>
          </rPr>
          <t xml:space="preserve">
enough 1 x 1 m squares to cover a 1.5 km radius at 12 sites, rounded up</t>
        </r>
      </text>
    </comment>
    <comment ref="L53" authorId="1">
      <text>
        <r>
          <rPr>
            <b/>
            <sz val="9"/>
            <color indexed="81"/>
            <rFont val="Arial"/>
          </rPr>
          <t>Paul Elsen:</t>
        </r>
        <r>
          <rPr>
            <sz val="9"/>
            <color indexed="81"/>
            <rFont val="Arial"/>
          </rPr>
          <t xml:space="preserve">
assuming instantaneous (1 second) sampling</t>
        </r>
      </text>
    </comment>
    <comment ref="N53" authorId="1">
      <text>
        <r>
          <rPr>
            <b/>
            <sz val="9"/>
            <color indexed="81"/>
            <rFont val="Arial"/>
          </rPr>
          <t>Paul Elsen:</t>
        </r>
        <r>
          <rPr>
            <sz val="9"/>
            <color indexed="81"/>
            <rFont val="Arial"/>
          </rPr>
          <t xml:space="preserve">
assuming instantaneous (1 second) sampling</t>
        </r>
      </text>
    </comment>
    <comment ref="O53" authorId="1">
      <text>
        <r>
          <rPr>
            <b/>
            <sz val="9"/>
            <color indexed="81"/>
            <rFont val="Arial"/>
          </rPr>
          <t>Paul Elsen:</t>
        </r>
        <r>
          <rPr>
            <sz val="9"/>
            <color indexed="81"/>
            <rFont val="Arial"/>
          </rPr>
          <t xml:space="preserve">
assume analysis done on 1 day</t>
        </r>
      </text>
    </comment>
    <comment ref="L54" authorId="1">
      <text>
        <r>
          <rPr>
            <b/>
            <sz val="9"/>
            <color indexed="81"/>
            <rFont val="Arial"/>
          </rPr>
          <t>Paul Elsen:</t>
        </r>
        <r>
          <rPr>
            <sz val="9"/>
            <color indexed="81"/>
            <rFont val="Arial"/>
          </rPr>
          <t xml:space="preserve">
no information; assume 1 token day to sample each site</t>
        </r>
      </text>
    </comment>
    <comment ref="M54" authorId="1">
      <text>
        <r>
          <rPr>
            <b/>
            <sz val="9"/>
            <color indexed="81"/>
            <rFont val="Arial"/>
          </rPr>
          <t>Paul Elsen:</t>
        </r>
        <r>
          <rPr>
            <sz val="9"/>
            <color indexed="81"/>
            <rFont val="Arial"/>
          </rPr>
          <t xml:space="preserve">
samples taken every 2 weeks</t>
        </r>
      </text>
    </comment>
    <comment ref="N54" authorId="1">
      <text>
        <r>
          <rPr>
            <b/>
            <sz val="9"/>
            <color indexed="81"/>
            <rFont val="Arial"/>
          </rPr>
          <t>Paul Elsen:</t>
        </r>
        <r>
          <rPr>
            <sz val="9"/>
            <color indexed="81"/>
            <rFont val="Arial"/>
          </rPr>
          <t xml:space="preserve">
1 day sampling over 12 days over 2 years</t>
        </r>
      </text>
    </comment>
    <comment ref="O54" authorId="1">
      <text>
        <r>
          <rPr>
            <b/>
            <sz val="9"/>
            <color indexed="81"/>
            <rFont val="Arial"/>
          </rPr>
          <t>Paul Elsen:</t>
        </r>
        <r>
          <rPr>
            <sz val="9"/>
            <color indexed="81"/>
            <rFont val="Arial"/>
          </rPr>
          <t xml:space="preserve">
surveyed over both spring and winter growing seasons during 2001 and 2002, so assume 2 years</t>
        </r>
      </text>
    </comment>
    <comment ref="I55" authorId="1">
      <text>
        <r>
          <rPr>
            <b/>
            <sz val="9"/>
            <color indexed="81"/>
            <rFont val="Arial"/>
          </rPr>
          <t>Paul Elsen:</t>
        </r>
        <r>
          <rPr>
            <sz val="9"/>
            <color indexed="81"/>
            <rFont val="Arial"/>
          </rPr>
          <t xml:space="preserve">
one plot with total area 0.8 ha</t>
        </r>
      </text>
    </comment>
    <comment ref="L55" authorId="1">
      <text>
        <r>
          <rPr>
            <b/>
            <sz val="9"/>
            <color indexed="81"/>
            <rFont val="Arial"/>
          </rPr>
          <t>Paul Elsen:</t>
        </r>
        <r>
          <rPr>
            <sz val="9"/>
            <color indexed="81"/>
            <rFont val="Arial"/>
          </rPr>
          <t xml:space="preserve">
9:30 am - 5:30 pm</t>
        </r>
      </text>
    </comment>
    <comment ref="M55" authorId="1">
      <text>
        <r>
          <rPr>
            <b/>
            <sz val="9"/>
            <color indexed="81"/>
            <rFont val="Arial"/>
          </rPr>
          <t>Paul Elsen:</t>
        </r>
        <r>
          <rPr>
            <sz val="9"/>
            <color indexed="81"/>
            <rFont val="Arial"/>
          </rPr>
          <t xml:space="preserve">
plot resurveyed every 3-5 days, assuming average 4</t>
        </r>
      </text>
    </comment>
    <comment ref="N55" authorId="1">
      <text>
        <r>
          <rPr>
            <b/>
            <sz val="9"/>
            <color indexed="81"/>
            <rFont val="Arial"/>
          </rPr>
          <t>Paul Elsen:</t>
        </r>
        <r>
          <rPr>
            <sz val="9"/>
            <color indexed="81"/>
            <rFont val="Arial"/>
          </rPr>
          <t xml:space="preserve">
8 repeated samples</t>
        </r>
      </text>
    </comment>
    <comment ref="O55" authorId="1">
      <text>
        <r>
          <rPr>
            <b/>
            <sz val="9"/>
            <color indexed="81"/>
            <rFont val="Arial"/>
          </rPr>
          <t>Paul Elsen:</t>
        </r>
        <r>
          <rPr>
            <sz val="9"/>
            <color indexed="81"/>
            <rFont val="Arial"/>
          </rPr>
          <t xml:space="preserve">
July 20 1999 to Aug 17 1999</t>
        </r>
      </text>
    </comment>
    <comment ref="I56" authorId="1">
      <text>
        <r>
          <rPr>
            <b/>
            <sz val="9"/>
            <color indexed="81"/>
            <rFont val="Arial"/>
          </rPr>
          <t>Paul Elsen:</t>
        </r>
        <r>
          <rPr>
            <sz val="9"/>
            <color indexed="81"/>
            <rFont val="Arial"/>
          </rPr>
          <t xml:space="preserve">
assume diameter of thermometer is 8 mm</t>
        </r>
      </text>
    </comment>
    <comment ref="L56" authorId="1">
      <text>
        <r>
          <rPr>
            <b/>
            <sz val="9"/>
            <color indexed="81"/>
            <rFont val="Arial"/>
          </rPr>
          <t>Paul Elsen:</t>
        </r>
        <r>
          <rPr>
            <sz val="9"/>
            <color indexed="81"/>
            <rFont val="Arial"/>
          </rPr>
          <t xml:space="preserve">
assuming instantaneous (1 second) sampling</t>
        </r>
      </text>
    </comment>
    <comment ref="M56" authorId="1">
      <text>
        <r>
          <rPr>
            <b/>
            <sz val="9"/>
            <color indexed="81"/>
            <rFont val="Arial"/>
          </rPr>
          <t>Paul Elsen:</t>
        </r>
        <r>
          <rPr>
            <sz val="9"/>
            <color indexed="81"/>
            <rFont val="Arial"/>
          </rPr>
          <t xml:space="preserve">
26 sampling periods over 28 days</t>
        </r>
      </text>
    </comment>
    <comment ref="O56" authorId="1">
      <text>
        <r>
          <rPr>
            <b/>
            <sz val="9"/>
            <color indexed="81"/>
            <rFont val="Arial"/>
          </rPr>
          <t>Paul Elsen:</t>
        </r>
        <r>
          <rPr>
            <sz val="9"/>
            <color indexed="81"/>
            <rFont val="Arial"/>
          </rPr>
          <t xml:space="preserve">
July 20 1999 to Aug 17 1999</t>
        </r>
      </text>
    </comment>
  </commentList>
</comments>
</file>

<file path=xl/sharedStrings.xml><?xml version="1.0" encoding="utf-8"?>
<sst xmlns="http://schemas.openxmlformats.org/spreadsheetml/2006/main" count="1345" uniqueCount="373">
  <si>
    <t>m^2</t>
  </si>
  <si>
    <t>n</t>
  </si>
  <si>
    <t>ha</t>
  </si>
  <si>
    <t>days</t>
  </si>
  <si>
    <t>days</t>
  </si>
  <si>
    <t>days</t>
  </si>
  <si>
    <t>days</t>
  </si>
  <si>
    <t>journal</t>
  </si>
  <si>
    <t>DOI</t>
  </si>
  <si>
    <t>study_year</t>
  </si>
  <si>
    <t>study_type</t>
  </si>
  <si>
    <t>country_region</t>
  </si>
  <si>
    <t>subject_matter</t>
  </si>
  <si>
    <t>plot_res</t>
  </si>
  <si>
    <t>n_sites</t>
  </si>
  <si>
    <t>sampled_area</t>
  </si>
  <si>
    <t>samp_duration</t>
  </si>
  <si>
    <t>t_btwn_samp</t>
  </si>
  <si>
    <t>study_duration</t>
  </si>
  <si>
    <t>study_span</t>
  </si>
  <si>
    <t>composition</t>
  </si>
  <si>
    <t>structure</t>
  </si>
  <si>
    <t>function</t>
  </si>
  <si>
    <t>tax_breadth</t>
  </si>
  <si>
    <t>DOI_data_source</t>
  </si>
  <si>
    <t>sensitivity</t>
  </si>
  <si>
    <t>notes</t>
  </si>
  <si>
    <t>Ecological Economics</t>
  </si>
  <si>
    <t>Agriculture Ecosystems &amp; Environment</t>
  </si>
  <si>
    <t>Global Ecology and Biogeography</t>
  </si>
  <si>
    <t>Oecologia</t>
  </si>
  <si>
    <t>Biological Conservation</t>
  </si>
  <si>
    <t>Proceedings of the Royal Society B-Biological Sciences</t>
  </si>
  <si>
    <t>Ecological Applications</t>
  </si>
  <si>
    <t>Biology Letters</t>
  </si>
  <si>
    <t>Journal of Ecology</t>
  </si>
  <si>
    <t>Diversity and Distributions</t>
  </si>
  <si>
    <t>Behavioral Ecology</t>
  </si>
  <si>
    <t>Oikos</t>
  </si>
  <si>
    <t>10.1016/j.ecolecon.2012.02.027</t>
  </si>
  <si>
    <t>excluded</t>
  </si>
  <si>
    <t>opinion/perspective</t>
  </si>
  <si>
    <t>10.1016/j.ecolecon.2007.10.006</t>
  </si>
  <si>
    <t>response article</t>
  </si>
  <si>
    <t>exclusion reason</t>
  </si>
  <si>
    <t>10.1111/geb.12090</t>
  </si>
  <si>
    <t>paleo-reconstruction</t>
  </si>
  <si>
    <t>Europe</t>
  </si>
  <si>
    <t>spatio-temporal patterns and drivers of historic European fire activity</t>
  </si>
  <si>
    <t>10.1007/s00442-012-2366-0</t>
  </si>
  <si>
    <t>field/direct observation</t>
  </si>
  <si>
    <t>Germany</t>
  </si>
  <si>
    <t>impacts of agricultural intensification on aphid-parasitoid food webs</t>
  </si>
  <si>
    <t>Journal name</t>
  </si>
  <si>
    <t>DOI if available, otherwise complete title of article if not</t>
  </si>
  <si>
    <t>Publication year</t>
  </si>
  <si>
    <t>Use the categories listed in the FAQ</t>
  </si>
  <si>
    <t>Where the study was conducted, with administrative unit if possible.  E.g. Colorado, US. Africa, Central America, Mexico, Global, etc</t>
  </si>
  <si>
    <t>A brief desscription of what the studies, following no particular protocol</t>
  </si>
  <si>
    <t>2-D resolution of the sample plot (we don't include a z-dimension), in m^2.  Please follow the FAQ for guidance on how resolution is interpreted, but basically if there 20 plots but each plot consists of 10 smaller samples placed in it, we record the resolution used for the 10 sub-samples)</t>
  </si>
  <si>
    <t>Number of samples at the plot resolution (e.g. if there 20 plots but each plot consists of 10 smaller samples placed in it, we count 20X10 as n_sites)</t>
  </si>
  <si>
    <t>Calculate as (plot_res * n_sites) / 10000 (i.e. hectares)</t>
  </si>
  <si>
    <t>The estimated time it took to record a single site, in days</t>
  </si>
  <si>
    <t>The time between samples, provided a repeated sampling scheme took place (note, this does not have to be the exact same site sampled twice, but can be the time between two repeated samples collecting the same data from the same general location, even site selection was re-randomized between visits). In days</t>
  </si>
  <si>
    <t>This is a bit tricky, but basically is samp_duration X number of repeat samples, in days</t>
  </si>
  <si>
    <t>Total time elapsed from beginning of study to end, e.g. if they started on 1/1/2005 and ended on 12/31/2006 it would be 365X2</t>
  </si>
  <si>
    <t>See FAQ</t>
  </si>
  <si>
    <t>If the study draws on data described in another paper, and the relevant parameters have to be extracted from the other paper(s), listed their DOIs (or titles) here. No need to start a new set of papers</t>
  </si>
  <si>
    <t>Which parameters you estimated/made a best guess for. Spell the parameter names exactly, separate with semi-colon. E.g. plot_res; study_span</t>
  </si>
  <si>
    <t xml:space="preserve">Any notes you might have.  I tend to use this to note which treatment/study aspect I am creating a separate line item for.  E.g. if a paper has three aspects (soil samples, veg plots, bird surveys) which have different spatial and/or temporal parameters, I would list those aspects here.   </t>
  </si>
  <si>
    <t>reason for exclusion</t>
  </si>
  <si>
    <t>This isn't in the template, but I added it to my datasheet.  I described here why I have excluded a particular study (based on criteria described in FAQ). Note I also highlight said studies in grey</t>
  </si>
  <si>
    <t>0 - no info</t>
  </si>
  <si>
    <t>1 - biome/broad veg class</t>
  </si>
  <si>
    <t>2 - indicator species/functional types</t>
  </si>
  <si>
    <t>3 - individual species/richness/evenness</t>
  </si>
  <si>
    <t>1 - one element (density/biomass/tree height)</t>
  </si>
  <si>
    <t>2 - several elements</t>
  </si>
  <si>
    <t>3 - complete characterization of the 3-D environment</t>
  </si>
  <si>
    <t>1 - single metric (fire frequency/NPP)</t>
  </si>
  <si>
    <t>2 - multiple metrics or single metric at different trophic levels</t>
  </si>
  <si>
    <t>3 - complete food web</t>
  </si>
  <si>
    <t>0 - no info/single species</t>
  </si>
  <si>
    <t>1 - multiple species</t>
  </si>
  <si>
    <t>2 - muliple species &amp; multiple assemblages</t>
  </si>
  <si>
    <t>3 - entire community</t>
  </si>
  <si>
    <t>plot resolution; sampling duration; time between samples</t>
  </si>
  <si>
    <t>10.1016/j.biocon.2006.04.001</t>
  </si>
  <si>
    <t>effects of protection on spiny lobster abundance</t>
  </si>
  <si>
    <t>New Zealand</t>
  </si>
  <si>
    <t>plot resolution; sampling duration</t>
  </si>
  <si>
    <t>sampling duration; study duration</t>
  </si>
  <si>
    <t>10.1098/rspb.2004.2833</t>
  </si>
  <si>
    <t>lab experiment</t>
  </si>
  <si>
    <t>10.1098/rspb.2006.3696</t>
  </si>
  <si>
    <t>10.1890/13-0274.1</t>
  </si>
  <si>
    <t>New York, US</t>
  </si>
  <si>
    <t>effects of liming on nutrients</t>
  </si>
  <si>
    <t>dbh measurements of trees</t>
  </si>
  <si>
    <t>sampling duration; study duration; time between sampling</t>
  </si>
  <si>
    <t>litterfall sampling May 2009 - May 2010</t>
  </si>
  <si>
    <t>forest floor sampling 2007 and 2010</t>
  </si>
  <si>
    <t>soil sampling 2007</t>
  </si>
  <si>
    <t>soil sampling 2008</t>
  </si>
  <si>
    <t>depth probe september 2010</t>
  </si>
  <si>
    <t>10.1098/rsbl.2007.0388</t>
  </si>
  <si>
    <t>experimental manipulation</t>
  </si>
  <si>
    <t>10.1111/j.1365-2745.2008.01387.x</t>
  </si>
  <si>
    <t>10.1111/j.1472-4642.2012.00927.x</t>
  </si>
  <si>
    <t>commentary</t>
  </si>
  <si>
    <t>10.1890/06-0750.1</t>
  </si>
  <si>
    <t>ecosystem services sensitivity to land-use change</t>
  </si>
  <si>
    <t>France</t>
  </si>
  <si>
    <t>sampling duration</t>
  </si>
  <si>
    <t>plot resolution; study span</t>
  </si>
  <si>
    <t>aboveground biomass</t>
  </si>
  <si>
    <t>sward height</t>
  </si>
  <si>
    <t>10.1093/beheco/arr109</t>
  </si>
  <si>
    <t>commentary/response article</t>
  </si>
  <si>
    <t>10.1111/j.1466-8238.2009.00454.x</t>
  </si>
  <si>
    <t>Quebec, Canada</t>
  </si>
  <si>
    <t>influence of fine-scale habitat on nestedness of beetle and bird assemblages</t>
  </si>
  <si>
    <t>10.1016/j.agee.2013.11.021</t>
  </si>
  <si>
    <t>experiment</t>
  </si>
  <si>
    <t>ground-dwelling beetles</t>
  </si>
  <si>
    <t>flying beetles; trap size Schmitz 1984 A passive aerial barrier trap suitable for sampling flying bark beetles. USDA Intermountain Forest and Range Experiment Station</t>
  </si>
  <si>
    <t>plot resolution; sampling duration; time between samples; study duration</t>
  </si>
  <si>
    <t>breeding birds</t>
  </si>
  <si>
    <t>sampling duration; study duration; time between sampling; study span</t>
  </si>
  <si>
    <t>vegetation structure</t>
  </si>
  <si>
    <t>10.1007/s00442-005-0338-3</t>
  </si>
  <si>
    <t>effects of fragmentation on insectivory</t>
  </si>
  <si>
    <t>Chile</t>
  </si>
  <si>
    <t>time between sampling</t>
  </si>
  <si>
    <t>foraging intensity of insectivorous birds</t>
  </si>
  <si>
    <t>10.1093/beheco/arh010</t>
  </si>
  <si>
    <t>field experiment</t>
  </si>
  <si>
    <t>10.1007/s00442-010-1713-2</t>
  </si>
  <si>
    <t>costs associated with development in lynx</t>
  </si>
  <si>
    <t>Norway</t>
  </si>
  <si>
    <t>treated individual lynx as plot, estimated size</t>
  </si>
  <si>
    <t>10.1111/j.1600-0706.2012.21044.x</t>
  </si>
  <si>
    <t>American Naturalist</t>
  </si>
  <si>
    <t>Conservation Biology</t>
  </si>
  <si>
    <t>Landscape Ecology</t>
  </si>
  <si>
    <t>Global Change Biology</t>
  </si>
  <si>
    <t>Frontiers in Ecology and the Environment</t>
  </si>
  <si>
    <t>10.1016/j.ecolecon.2004.11.008</t>
  </si>
  <si>
    <t>book review</t>
  </si>
  <si>
    <t>10.1016/j.ecolecon.2009.07.019</t>
  </si>
  <si>
    <t>10.1890/1540-9295(2007)5[60:D]2.0.CO;2</t>
  </si>
  <si>
    <t>10.1016/j.agee.2011.07.015</t>
  </si>
  <si>
    <t>effects of flooding and land-use on orthoptera</t>
  </si>
  <si>
    <t>sampling duration; time between samples</t>
  </si>
  <si>
    <t>10.1016/j.ecolecon.2007.12.020</t>
  </si>
  <si>
    <t>statistical model</t>
  </si>
  <si>
    <t>10.1111/j.1600-0706.2008.17202.x</t>
  </si>
  <si>
    <t>field and lab experiment</t>
  </si>
  <si>
    <t>10.1007/s00442-006-0613-y</t>
  </si>
  <si>
    <t>10.1007/s00442-011-1937-9</t>
  </si>
  <si>
    <t>10.1086/592865</t>
  </si>
  <si>
    <t>10.1007/s00442-005-0033-4</t>
  </si>
  <si>
    <t>nutrient limitation in bog species</t>
  </si>
  <si>
    <t>foliage samples of shrubs and heraceous plants</t>
  </si>
  <si>
    <t>mycorrhizal status of roots</t>
  </si>
  <si>
    <t>10.1111/j.1523-1739.2005.00108.x</t>
  </si>
  <si>
    <t>meta-analysis</t>
  </si>
  <si>
    <t>10.1016/j.agee.2004.08.003</t>
  </si>
  <si>
    <t>10.1007/s10980-008-9230-y</t>
  </si>
  <si>
    <t>Colorado and Montana, US</t>
  </si>
  <si>
    <t>plot resolution; number of sites; sampling duration; time between sampling; study duration</t>
  </si>
  <si>
    <t>influence of prairie dog colonies on mountain plover nesting</t>
  </si>
  <si>
    <t>10.1111/j.1600-0706.2009.17437.x</t>
  </si>
  <si>
    <t>10.1016/j.biocon.2011.12.018</t>
  </si>
  <si>
    <t>Nigeria and Cameroon</t>
  </si>
  <si>
    <t>importance of protected areas as sources of bushmeat for trade</t>
  </si>
  <si>
    <t>plot size; sampling duration</t>
  </si>
  <si>
    <t>10.1890/07-0436.1</t>
  </si>
  <si>
    <t>10.1016/j.ecolecon.2006.12.006</t>
  </si>
  <si>
    <t>willingness-to-pay survey</t>
  </si>
  <si>
    <t>10.1111/j.1365-2486.2011.02435.x</t>
  </si>
  <si>
    <t>10.1016/j.ecolecon.2014.01.013</t>
  </si>
  <si>
    <t>10.1098/rspb.2005.3277</t>
  </si>
  <si>
    <t>review paper</t>
  </si>
  <si>
    <t>index</t>
  </si>
  <si>
    <t>10.1890/1540-9295(2005)003[0259:RWPBPT]2.0.CO;2</t>
  </si>
  <si>
    <t>10.1098/rspb.2006.0433</t>
  </si>
  <si>
    <t>10.1093/beheco/arn027</t>
  </si>
  <si>
    <t>10.1016/j.biocon.2007.03.013</t>
  </si>
  <si>
    <t>10.1111/j.1365-2486.2011.02510.x</t>
  </si>
  <si>
    <t>statistical model and lab experiment</t>
  </si>
  <si>
    <t>note this is the same paper that was included in the calibration set</t>
  </si>
  <si>
    <t>10.1111/j.1466-8238.2011.00658.x</t>
  </si>
  <si>
    <t>Ontario, Canada</t>
  </si>
  <si>
    <t>responses of bird richness to habitat loss</t>
  </si>
  <si>
    <t>other geographic data (GIS)</t>
  </si>
  <si>
    <t>sampling duration; study duration, study span</t>
  </si>
  <si>
    <t>10.1890/070096</t>
  </si>
  <si>
    <t>10.1007/s10980-009-9358-4</t>
  </si>
  <si>
    <t>ethnographic survey</t>
  </si>
  <si>
    <t>10.1111/j.1466-822x.2004.00139.x</t>
  </si>
  <si>
    <t>United Kingdom</t>
  </si>
  <si>
    <t>responses of birds to human population density and energy availability</t>
  </si>
  <si>
    <t>10.1007/s10980-008-9255-2</t>
  </si>
  <si>
    <t>modeling</t>
  </si>
  <si>
    <t>10.1890/1540-9295(2004)002[0346:BIF]2.0.CO;2</t>
  </si>
  <si>
    <t>10.1890/10-2100.1</t>
  </si>
  <si>
    <t>remote sensing</t>
  </si>
  <si>
    <t>habitat heterogeneity (Landsat TM data) re-sampled to 10 x 10 km grid cells</t>
  </si>
  <si>
    <t>climate and productivity (NDVI) re-sampled to 10 x 10 km grid cells</t>
  </si>
  <si>
    <t>bird richness from Atlas of the breeding birds of Ontario; used reference: Cadman, M.D., Sutherland, D.A., Beck, G.G., Lepage, D. &amp;
Couturier, A.R. (2007) Atlas of the breeding birds of Ontario,
2001–2005. Bird Studies Canada, Environment Canada,
Ontario Field Ornithologists, Ontario Ministry of Natural
Resources, and Ontario Nature, Toronto, ON to gather data</t>
  </si>
  <si>
    <t>plot resolution; sampling duration; time between sampling; study span</t>
  </si>
  <si>
    <t>solar radiation estimated from DEM</t>
  </si>
  <si>
    <t>plot resolution; sampling duration; study duration, study span</t>
  </si>
  <si>
    <t>British breeding bird survey; additional details in Gibbons, D.W., Reid, J.B. &amp; Chapman, R.A. (1993) The new atlas
of breeding birds in Britain and Ireland: 1988–91. BTO/SWC/
IWC. T. &amp; A.D. Poyser, London.</t>
  </si>
  <si>
    <t>human population density from 1991 census</t>
  </si>
  <si>
    <t>other geographic data (census)</t>
  </si>
  <si>
    <t>temperature as proxy for energy availability, from meteorological station readings</t>
  </si>
  <si>
    <t>http://www.metoffice.gov.uk/public/weather/climate-network/#?tab=climateNetwork</t>
  </si>
  <si>
    <t>ISBN-13: 978-0856610752</t>
  </si>
  <si>
    <t>ISBN: 978-1-896059-15-0</t>
  </si>
  <si>
    <t>10.1016/j.biocon.2012.09.022</t>
  </si>
  <si>
    <t>10.1086/503059</t>
  </si>
  <si>
    <t>exlcluded</t>
  </si>
  <si>
    <t>10.1086/522845</t>
  </si>
  <si>
    <t>10.1098/rspb.2011.0129</t>
  </si>
  <si>
    <t>10.1016/j.biocon.2007.02.009</t>
  </si>
  <si>
    <t>Florida, US</t>
  </si>
  <si>
    <t>demography of herb in Florida scrub and roadside habitats</t>
  </si>
  <si>
    <t>seedling recruitment each Feb</t>
  </si>
  <si>
    <t>plant height and reproduction number each Aug</t>
  </si>
  <si>
    <t>number of reproductive structures in 1994-96,1998,2000</t>
  </si>
  <si>
    <t>seed set from distal mature fruit in 1995,1996,1998</t>
  </si>
  <si>
    <t>plot size</t>
  </si>
  <si>
    <t>10.1016/j.ecolecon.2005.03.027</t>
  </si>
  <si>
    <t>conceptual model/commentary</t>
  </si>
  <si>
    <t>10.1098/rspb.2009.0885</t>
  </si>
  <si>
    <t>new species description</t>
  </si>
  <si>
    <t>passive/automated data collection</t>
  </si>
  <si>
    <t>Ecosystems</t>
  </si>
  <si>
    <t>Biogeosciences</t>
  </si>
  <si>
    <t>10.1890/04-0592</t>
  </si>
  <si>
    <t>10.1098/rspb.2006.0125</t>
  </si>
  <si>
    <t>10.1111/j.1600-0706.2008.17357.x</t>
  </si>
  <si>
    <t>10.1098/rsbl.2005.0302</t>
  </si>
  <si>
    <t>10.1007/s10021-004-0009-y</t>
  </si>
  <si>
    <t>10.1098/rspb.2003.2581</t>
  </si>
  <si>
    <t>theoretical model</t>
  </si>
  <si>
    <t>10.1111/j.1600-0706.2011.19742.x</t>
  </si>
  <si>
    <t>10.1111/j.1365-2745.2008.01378.x</t>
  </si>
  <si>
    <t>10.5194/bg-10-7863-2013</t>
  </si>
  <si>
    <t>field study but samples were volumes in water column, not areas</t>
  </si>
  <si>
    <t>10.1111/j.1365-2745.2012.01981.x</t>
  </si>
  <si>
    <t>effects of gender and stress on facilitation</t>
  </si>
  <si>
    <t>Montana, US</t>
  </si>
  <si>
    <t>sex, area, and number of flowers of cushions</t>
  </si>
  <si>
    <t># individuals of all plant species in cushion/non-cushion plots</t>
  </si>
  <si>
    <t>% cover of plant beneficiaries</t>
  </si>
  <si>
    <t>length, width, and specific leaf area of cushions</t>
  </si>
  <si>
    <t>number of seeds and mean length of fruits</t>
  </si>
  <si>
    <t>temperature loggers</t>
  </si>
  <si>
    <t>10.1016/j.ecolecon.2010.04.002</t>
  </si>
  <si>
    <t>draw_id</t>
  </si>
  <si>
    <t>10.1890/08-2128.1</t>
  </si>
  <si>
    <t>10.1098/rsbl.2007.0580</t>
  </si>
  <si>
    <t>editorial</t>
  </si>
  <si>
    <t>Methods in Ecology and Evolution</t>
  </si>
  <si>
    <t>10.1098/rspb.2008.1796</t>
  </si>
  <si>
    <t>10.1093/beheco/art097</t>
  </si>
  <si>
    <t>10.1098/rspb.2006.3726</t>
  </si>
  <si>
    <t>10.1111/j.2041-210X.2011.00097.x</t>
  </si>
  <si>
    <t>10.5194/bg-7-2509-2010</t>
  </si>
  <si>
    <t>responses of coral calcification to seasonal changes</t>
  </si>
  <si>
    <t>DIC, TA sampled with Niskin sampler</t>
  </si>
  <si>
    <t>coral reef densities</t>
  </si>
  <si>
    <t>plot size; sampling duration; time between sampling; study duration; study span</t>
  </si>
  <si>
    <t>salinity/in situ temperature sampled with SeaBird SBE-9 conductivity sensor</t>
  </si>
  <si>
    <t>wind speed data and net shortwave radiation from Bermuda Weather Service</t>
  </si>
  <si>
    <t>pCO2, seawater temp, fluorescence sampled with CARIOCA buoy</t>
  </si>
  <si>
    <t>plot size; study span</t>
  </si>
  <si>
    <t>plot size; sampling duration; study span</t>
  </si>
  <si>
    <t>10.5194/bg-10-1131-2013</t>
  </si>
  <si>
    <t>Arabian Sea</t>
  </si>
  <si>
    <t>Bermuda Reef</t>
  </si>
  <si>
    <t>availability of microbes regulating organic matter</t>
  </si>
  <si>
    <t>CTD profile with oxygen sensor sampled with SeaBird SBE-43 sensor</t>
  </si>
  <si>
    <t>surface sediments sampled with multiple corer (for OM)</t>
  </si>
  <si>
    <t>10.1007/s00442-008-0994-1</t>
  </si>
  <si>
    <t>surveys of people</t>
  </si>
  <si>
    <t>10.1111/j.2007.0030-1299.15832.x</t>
  </si>
  <si>
    <t>10.1111/j.1365-2486.2010.02164.x</t>
  </si>
  <si>
    <t>US &amp; Canada</t>
  </si>
  <si>
    <t>monitoring plant phenology with public cameras</t>
  </si>
  <si>
    <t>Public camera photos</t>
  </si>
  <si>
    <t>MODIS yearly land cover</t>
  </si>
  <si>
    <t>MODIS daily NDVI</t>
  </si>
  <si>
    <t>10.1098/rspb.2012.0595</t>
  </si>
  <si>
    <t>10.1098/rsbl.2013.1096</t>
  </si>
  <si>
    <t>10.1016/j.biocon.2011.08.007</t>
  </si>
  <si>
    <t>Australia &amp; Kangaroo Island</t>
  </si>
  <si>
    <t>genetic and morphological divergence in island and mainland birds</t>
  </si>
  <si>
    <t>plot size; sampling duration; time between samples</t>
  </si>
  <si>
    <t>bird captures in mist nets</t>
  </si>
  <si>
    <t>blood samples from bird captures</t>
  </si>
  <si>
    <t>morphometrics (8 measurements)</t>
  </si>
  <si>
    <t>10.1098/rspb.2006.3654</t>
  </si>
  <si>
    <t>factors altering behaviors of parasite hosts</t>
  </si>
  <si>
    <t>length data from doi:10.1098/rspb.1995.0103</t>
  </si>
  <si>
    <t>protein extraction</t>
  </si>
  <si>
    <t>10.1111/j.1365-2745.2007.01258.x</t>
  </si>
  <si>
    <t>Kalimantan, Indonesia</t>
  </si>
  <si>
    <t>reproductive phenology of lowland evergreen rain forest</t>
  </si>
  <si>
    <t>tree sampling: leaf flushing, leaf senescence, flowering, and fruit production</t>
  </si>
  <si>
    <t>rainfall measurements</t>
  </si>
  <si>
    <t>min/max temperature measurements</t>
  </si>
  <si>
    <t>10.1007/s00442-007-0825-9</t>
  </si>
  <si>
    <t>10.1111/geb.12100</t>
  </si>
  <si>
    <t>10.1098/rspb.2009.1554</t>
  </si>
  <si>
    <t>10.1111/j.1365-2486.2004.00739.x</t>
  </si>
  <si>
    <t>response of night-time respiration to day-time photosynthesis</t>
  </si>
  <si>
    <t>incident irradiance, air temperature, relative humidity</t>
  </si>
  <si>
    <t>daylight photosynthesis measurements and leaf irradiance</t>
  </si>
  <si>
    <t>night-time respiration measurements and leaf irradiance</t>
  </si>
  <si>
    <t>none</t>
  </si>
  <si>
    <t>10.1890/12.WB.011</t>
  </si>
  <si>
    <t>10.1111/j.1523-1739.2007.00666.x</t>
  </si>
  <si>
    <t>10.1890/110277</t>
  </si>
  <si>
    <t>10.1007/s00442-006-0636-4</t>
  </si>
  <si>
    <t>10.1111/j.1523-1739.2012.01844.x</t>
  </si>
  <si>
    <t>behavioral study with no clear quantitative measurements taken</t>
  </si>
  <si>
    <t>10.1016/j.agee.2005.08.035</t>
  </si>
  <si>
    <t>China</t>
  </si>
  <si>
    <t>carabid diversity in agricultural landscapes</t>
  </si>
  <si>
    <t>carabid diversity</t>
  </si>
  <si>
    <t>carabid diversity (note that this is the same study as above, just different sampling resolutions)</t>
  </si>
  <si>
    <t>plant species, height of dominant plant species, soil salt contents, alkali-soluble soil nitrogen. Very poorly annotated in the text, no information on methods for collecting these samples or plot sizes</t>
  </si>
  <si>
    <t>10.1111/j.2006.0030-1299.15223.x</t>
  </si>
  <si>
    <t>10.1016/j.ecolecon.2011.12.003</t>
  </si>
  <si>
    <t>10.1016/j.agee.2007.04.004</t>
  </si>
  <si>
    <t>10.1098/rsbl.2010.0401</t>
  </si>
  <si>
    <t>Mobile River Basin, US (Alabama, Georgia, Mississippi, Tennessee)</t>
  </si>
  <si>
    <t>morphological responses of a fish to water impoundment</t>
  </si>
  <si>
    <t>18 morphometric characteristics</t>
  </si>
  <si>
    <t>10.1890/09.WB.029</t>
  </si>
  <si>
    <t>Scaphites of the "Nodosus Group" from the Upper Cretaceous (Campanian) of the Western Interior of North America</t>
  </si>
  <si>
    <t>Hedgerows enhance beneficial insects on adjacent tomato fields in an intensive agricultural landscape</t>
  </si>
  <si>
    <t>Understanding species persistence for defining conservation actions: A management landscape for jaguars in the Atlantic Forest</t>
  </si>
  <si>
    <t>Resilience to chronic defoliation in a dioecious understorey tropical rain forest palm</t>
  </si>
  <si>
    <t>10.1206/659.1</t>
  </si>
  <si>
    <t>10.1016/j.agee.2014.03.030</t>
  </si>
  <si>
    <t>California, US</t>
  </si>
  <si>
    <t>effects of hedgerows on insects in intensive agricultural landscapes</t>
  </si>
  <si>
    <t>sweep samples</t>
  </si>
  <si>
    <t>sticky card samples</t>
  </si>
  <si>
    <t>visual ID of pests on leaves</t>
  </si>
  <si>
    <t>visual ID of pests on fruit</t>
  </si>
  <si>
    <t>n_sites; sampling duration; study duration; study span</t>
  </si>
  <si>
    <t>categorizing land from orthophotos (aerial imagery)</t>
  </si>
  <si>
    <t>10.1016/j.biocon.2012.12.021</t>
  </si>
  <si>
    <t>statistical modeling</t>
  </si>
  <si>
    <t>10.1111/j.1365-2745.2012.01992.x</t>
  </si>
  <si>
    <t>10.1016/j.agee.2006.02.008</t>
  </si>
  <si>
    <t>10.1007/s00442-003-1288-2</t>
  </si>
  <si>
    <t>temporal variability of abundance, sex ratio, and activity of butterflies</t>
  </si>
  <si>
    <t>Italy</t>
  </si>
  <si>
    <t>time between samples</t>
  </si>
  <si>
    <t>butterfly densities and sex</t>
  </si>
  <si>
    <t>temperature readings during secondary sampling periods</t>
  </si>
  <si>
    <t>Denmark</t>
  </si>
  <si>
    <t>effects of reduced herbicde on arable weeds</t>
  </si>
  <si>
    <t>sampling duration; study span</t>
  </si>
  <si>
    <t>crop data (height, phenological stage, dry weight) and data on five most abundant weed species</t>
  </si>
  <si>
    <t>field study, but no information reported whatsoever and difficult to make approximations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</si>
</sst>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5" x14ac:knownFonts="1">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color theme="1"/>
      <name val="Arial"/>
    </font>
    <font>
      <sz val="9"/>
      <color indexed="81"/>
      <name val="Arial"/>
    </font>
    <font>
      <b/>
      <sz val="9"/>
      <color indexed="81"/>
      <name val="Arial"/>
    </font>
    <font>
      <u/>
      <sz val="10"/>
      <color theme="10"/>
      <name val="Arial"/>
    </font>
    <font>
      <u/>
      <sz val="10"/>
      <color theme="11"/>
      <name val="Arial"/>
    </font>
    <font>
      <sz val="10"/>
      <color rgb="FF444444"/>
      <name val="Arial"/>
    </font>
  </fonts>
  <fills count="4">
    <fill>
      <patternFill patternType="none"/>
    </fill>
    <fill>
      <patternFill patternType="gray125"/>
    </fill>
    <fill>
      <patternFill patternType="none"/>
    </fill>
    <fill>
      <patternFill patternType="solid">
        <fgColor theme="0" tint="-0.249977111117893"/>
        <bgColor indexed="64"/>
      </patternFill>
    </fill>
  </fills>
  <borders count="2">
    <border>
      <left/>
      <right/>
      <top/>
      <bottom/>
      <diagonal/>
    </border>
    <border>
      <left/>
      <right/>
      <top/>
      <bottom/>
      <diagonal/>
    </border>
  </borders>
  <cellStyleXfs count="40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wrapText="1"/>
    </xf>
    <xf numFmtId="0" fontId="4" fillId="2" borderId="1" xfId="0" applyFont="1" applyFill="1" applyBorder="1" applyAlignment="1">
      <alignment horizontal="center" wrapText="1"/>
    </xf>
    <xf numFmtId="0" fontId="5" fillId="2" borderId="1" xfId="0" applyFont="1" applyFill="1" applyBorder="1"/>
    <xf numFmtId="0" fontId="7" fillId="2" borderId="1" xfId="0" applyFont="1" applyFill="1" applyBorder="1"/>
    <xf numFmtId="0" fontId="9" fillId="0" borderId="0" xfId="0" applyFont="1"/>
    <xf numFmtId="0" fontId="0" fillId="2" borderId="1" xfId="0" applyFont="1" applyFill="1" applyBorder="1"/>
    <xf numFmtId="0" fontId="9" fillId="3" borderId="0" xfId="0" applyFont="1" applyFill="1"/>
    <xf numFmtId="0" fontId="0" fillId="3" borderId="1" xfId="0" applyFont="1" applyFill="1" applyBorder="1"/>
    <xf numFmtId="0" fontId="5" fillId="3" borderId="1" xfId="0" applyFont="1" applyFill="1" applyBorder="1"/>
    <xf numFmtId="164" fontId="6" fillId="3" borderId="1" xfId="0" applyNumberFormat="1" applyFont="1" applyFill="1" applyBorder="1"/>
    <xf numFmtId="0" fontId="7" fillId="3" borderId="1" xfId="0" applyFont="1" applyFill="1" applyBorder="1"/>
    <xf numFmtId="0" fontId="0" fillId="3" borderId="0" xfId="0" applyFill="1"/>
    <xf numFmtId="0" fontId="3" fillId="2" borderId="1" xfId="0" applyFont="1" applyFill="1" applyBorder="1" applyAlignment="1">
      <alignment horizontal="left" wrapText="1"/>
    </xf>
    <xf numFmtId="0" fontId="0" fillId="3" borderId="1" xfId="0" applyFont="1" applyFill="1" applyBorder="1" applyAlignment="1">
      <alignment wrapText="1"/>
    </xf>
    <xf numFmtId="0" fontId="8" fillId="3" borderId="1" xfId="0" applyFont="1" applyFill="1" applyBorder="1" applyAlignment="1">
      <alignment wrapText="1"/>
    </xf>
    <xf numFmtId="0" fontId="0" fillId="3" borderId="1" xfId="0" applyFont="1" applyFill="1" applyBorder="1" applyAlignment="1"/>
    <xf numFmtId="0" fontId="0" fillId="0" borderId="0" xfId="0" applyFont="1"/>
    <xf numFmtId="0" fontId="3" fillId="2" borderId="1" xfId="0" applyFont="1" applyFill="1" applyBorder="1" applyAlignment="1">
      <alignment horizontal="center"/>
    </xf>
    <xf numFmtId="0" fontId="0" fillId="3" borderId="0" xfId="0" applyFont="1" applyFill="1"/>
    <xf numFmtId="0" fontId="9" fillId="2" borderId="0" xfId="0" applyFont="1" applyFill="1"/>
    <xf numFmtId="0" fontId="1" fillId="2" borderId="1" xfId="0" applyFont="1" applyFill="1" applyBorder="1"/>
    <xf numFmtId="0" fontId="0" fillId="0" borderId="0" xfId="0" applyFont="1" applyFill="1"/>
    <xf numFmtId="0" fontId="0" fillId="0" borderId="0" xfId="0" applyFill="1"/>
    <xf numFmtId="0" fontId="9" fillId="0" borderId="0" xfId="0" applyFont="1" applyFill="1"/>
    <xf numFmtId="0" fontId="0" fillId="2" borderId="0" xfId="0" applyFont="1" applyFill="1"/>
    <xf numFmtId="0" fontId="0" fillId="2" borderId="0" xfId="0" applyFill="1"/>
    <xf numFmtId="0" fontId="3" fillId="0" borderId="0" xfId="0" applyFont="1"/>
    <xf numFmtId="0" fontId="0" fillId="0" borderId="0" xfId="0" applyFill="1" applyAlignment="1">
      <alignment wrapText="1"/>
    </xf>
    <xf numFmtId="4" fontId="0" fillId="0" borderId="0" xfId="0" applyNumberFormat="1"/>
    <xf numFmtId="0" fontId="14" fillId="0" borderId="0" xfId="0" applyFont="1"/>
    <xf numFmtId="11" fontId="0" fillId="0" borderId="0" xfId="0" applyNumberForma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571500</xdr:colOff>
      <xdr:row>78</xdr:row>
      <xdr:rowOff>152400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3"/>
  <sheetViews>
    <sheetView topLeftCell="C1" workbookViewId="0">
      <pane ySplit="2" topLeftCell="A3" activePane="bottomLeft" state="frozen"/>
      <selection pane="bottomLeft" activeCell="T25" sqref="T25"/>
    </sheetView>
  </sheetViews>
  <sheetFormatPr baseColWidth="10" defaultColWidth="17.33203125" defaultRowHeight="15.75" customHeight="1" x14ac:dyDescent="0"/>
  <cols>
    <col min="1" max="1" width="19.33203125" customWidth="1"/>
    <col min="2" max="2" width="7.83203125" customWidth="1"/>
    <col min="3" max="3" width="10" customWidth="1"/>
    <col min="4" max="4" width="11" customWidth="1"/>
    <col min="5" max="5" width="14.5" customWidth="1"/>
    <col min="6" max="6" width="14.6640625" customWidth="1"/>
    <col min="7" max="7" width="9.83203125" customWidth="1"/>
    <col min="8" max="8" width="8" customWidth="1"/>
    <col min="9" max="9" width="13.5" customWidth="1"/>
    <col min="10" max="10" width="16.5" customWidth="1"/>
    <col min="11" max="11" width="15.1640625" customWidth="1"/>
    <col min="12" max="12" width="14.5" customWidth="1"/>
    <col min="13" max="14" width="11.83203125" customWidth="1"/>
    <col min="15" max="15" width="8.6640625" customWidth="1"/>
    <col min="16" max="16" width="7.83203125" customWidth="1"/>
    <col min="17" max="19" width="10.6640625" customWidth="1"/>
    <col min="20" max="20" width="41.5" customWidth="1"/>
    <col min="21" max="30" width="14.5" customWidth="1"/>
  </cols>
  <sheetData>
    <row r="1" spans="1:30" ht="15.75" customHeight="1">
      <c r="A1" s="1"/>
      <c r="B1" s="1"/>
      <c r="C1" s="1"/>
      <c r="D1" s="1"/>
      <c r="E1" s="1"/>
      <c r="F1" s="1"/>
      <c r="G1" s="1" t="s">
        <v>0</v>
      </c>
      <c r="H1" s="1" t="s">
        <v>1</v>
      </c>
      <c r="I1" s="1" t="s">
        <v>2</v>
      </c>
      <c r="J1" s="1" t="s">
        <v>3</v>
      </c>
      <c r="K1" s="1" t="s">
        <v>4</v>
      </c>
      <c r="L1" s="1" t="s">
        <v>5</v>
      </c>
      <c r="M1" s="2" t="s">
        <v>6</v>
      </c>
      <c r="N1" s="1"/>
      <c r="O1" s="1"/>
      <c r="P1" s="1"/>
      <c r="Q1" s="1"/>
      <c r="R1" s="1"/>
      <c r="S1" s="1"/>
      <c r="T1" s="1"/>
      <c r="U1" s="1"/>
      <c r="V1" s="1"/>
      <c r="W1" s="1"/>
      <c r="X1" s="1"/>
      <c r="Y1" s="1"/>
      <c r="Z1" s="1"/>
      <c r="AA1" s="1"/>
      <c r="AB1" s="1"/>
      <c r="AC1" s="1"/>
      <c r="AD1" s="1"/>
    </row>
    <row r="2" spans="1:30" ht="25.5" customHeight="1">
      <c r="A2" s="3" t="s">
        <v>7</v>
      </c>
      <c r="B2" s="3" t="s">
        <v>8</v>
      </c>
      <c r="C2" s="3" t="s">
        <v>9</v>
      </c>
      <c r="D2" s="3" t="s">
        <v>10</v>
      </c>
      <c r="E2" s="3" t="s">
        <v>11</v>
      </c>
      <c r="F2" s="3" t="s">
        <v>12</v>
      </c>
      <c r="G2" s="3" t="s">
        <v>13</v>
      </c>
      <c r="H2" s="3" t="s">
        <v>14</v>
      </c>
      <c r="I2" s="3" t="s">
        <v>15</v>
      </c>
      <c r="J2" s="3" t="s">
        <v>16</v>
      </c>
      <c r="K2" s="3" t="s">
        <v>17</v>
      </c>
      <c r="L2" s="3" t="s">
        <v>18</v>
      </c>
      <c r="M2" s="4" t="s">
        <v>19</v>
      </c>
      <c r="N2" s="3" t="s">
        <v>20</v>
      </c>
      <c r="O2" s="3" t="s">
        <v>21</v>
      </c>
      <c r="P2" s="3" t="s">
        <v>22</v>
      </c>
      <c r="Q2" s="3" t="s">
        <v>23</v>
      </c>
      <c r="R2" s="3" t="s">
        <v>24</v>
      </c>
      <c r="S2" s="3" t="s">
        <v>25</v>
      </c>
      <c r="T2" s="3" t="s">
        <v>26</v>
      </c>
      <c r="U2" s="20" t="s">
        <v>44</v>
      </c>
      <c r="V2" s="1"/>
      <c r="W2" s="1"/>
      <c r="X2" s="1"/>
      <c r="Y2" s="1"/>
      <c r="Z2" s="1"/>
      <c r="AA2" s="1"/>
      <c r="AB2" s="1"/>
      <c r="AC2" s="1"/>
      <c r="AD2" s="1"/>
    </row>
    <row r="3" spans="1:30" s="14" customFormat="1" ht="16" customHeight="1">
      <c r="A3" s="9" t="s">
        <v>27</v>
      </c>
      <c r="B3" s="10" t="s">
        <v>39</v>
      </c>
      <c r="C3" s="11">
        <v>2012</v>
      </c>
      <c r="D3" s="11"/>
      <c r="E3" s="11"/>
      <c r="F3" s="11"/>
      <c r="G3" s="11"/>
      <c r="H3" s="11"/>
      <c r="I3" s="12"/>
      <c r="J3" s="11"/>
      <c r="K3" s="11"/>
      <c r="L3" s="11"/>
      <c r="M3" s="11"/>
      <c r="N3" s="11"/>
      <c r="O3" s="11"/>
      <c r="P3" s="11"/>
      <c r="Q3" s="11"/>
      <c r="R3" s="11"/>
      <c r="S3" s="11"/>
      <c r="T3" s="10" t="s">
        <v>40</v>
      </c>
      <c r="U3" s="10" t="s">
        <v>41</v>
      </c>
      <c r="V3" s="13"/>
      <c r="W3" s="13"/>
      <c r="X3" s="13"/>
      <c r="Y3" s="13"/>
      <c r="Z3" s="13"/>
      <c r="AA3" s="13"/>
      <c r="AB3" s="13"/>
      <c r="AC3" s="13"/>
      <c r="AD3" s="13"/>
    </row>
    <row r="4" spans="1:30" ht="16" customHeight="1">
      <c r="A4" s="22" t="s">
        <v>28</v>
      </c>
      <c r="B4" s="8" t="s">
        <v>151</v>
      </c>
      <c r="C4" s="23">
        <v>2011</v>
      </c>
      <c r="D4" s="8" t="s">
        <v>50</v>
      </c>
      <c r="E4" s="8" t="s">
        <v>51</v>
      </c>
      <c r="F4" s="8" t="s">
        <v>152</v>
      </c>
      <c r="G4" s="23">
        <v>450</v>
      </c>
      <c r="H4" s="23">
        <v>34</v>
      </c>
      <c r="I4" s="23">
        <f>(H4*G4)/10000</f>
        <v>1.53</v>
      </c>
      <c r="J4" s="23">
        <v>0.5</v>
      </c>
      <c r="K4" s="23">
        <v>30</v>
      </c>
      <c r="L4" s="23">
        <f>J4*2</f>
        <v>1</v>
      </c>
      <c r="M4" s="23">
        <v>61</v>
      </c>
      <c r="N4" s="23">
        <v>3</v>
      </c>
      <c r="O4" s="23">
        <v>2</v>
      </c>
      <c r="P4" s="23">
        <v>2</v>
      </c>
      <c r="Q4" s="23">
        <v>1</v>
      </c>
      <c r="R4" s="23"/>
      <c r="S4" s="8" t="s">
        <v>153</v>
      </c>
      <c r="T4" s="23"/>
      <c r="U4" s="23"/>
      <c r="V4" s="23"/>
      <c r="W4" s="23"/>
      <c r="X4" s="23"/>
      <c r="Y4" s="23"/>
      <c r="Z4" s="23"/>
      <c r="AA4" s="23"/>
      <c r="AB4" s="23"/>
      <c r="AC4" s="23"/>
      <c r="AD4" s="23"/>
    </row>
    <row r="5" spans="1:30" s="14" customFormat="1" ht="16" customHeight="1">
      <c r="A5" s="9" t="s">
        <v>27</v>
      </c>
      <c r="B5" s="10" t="s">
        <v>42</v>
      </c>
      <c r="C5" s="11">
        <v>2007</v>
      </c>
      <c r="D5" s="11"/>
      <c r="E5" s="11"/>
      <c r="F5" s="11"/>
      <c r="G5" s="11"/>
      <c r="H5" s="11"/>
      <c r="I5" s="11"/>
      <c r="J5" s="11"/>
      <c r="K5" s="11"/>
      <c r="L5" s="11"/>
      <c r="M5" s="11"/>
      <c r="N5" s="11"/>
      <c r="O5" s="11"/>
      <c r="P5" s="11"/>
      <c r="Q5" s="11"/>
      <c r="R5" s="11"/>
      <c r="S5" s="11"/>
      <c r="T5" s="10" t="s">
        <v>40</v>
      </c>
      <c r="U5" s="10" t="s">
        <v>43</v>
      </c>
      <c r="V5" s="13"/>
      <c r="W5" s="13"/>
      <c r="X5" s="13"/>
      <c r="Y5" s="13"/>
      <c r="Z5" s="13"/>
      <c r="AA5" s="13"/>
      <c r="AB5" s="13"/>
      <c r="AC5" s="13"/>
      <c r="AD5" s="13"/>
    </row>
    <row r="6" spans="1:30" ht="16" customHeight="1">
      <c r="A6" s="7" t="s">
        <v>29</v>
      </c>
      <c r="B6" s="8" t="s">
        <v>45</v>
      </c>
      <c r="C6" s="5">
        <v>2013</v>
      </c>
      <c r="D6" s="8" t="s">
        <v>46</v>
      </c>
      <c r="E6" s="8" t="s">
        <v>47</v>
      </c>
      <c r="F6" s="8" t="s">
        <v>48</v>
      </c>
      <c r="G6" s="5">
        <f>PI()*(0.05^2)</f>
        <v>7.8539816339744835E-3</v>
      </c>
      <c r="H6" s="5">
        <v>156</v>
      </c>
      <c r="I6" s="5">
        <f>(H6*G6)/10000</f>
        <v>1.2252211349000195E-4</v>
      </c>
      <c r="J6" s="5">
        <f>30/60/60/24*156</f>
        <v>5.4166666666666669E-2</v>
      </c>
      <c r="K6" s="5">
        <f>250*365</f>
        <v>91250</v>
      </c>
      <c r="L6" s="5">
        <f>J6*H6</f>
        <v>8.4500000000000011</v>
      </c>
      <c r="M6" s="5">
        <f>4800*365</f>
        <v>1752000</v>
      </c>
      <c r="N6" s="5">
        <v>0</v>
      </c>
      <c r="O6" s="5">
        <v>0</v>
      </c>
      <c r="P6" s="5">
        <v>1</v>
      </c>
      <c r="Q6" s="5">
        <v>0</v>
      </c>
      <c r="R6" s="5"/>
      <c r="S6" s="8" t="s">
        <v>86</v>
      </c>
      <c r="U6" s="6"/>
      <c r="V6" s="6"/>
      <c r="W6" s="6"/>
      <c r="X6" s="6"/>
      <c r="Y6" s="6"/>
      <c r="Z6" s="6"/>
      <c r="AA6" s="6"/>
      <c r="AB6" s="6"/>
      <c r="AC6" s="6"/>
      <c r="AD6" s="6"/>
    </row>
    <row r="7" spans="1:30" s="14" customFormat="1" ht="16" customHeight="1">
      <c r="A7" s="9" t="s">
        <v>28</v>
      </c>
      <c r="B7" s="10" t="s">
        <v>122</v>
      </c>
      <c r="C7" s="11">
        <v>2014</v>
      </c>
      <c r="D7" s="11"/>
      <c r="E7" s="11"/>
      <c r="F7" s="11"/>
      <c r="G7" s="11"/>
      <c r="H7" s="11"/>
      <c r="I7" s="11"/>
      <c r="J7" s="11"/>
      <c r="K7" s="11"/>
      <c r="L7" s="11"/>
      <c r="M7" s="11"/>
      <c r="N7" s="11"/>
      <c r="O7" s="11"/>
      <c r="P7" s="11"/>
      <c r="Q7" s="11"/>
      <c r="R7" s="11"/>
      <c r="S7" s="11"/>
      <c r="T7" s="11"/>
      <c r="U7" s="10" t="s">
        <v>123</v>
      </c>
      <c r="V7" s="13"/>
      <c r="W7" s="13"/>
      <c r="X7" s="13"/>
      <c r="Y7" s="13"/>
      <c r="Z7" s="13"/>
      <c r="AA7" s="13"/>
      <c r="AB7" s="13"/>
      <c r="AC7" s="13"/>
      <c r="AD7" s="13"/>
    </row>
    <row r="8" spans="1:30" ht="16" customHeight="1">
      <c r="A8" s="7" t="s">
        <v>30</v>
      </c>
      <c r="B8" s="8" t="s">
        <v>49</v>
      </c>
      <c r="C8" s="5">
        <v>2012</v>
      </c>
      <c r="D8" s="8" t="s">
        <v>50</v>
      </c>
      <c r="E8" s="8" t="s">
        <v>51</v>
      </c>
      <c r="F8" s="8" t="s">
        <v>52</v>
      </c>
      <c r="G8" s="5">
        <f>20*PI()*(0.0127^2)</f>
        <v>1.0134149581949954E-2</v>
      </c>
      <c r="H8" s="5">
        <f>5*8</f>
        <v>40</v>
      </c>
      <c r="I8" s="5">
        <f>(H8*G8)/10000</f>
        <v>4.0536598327799815E-5</v>
      </c>
      <c r="J8" s="5">
        <f>5/60/24*40</f>
        <v>0.1388888888888889</v>
      </c>
      <c r="K8" s="5">
        <v>7</v>
      </c>
      <c r="L8" s="5">
        <f>J8*H8</f>
        <v>5.5555555555555554</v>
      </c>
      <c r="M8" s="5">
        <v>28</v>
      </c>
      <c r="N8" s="5">
        <v>3</v>
      </c>
      <c r="O8" s="5">
        <v>0</v>
      </c>
      <c r="P8" s="5">
        <v>3</v>
      </c>
      <c r="Q8" s="5">
        <v>1</v>
      </c>
      <c r="R8" s="5"/>
      <c r="S8" s="8" t="s">
        <v>90</v>
      </c>
      <c r="T8" s="8"/>
      <c r="U8" s="6"/>
      <c r="V8" s="6"/>
      <c r="W8" s="6"/>
      <c r="X8" s="6"/>
      <c r="Y8" s="6"/>
      <c r="Z8" s="6"/>
      <c r="AA8" s="6"/>
      <c r="AB8" s="6"/>
      <c r="AC8" s="6"/>
      <c r="AD8" s="6"/>
    </row>
    <row r="9" spans="1:30" ht="16" customHeight="1">
      <c r="A9" s="7" t="s">
        <v>31</v>
      </c>
      <c r="B9" s="8" t="s">
        <v>87</v>
      </c>
      <c r="C9" s="5">
        <v>2006</v>
      </c>
      <c r="D9" s="8" t="s">
        <v>50</v>
      </c>
      <c r="E9" s="8" t="s">
        <v>89</v>
      </c>
      <c r="F9" s="8" t="s">
        <v>88</v>
      </c>
      <c r="G9" s="5">
        <v>500</v>
      </c>
      <c r="H9" s="5">
        <v>19</v>
      </c>
      <c r="I9" s="5">
        <f>(G9*H9)/10000</f>
        <v>0.95</v>
      </c>
      <c r="J9">
        <f>10/60/24*19</f>
        <v>0.13194444444444445</v>
      </c>
      <c r="K9" s="5">
        <v>890.37900000000002</v>
      </c>
      <c r="L9" s="8">
        <v>25</v>
      </c>
      <c r="M9" s="8">
        <f>(2005-1977)*365</f>
        <v>10220</v>
      </c>
      <c r="N9" s="5">
        <v>3</v>
      </c>
      <c r="O9" s="5">
        <v>1</v>
      </c>
      <c r="P9" s="5">
        <v>0</v>
      </c>
      <c r="Q9" s="5">
        <v>0</v>
      </c>
      <c r="R9" s="5"/>
      <c r="S9" s="8" t="s">
        <v>91</v>
      </c>
      <c r="T9" s="5"/>
      <c r="U9" s="6"/>
      <c r="V9" s="6"/>
      <c r="W9" s="6"/>
      <c r="X9" s="6"/>
      <c r="Y9" s="6"/>
      <c r="Z9" s="6"/>
      <c r="AA9" s="6"/>
      <c r="AB9" s="6"/>
      <c r="AC9" s="6"/>
      <c r="AD9" s="6"/>
    </row>
    <row r="10" spans="1:30" s="14" customFormat="1" ht="16" customHeight="1">
      <c r="A10" s="9" t="s">
        <v>32</v>
      </c>
      <c r="B10" s="10" t="s">
        <v>92</v>
      </c>
      <c r="C10" s="11">
        <v>2004</v>
      </c>
      <c r="D10" s="11"/>
      <c r="E10" s="11"/>
      <c r="F10" s="11"/>
      <c r="G10" s="11"/>
      <c r="H10" s="11"/>
      <c r="I10" s="11"/>
      <c r="J10" s="11"/>
      <c r="K10" s="11"/>
      <c r="L10" s="11"/>
      <c r="M10" s="11"/>
      <c r="N10" s="11"/>
      <c r="O10" s="11"/>
      <c r="P10" s="11"/>
      <c r="Q10" s="11"/>
      <c r="R10" s="11"/>
      <c r="S10" s="11"/>
      <c r="T10" s="10" t="s">
        <v>40</v>
      </c>
      <c r="U10" s="10" t="s">
        <v>93</v>
      </c>
      <c r="V10" s="13"/>
      <c r="W10" s="13"/>
      <c r="X10" s="13"/>
      <c r="Y10" s="13"/>
      <c r="Z10" s="13"/>
      <c r="AA10" s="13"/>
      <c r="AB10" s="13"/>
      <c r="AC10" s="13"/>
      <c r="AD10" s="13"/>
    </row>
    <row r="11" spans="1:30" s="14" customFormat="1" ht="16" customHeight="1">
      <c r="A11" s="9" t="s">
        <v>32</v>
      </c>
      <c r="B11" s="10" t="s">
        <v>94</v>
      </c>
      <c r="C11" s="11">
        <v>2007</v>
      </c>
      <c r="D11" s="11"/>
      <c r="E11" s="11"/>
      <c r="F11" s="11"/>
      <c r="G11" s="11"/>
      <c r="H11" s="11"/>
      <c r="I11" s="11"/>
      <c r="J11" s="11"/>
      <c r="K11" s="11"/>
      <c r="M11" s="11"/>
      <c r="N11" s="11"/>
      <c r="O11" s="11"/>
      <c r="P11" s="11"/>
      <c r="Q11" s="11"/>
      <c r="R11" s="11"/>
      <c r="S11" s="11"/>
      <c r="T11" s="10" t="s">
        <v>40</v>
      </c>
      <c r="U11" s="10" t="s">
        <v>93</v>
      </c>
      <c r="V11" s="13"/>
      <c r="W11" s="13"/>
      <c r="X11" s="13"/>
      <c r="Y11" s="13"/>
      <c r="Z11" s="13"/>
      <c r="AA11" s="13"/>
      <c r="AB11" s="13"/>
      <c r="AC11" s="13"/>
      <c r="AD11" s="13"/>
    </row>
    <row r="12" spans="1:30" ht="16" customHeight="1">
      <c r="A12" s="7" t="s">
        <v>33</v>
      </c>
      <c r="B12" s="8" t="s">
        <v>95</v>
      </c>
      <c r="C12" s="5">
        <v>2013</v>
      </c>
      <c r="D12" s="8" t="s">
        <v>50</v>
      </c>
      <c r="E12" s="8" t="s">
        <v>96</v>
      </c>
      <c r="F12" s="8" t="s">
        <v>97</v>
      </c>
      <c r="G12" s="5">
        <v>400</v>
      </c>
      <c r="H12" s="5">
        <v>20</v>
      </c>
      <c r="I12" s="5">
        <f t="shared" ref="I12:I17" si="0">G12*H12/10000</f>
        <v>0.8</v>
      </c>
      <c r="J12" s="5">
        <v>1</v>
      </c>
      <c r="K12" s="5">
        <f>20*365</f>
        <v>7300</v>
      </c>
      <c r="L12" s="5">
        <f>J12*2</f>
        <v>2</v>
      </c>
      <c r="M12" s="5">
        <v>7300</v>
      </c>
      <c r="N12" s="5">
        <v>2</v>
      </c>
      <c r="O12" s="5">
        <v>1</v>
      </c>
      <c r="P12" s="5">
        <v>2</v>
      </c>
      <c r="Q12" s="5">
        <v>1</v>
      </c>
      <c r="R12" s="5"/>
      <c r="S12" s="8" t="s">
        <v>91</v>
      </c>
      <c r="T12" s="8" t="s">
        <v>98</v>
      </c>
      <c r="U12" s="6"/>
      <c r="V12" s="6"/>
      <c r="W12" s="6"/>
      <c r="X12" s="6"/>
      <c r="Y12" s="6"/>
      <c r="Z12" s="6"/>
      <c r="AA12" s="6"/>
      <c r="AB12" s="6"/>
      <c r="AC12" s="6"/>
      <c r="AD12" s="6"/>
    </row>
    <row r="13" spans="1:30" ht="16" customHeight="1">
      <c r="A13" s="7" t="s">
        <v>33</v>
      </c>
      <c r="B13" s="8" t="s">
        <v>95</v>
      </c>
      <c r="C13" s="5">
        <v>2013</v>
      </c>
      <c r="D13" s="8" t="s">
        <v>50</v>
      </c>
      <c r="E13" s="8" t="s">
        <v>96</v>
      </c>
      <c r="F13" s="8" t="s">
        <v>97</v>
      </c>
      <c r="G13" s="5">
        <v>0.23</v>
      </c>
      <c r="H13" s="5">
        <v>100</v>
      </c>
      <c r="I13" s="5">
        <f t="shared" si="0"/>
        <v>2.3E-3</v>
      </c>
      <c r="J13" s="5">
        <v>1</v>
      </c>
      <c r="K13" s="5">
        <f>365/20</f>
        <v>18.25</v>
      </c>
      <c r="L13" s="5">
        <f>J13*1</f>
        <v>1</v>
      </c>
      <c r="M13" s="5">
        <f>365</f>
        <v>365</v>
      </c>
      <c r="N13" s="5">
        <v>0</v>
      </c>
      <c r="O13" s="5">
        <v>0</v>
      </c>
      <c r="P13" s="5">
        <v>2</v>
      </c>
      <c r="Q13" s="5">
        <v>1</v>
      </c>
      <c r="R13" s="5"/>
      <c r="S13" s="8" t="s">
        <v>99</v>
      </c>
      <c r="T13" s="8" t="s">
        <v>100</v>
      </c>
      <c r="U13" s="6"/>
      <c r="V13" s="6"/>
      <c r="W13" s="6"/>
      <c r="X13" s="6"/>
      <c r="Y13" s="6"/>
      <c r="Z13" s="6"/>
      <c r="AA13" s="6"/>
      <c r="AB13" s="6"/>
      <c r="AC13" s="6"/>
      <c r="AD13" s="6"/>
    </row>
    <row r="14" spans="1:30" ht="16" customHeight="1">
      <c r="A14" s="7" t="s">
        <v>33</v>
      </c>
      <c r="B14" s="8" t="s">
        <v>95</v>
      </c>
      <c r="C14" s="5">
        <v>2013</v>
      </c>
      <c r="D14" s="8" t="s">
        <v>50</v>
      </c>
      <c r="E14" s="8" t="s">
        <v>96</v>
      </c>
      <c r="F14" s="8" t="s">
        <v>97</v>
      </c>
      <c r="G14" s="5">
        <f>(0.15*0.15)</f>
        <v>2.2499999999999999E-2</v>
      </c>
      <c r="H14" s="5">
        <v>100</v>
      </c>
      <c r="I14" s="5">
        <f t="shared" si="0"/>
        <v>2.2499999999999999E-4</v>
      </c>
      <c r="J14" s="5">
        <v>1</v>
      </c>
      <c r="K14" s="5">
        <f>(3*365)/3</f>
        <v>365</v>
      </c>
      <c r="L14" s="5">
        <f>J14*2</f>
        <v>2</v>
      </c>
      <c r="M14" s="5">
        <f>365*3</f>
        <v>1095</v>
      </c>
      <c r="N14" s="5">
        <v>0</v>
      </c>
      <c r="O14" s="5">
        <v>0</v>
      </c>
      <c r="P14" s="5">
        <v>2</v>
      </c>
      <c r="Q14" s="5">
        <v>1</v>
      </c>
      <c r="R14" s="5"/>
      <c r="S14" s="8" t="s">
        <v>99</v>
      </c>
      <c r="T14" s="8" t="s">
        <v>101</v>
      </c>
      <c r="U14" s="6"/>
      <c r="V14" s="6"/>
      <c r="W14" s="6"/>
      <c r="X14" s="6"/>
      <c r="Y14" s="6"/>
      <c r="Z14" s="6"/>
      <c r="AA14" s="6"/>
      <c r="AB14" s="6"/>
      <c r="AC14" s="6"/>
      <c r="AD14" s="6"/>
    </row>
    <row r="15" spans="1:30" ht="16" customHeight="1">
      <c r="A15" s="7" t="s">
        <v>33</v>
      </c>
      <c r="B15" s="8" t="s">
        <v>95</v>
      </c>
      <c r="C15" s="5">
        <v>2013</v>
      </c>
      <c r="D15" s="8" t="s">
        <v>50</v>
      </c>
      <c r="E15" s="8" t="s">
        <v>96</v>
      </c>
      <c r="F15" s="8" t="s">
        <v>97</v>
      </c>
      <c r="G15" s="5">
        <f>PI()*(0.095/2)^2</f>
        <v>7.0882184246619708E-3</v>
      </c>
      <c r="H15" s="5">
        <v>100</v>
      </c>
      <c r="I15" s="5">
        <f t="shared" si="0"/>
        <v>7.0882184246619701E-5</v>
      </c>
      <c r="J15" s="5">
        <v>1</v>
      </c>
      <c r="K15" s="5">
        <f>90/100</f>
        <v>0.9</v>
      </c>
      <c r="L15" s="5">
        <f>J15*1</f>
        <v>1</v>
      </c>
      <c r="M15" s="5">
        <v>365</v>
      </c>
      <c r="N15" s="5">
        <v>0</v>
      </c>
      <c r="O15" s="5">
        <v>0</v>
      </c>
      <c r="P15" s="5">
        <v>2</v>
      </c>
      <c r="Q15" s="5">
        <v>0</v>
      </c>
      <c r="R15" s="5"/>
      <c r="S15" s="8" t="s">
        <v>99</v>
      </c>
      <c r="T15" s="8" t="s">
        <v>102</v>
      </c>
      <c r="U15" s="6"/>
      <c r="V15" s="6"/>
      <c r="W15" s="6"/>
      <c r="X15" s="6"/>
      <c r="Y15" s="6"/>
      <c r="Z15" s="6"/>
      <c r="AA15" s="6"/>
      <c r="AB15" s="6"/>
      <c r="AC15" s="6"/>
      <c r="AD15" s="6"/>
    </row>
    <row r="16" spans="1:30" ht="16" customHeight="1">
      <c r="A16" s="7" t="s">
        <v>33</v>
      </c>
      <c r="B16" s="8" t="s">
        <v>95</v>
      </c>
      <c r="C16" s="5">
        <v>2013</v>
      </c>
      <c r="D16" s="8" t="s">
        <v>50</v>
      </c>
      <c r="E16" s="8" t="s">
        <v>96</v>
      </c>
      <c r="F16" s="8" t="s">
        <v>97</v>
      </c>
      <c r="G16" s="5">
        <f>PI()*(0.07/2)^2</f>
        <v>3.8484510006474969E-3</v>
      </c>
      <c r="H16" s="5">
        <v>120</v>
      </c>
      <c r="I16" s="5">
        <f t="shared" si="0"/>
        <v>4.6181412007769959E-5</v>
      </c>
      <c r="J16" s="5">
        <v>1</v>
      </c>
      <c r="K16" s="5">
        <f>90/100</f>
        <v>0.9</v>
      </c>
      <c r="L16" s="5">
        <f>J16*1</f>
        <v>1</v>
      </c>
      <c r="M16" s="5">
        <v>365</v>
      </c>
      <c r="N16" s="5">
        <v>0</v>
      </c>
      <c r="O16" s="5">
        <v>0</v>
      </c>
      <c r="P16" s="5">
        <v>2</v>
      </c>
      <c r="Q16" s="5">
        <v>0</v>
      </c>
      <c r="R16" s="5"/>
      <c r="S16" s="8" t="s">
        <v>99</v>
      </c>
      <c r="T16" s="8" t="s">
        <v>103</v>
      </c>
      <c r="U16" s="6"/>
      <c r="V16" s="6"/>
      <c r="W16" s="6"/>
      <c r="X16" s="6"/>
      <c r="Y16" s="6"/>
      <c r="Z16" s="6"/>
      <c r="AA16" s="6"/>
      <c r="AB16" s="6"/>
      <c r="AC16" s="6"/>
      <c r="AD16" s="6"/>
    </row>
    <row r="17" spans="1:30" ht="16" customHeight="1">
      <c r="A17" s="7" t="s">
        <v>33</v>
      </c>
      <c r="B17" s="8" t="s">
        <v>95</v>
      </c>
      <c r="C17" s="5">
        <v>2013</v>
      </c>
      <c r="D17" s="8" t="s">
        <v>50</v>
      </c>
      <c r="E17" s="8" t="s">
        <v>96</v>
      </c>
      <c r="F17" s="8" t="s">
        <v>97</v>
      </c>
      <c r="G17" s="5">
        <f>PI()*(0.01/2)^2</f>
        <v>7.8539816339744827E-5</v>
      </c>
      <c r="H17" s="5">
        <f>100*4</f>
        <v>400</v>
      </c>
      <c r="I17" s="5">
        <f t="shared" si="0"/>
        <v>3.1415926535897933E-6</v>
      </c>
      <c r="J17" s="5">
        <v>1</v>
      </c>
      <c r="K17" s="5">
        <f>365/20</f>
        <v>18.25</v>
      </c>
      <c r="L17" s="5">
        <f>J17*1</f>
        <v>1</v>
      </c>
      <c r="M17" s="5">
        <v>30</v>
      </c>
      <c r="N17" s="5">
        <v>0</v>
      </c>
      <c r="O17" s="5">
        <v>0</v>
      </c>
      <c r="P17" s="5">
        <v>1</v>
      </c>
      <c r="Q17" s="5">
        <v>0</v>
      </c>
      <c r="R17" s="5"/>
      <c r="S17" s="8" t="s">
        <v>86</v>
      </c>
      <c r="T17" s="8" t="s">
        <v>104</v>
      </c>
      <c r="U17" s="6"/>
      <c r="V17" s="6"/>
      <c r="W17" s="6"/>
      <c r="X17" s="6"/>
      <c r="Y17" s="6"/>
      <c r="Z17" s="6"/>
      <c r="AA17" s="6"/>
      <c r="AB17" s="6"/>
      <c r="AC17" s="6"/>
      <c r="AD17" s="6"/>
    </row>
    <row r="18" spans="1:30" s="14" customFormat="1" ht="16" customHeight="1">
      <c r="A18" s="9" t="s">
        <v>34</v>
      </c>
      <c r="B18" s="10" t="s">
        <v>105</v>
      </c>
      <c r="C18" s="11">
        <v>2007</v>
      </c>
      <c r="D18" s="11"/>
      <c r="E18" s="11"/>
      <c r="F18" s="11"/>
      <c r="I18" s="11"/>
      <c r="J18" s="11"/>
      <c r="K18" s="11"/>
      <c r="L18" s="11"/>
      <c r="M18" s="11"/>
      <c r="N18" s="11"/>
      <c r="O18" s="11"/>
      <c r="P18" s="11"/>
      <c r="Q18" s="11"/>
      <c r="R18" s="11"/>
      <c r="S18" s="11"/>
      <c r="T18" s="10" t="s">
        <v>40</v>
      </c>
      <c r="U18" s="10" t="s">
        <v>106</v>
      </c>
      <c r="V18" s="13"/>
      <c r="W18" s="13"/>
      <c r="X18" s="13"/>
      <c r="Y18" s="13"/>
      <c r="Z18" s="13"/>
      <c r="AA18" s="13"/>
      <c r="AB18" s="13"/>
      <c r="AC18" s="13"/>
      <c r="AD18" s="13"/>
    </row>
    <row r="19" spans="1:30" s="14" customFormat="1" ht="16" customHeight="1">
      <c r="A19" s="9" t="s">
        <v>35</v>
      </c>
      <c r="B19" s="10" t="s">
        <v>107</v>
      </c>
      <c r="C19" s="11">
        <v>2008</v>
      </c>
      <c r="D19" s="11"/>
      <c r="E19" s="11"/>
      <c r="F19" s="11"/>
      <c r="G19" s="11"/>
      <c r="H19" s="11"/>
      <c r="I19" s="11"/>
      <c r="J19" s="11"/>
      <c r="K19" s="11"/>
      <c r="L19" s="11"/>
      <c r="M19" s="11"/>
      <c r="N19" s="11"/>
      <c r="O19" s="11"/>
      <c r="P19" s="11"/>
      <c r="Q19" s="11"/>
      <c r="R19" s="11"/>
      <c r="S19" s="11"/>
      <c r="T19" s="10" t="s">
        <v>40</v>
      </c>
      <c r="U19" s="10" t="s">
        <v>106</v>
      </c>
      <c r="V19" s="13"/>
      <c r="W19" s="13"/>
      <c r="X19" s="13"/>
      <c r="Y19" s="13"/>
      <c r="Z19" s="13"/>
      <c r="AA19" s="13"/>
      <c r="AB19" s="13"/>
      <c r="AC19" s="13"/>
      <c r="AD19" s="13"/>
    </row>
    <row r="20" spans="1:30" s="14" customFormat="1" ht="16" customHeight="1">
      <c r="A20" s="9" t="s">
        <v>36</v>
      </c>
      <c r="B20" s="10" t="s">
        <v>108</v>
      </c>
      <c r="C20" s="11">
        <v>2012</v>
      </c>
      <c r="D20" s="11"/>
      <c r="E20" s="11"/>
      <c r="F20" s="11"/>
      <c r="G20" s="11"/>
      <c r="H20" s="11"/>
      <c r="I20" s="11"/>
      <c r="J20" s="11"/>
      <c r="K20" s="11"/>
      <c r="L20" s="11"/>
      <c r="M20" s="11"/>
      <c r="N20" s="11"/>
      <c r="O20" s="11"/>
      <c r="P20" s="11"/>
      <c r="Q20" s="11"/>
      <c r="R20" s="11"/>
      <c r="S20" s="11"/>
      <c r="T20" s="10" t="s">
        <v>40</v>
      </c>
      <c r="U20" s="10" t="s">
        <v>109</v>
      </c>
      <c r="V20" s="13"/>
      <c r="W20" s="13"/>
      <c r="X20" s="13"/>
      <c r="Y20" s="13"/>
      <c r="Z20" s="13"/>
      <c r="AA20" s="13"/>
      <c r="AB20" s="13"/>
      <c r="AC20" s="13"/>
      <c r="AD20" s="13"/>
    </row>
    <row r="21" spans="1:30" ht="16" customHeight="1">
      <c r="A21" s="7" t="s">
        <v>33</v>
      </c>
      <c r="B21" s="8" t="s">
        <v>110</v>
      </c>
      <c r="C21" s="5">
        <v>2007</v>
      </c>
      <c r="D21" s="8" t="s">
        <v>50</v>
      </c>
      <c r="E21" s="8" t="s">
        <v>112</v>
      </c>
      <c r="F21" s="8" t="s">
        <v>111</v>
      </c>
      <c r="G21" s="5">
        <v>0.25</v>
      </c>
      <c r="H21" s="5">
        <v>4</v>
      </c>
      <c r="I21" s="5">
        <f>H21*G21/10000</f>
        <v>1E-4</v>
      </c>
      <c r="J21" s="5">
        <v>1</v>
      </c>
      <c r="K21" s="5">
        <f>31+30</f>
        <v>61</v>
      </c>
      <c r="L21" s="5">
        <f>J21*2</f>
        <v>2</v>
      </c>
      <c r="M21" s="5">
        <v>61</v>
      </c>
      <c r="N21" s="5">
        <v>0</v>
      </c>
      <c r="O21" s="5">
        <v>2</v>
      </c>
      <c r="P21" s="5">
        <v>2</v>
      </c>
      <c r="Q21" s="5">
        <v>1</v>
      </c>
      <c r="R21" s="5"/>
      <c r="S21" s="8" t="s">
        <v>113</v>
      </c>
      <c r="T21" s="8" t="s">
        <v>115</v>
      </c>
      <c r="U21" s="6"/>
      <c r="V21" s="6"/>
      <c r="W21" s="6"/>
      <c r="X21" s="6"/>
      <c r="Y21" s="6"/>
      <c r="Z21" s="6"/>
      <c r="AA21" s="6"/>
      <c r="AB21" s="6"/>
      <c r="AC21" s="6"/>
      <c r="AD21" s="6"/>
    </row>
    <row r="22" spans="1:30" ht="16" customHeight="1">
      <c r="A22" s="7" t="s">
        <v>33</v>
      </c>
      <c r="B22" s="8" t="s">
        <v>110</v>
      </c>
      <c r="C22" s="5">
        <v>2007</v>
      </c>
      <c r="D22" s="8" t="s">
        <v>50</v>
      </c>
      <c r="E22" s="8" t="s">
        <v>112</v>
      </c>
      <c r="F22" s="8" t="s">
        <v>111</v>
      </c>
      <c r="G22" s="5">
        <f>PI()*(0.05/2)^2</f>
        <v>1.9634954084936209E-3</v>
      </c>
      <c r="H22" s="5">
        <v>10</v>
      </c>
      <c r="I22" s="5">
        <f>H22*G22/10000</f>
        <v>1.9634954084936205E-6</v>
      </c>
      <c r="J22" s="5">
        <f>1/60/60/24</f>
        <v>1.1574074074074073E-5</v>
      </c>
      <c r="K22" s="5">
        <v>7</v>
      </c>
      <c r="L22" s="5">
        <f>J22*10</f>
        <v>1.1574074074074073E-4</v>
      </c>
      <c r="M22" s="5">
        <v>180</v>
      </c>
      <c r="N22" s="5">
        <v>0</v>
      </c>
      <c r="O22" s="5">
        <v>1</v>
      </c>
      <c r="P22" s="5">
        <v>0</v>
      </c>
      <c r="Q22" s="5">
        <v>1</v>
      </c>
      <c r="R22" s="5"/>
      <c r="S22" s="8" t="s">
        <v>114</v>
      </c>
      <c r="T22" s="8" t="s">
        <v>116</v>
      </c>
      <c r="U22" s="6"/>
      <c r="V22" s="6"/>
      <c r="W22" s="6"/>
      <c r="X22" s="6"/>
      <c r="Y22" s="6"/>
      <c r="Z22" s="6"/>
      <c r="AA22" s="6"/>
      <c r="AB22" s="6"/>
      <c r="AC22" s="6"/>
      <c r="AD22" s="6"/>
    </row>
    <row r="23" spans="1:30" s="14" customFormat="1" ht="16" customHeight="1">
      <c r="A23" s="9" t="s">
        <v>37</v>
      </c>
      <c r="B23" s="10" t="s">
        <v>117</v>
      </c>
      <c r="C23" s="11">
        <v>2011</v>
      </c>
      <c r="D23" s="11"/>
      <c r="E23" s="11"/>
      <c r="F23" s="11"/>
      <c r="G23" s="11"/>
      <c r="H23" s="11"/>
      <c r="I23" s="11"/>
      <c r="J23" s="11"/>
      <c r="K23" s="11"/>
      <c r="L23" s="11"/>
      <c r="M23" s="11"/>
      <c r="N23" s="11"/>
      <c r="O23" s="11"/>
      <c r="P23" s="11"/>
      <c r="Q23" s="11"/>
      <c r="R23" s="11"/>
      <c r="S23" s="11"/>
      <c r="T23" s="11"/>
      <c r="U23" s="10" t="s">
        <v>118</v>
      </c>
      <c r="V23" s="13"/>
      <c r="W23" s="13"/>
      <c r="X23" s="13"/>
      <c r="Y23" s="13"/>
      <c r="Z23" s="13"/>
      <c r="AA23" s="13"/>
      <c r="AB23" s="13"/>
      <c r="AC23" s="13"/>
      <c r="AD23" s="13"/>
    </row>
    <row r="24" spans="1:30" ht="16" customHeight="1">
      <c r="A24" s="7" t="s">
        <v>29</v>
      </c>
      <c r="B24" s="8" t="s">
        <v>119</v>
      </c>
      <c r="C24" s="5">
        <v>2009</v>
      </c>
      <c r="D24" s="8" t="s">
        <v>50</v>
      </c>
      <c r="E24" s="8" t="s">
        <v>120</v>
      </c>
      <c r="F24" s="8" t="s">
        <v>121</v>
      </c>
      <c r="G24" s="5">
        <v>0.36</v>
      </c>
      <c r="H24" s="5">
        <v>87</v>
      </c>
      <c r="I24" s="5">
        <f t="shared" ref="I24:I29" si="1">G24*H24/10000</f>
        <v>3.1320000000000002E-3</v>
      </c>
      <c r="J24" s="5">
        <f>76+69</f>
        <v>145</v>
      </c>
      <c r="K24" s="5">
        <v>0</v>
      </c>
      <c r="L24" s="5">
        <f>J24</f>
        <v>145</v>
      </c>
      <c r="M24" s="5">
        <v>439</v>
      </c>
      <c r="N24" s="5">
        <v>3</v>
      </c>
      <c r="O24" s="5">
        <v>1</v>
      </c>
      <c r="P24" s="5">
        <v>0</v>
      </c>
      <c r="Q24" s="5">
        <v>2</v>
      </c>
      <c r="R24" s="5"/>
      <c r="S24" s="8" t="s">
        <v>126</v>
      </c>
      <c r="T24" s="8" t="s">
        <v>125</v>
      </c>
      <c r="U24" s="6"/>
      <c r="V24" s="6"/>
      <c r="W24" s="6"/>
      <c r="X24" s="6"/>
      <c r="Y24" s="6"/>
      <c r="Z24" s="6"/>
      <c r="AA24" s="6"/>
      <c r="AB24" s="6"/>
      <c r="AC24" s="6"/>
      <c r="AD24" s="6"/>
    </row>
    <row r="25" spans="1:30" ht="16" customHeight="1">
      <c r="A25" s="7" t="s">
        <v>29</v>
      </c>
      <c r="B25" s="8" t="s">
        <v>119</v>
      </c>
      <c r="C25" s="5">
        <v>2009</v>
      </c>
      <c r="D25" s="8" t="s">
        <v>50</v>
      </c>
      <c r="E25" s="8" t="s">
        <v>120</v>
      </c>
      <c r="F25" s="8" t="s">
        <v>121</v>
      </c>
      <c r="G25" s="5">
        <f>PI()*(0.1/2)^2*4</f>
        <v>3.1415926535897934E-2</v>
      </c>
      <c r="H25" s="5">
        <f>87*4</f>
        <v>348</v>
      </c>
      <c r="I25" s="5">
        <f t="shared" si="1"/>
        <v>1.0932742434492479E-3</v>
      </c>
      <c r="J25" s="5">
        <f>76+69</f>
        <v>145</v>
      </c>
      <c r="K25" s="5">
        <v>0</v>
      </c>
      <c r="L25" s="5">
        <v>145</v>
      </c>
      <c r="M25" s="5">
        <v>439</v>
      </c>
      <c r="N25" s="5">
        <v>3</v>
      </c>
      <c r="O25" s="5">
        <v>1</v>
      </c>
      <c r="P25" s="5">
        <v>0</v>
      </c>
      <c r="Q25" s="5">
        <v>2</v>
      </c>
      <c r="R25" s="5"/>
      <c r="S25" s="8" t="s">
        <v>126</v>
      </c>
      <c r="T25" s="8" t="s">
        <v>124</v>
      </c>
      <c r="U25" s="6"/>
      <c r="V25" s="6"/>
      <c r="W25" s="6"/>
      <c r="X25" s="6"/>
      <c r="Y25" s="6"/>
      <c r="Z25" s="6"/>
      <c r="AA25" s="6"/>
      <c r="AB25" s="6"/>
      <c r="AC25" s="6"/>
      <c r="AD25" s="6"/>
    </row>
    <row r="26" spans="1:30" ht="16" customHeight="1">
      <c r="A26" s="7" t="s">
        <v>29</v>
      </c>
      <c r="B26" s="8" t="s">
        <v>119</v>
      </c>
      <c r="C26" s="5">
        <v>2009</v>
      </c>
      <c r="D26" s="8" t="s">
        <v>50</v>
      </c>
      <c r="E26" s="8" t="s">
        <v>120</v>
      </c>
      <c r="F26" s="8" t="s">
        <v>121</v>
      </c>
      <c r="G26" s="5">
        <f>PI()*(100^2)</f>
        <v>31415.926535897932</v>
      </c>
      <c r="H26" s="5">
        <v>104</v>
      </c>
      <c r="I26" s="5">
        <f t="shared" si="1"/>
        <v>326.72563597333851</v>
      </c>
      <c r="J26" s="8">
        <f>20/60/24</f>
        <v>1.3888888888888888E-2</v>
      </c>
      <c r="K26" s="5">
        <v>14</v>
      </c>
      <c r="L26" s="5">
        <f>27+24</f>
        <v>51</v>
      </c>
      <c r="M26" s="5">
        <f>365+14</f>
        <v>379</v>
      </c>
      <c r="N26" s="5">
        <v>3</v>
      </c>
      <c r="O26" s="5">
        <v>1</v>
      </c>
      <c r="P26" s="5">
        <v>0</v>
      </c>
      <c r="Q26" s="5">
        <v>2</v>
      </c>
      <c r="R26" s="5"/>
      <c r="S26" s="8"/>
      <c r="T26" s="8" t="s">
        <v>127</v>
      </c>
      <c r="U26" s="6"/>
      <c r="V26" s="6"/>
      <c r="W26" s="6"/>
      <c r="X26" s="6"/>
      <c r="Y26" s="6"/>
      <c r="Z26" s="6"/>
      <c r="AA26" s="6"/>
      <c r="AB26" s="6"/>
      <c r="AC26" s="6"/>
      <c r="AD26" s="6"/>
    </row>
    <row r="27" spans="1:30" ht="16" customHeight="1">
      <c r="A27" s="7" t="s">
        <v>29</v>
      </c>
      <c r="B27" s="8" t="s">
        <v>119</v>
      </c>
      <c r="C27" s="5">
        <v>2009</v>
      </c>
      <c r="D27" s="8" t="s">
        <v>50</v>
      </c>
      <c r="E27" s="8" t="s">
        <v>120</v>
      </c>
      <c r="F27" s="8" t="s">
        <v>121</v>
      </c>
      <c r="G27" s="5">
        <v>400</v>
      </c>
      <c r="H27" s="5">
        <f>108*3</f>
        <v>324</v>
      </c>
      <c r="I27" s="5">
        <f t="shared" si="1"/>
        <v>12.96</v>
      </c>
      <c r="J27" s="5">
        <v>1</v>
      </c>
      <c r="K27" s="5">
        <f>439/108</f>
        <v>4.0648148148148149</v>
      </c>
      <c r="L27" s="5">
        <f>J27*H27</f>
        <v>324</v>
      </c>
      <c r="M27" s="5">
        <v>439</v>
      </c>
      <c r="N27" s="5">
        <v>3</v>
      </c>
      <c r="O27" s="5">
        <v>2</v>
      </c>
      <c r="P27" s="5">
        <v>0</v>
      </c>
      <c r="Q27" s="5">
        <v>2</v>
      </c>
      <c r="R27" s="5"/>
      <c r="S27" s="8" t="s">
        <v>128</v>
      </c>
      <c r="T27" s="8" t="s">
        <v>129</v>
      </c>
      <c r="U27" s="6"/>
      <c r="V27" s="6"/>
      <c r="W27" s="6"/>
      <c r="X27" s="6"/>
      <c r="Y27" s="6"/>
      <c r="Z27" s="6"/>
      <c r="AA27" s="6"/>
      <c r="AB27" s="6"/>
      <c r="AC27" s="6"/>
      <c r="AD27" s="6"/>
    </row>
    <row r="28" spans="1:30" ht="16" customHeight="1">
      <c r="A28" s="7" t="s">
        <v>30</v>
      </c>
      <c r="B28" s="8" t="s">
        <v>130</v>
      </c>
      <c r="C28" s="5">
        <v>2006</v>
      </c>
      <c r="D28" s="8" t="s">
        <v>50</v>
      </c>
      <c r="E28" s="8" t="s">
        <v>132</v>
      </c>
      <c r="F28" s="8" t="s">
        <v>131</v>
      </c>
      <c r="G28" s="5">
        <f>PI()*(50^2)</f>
        <v>7853.981633974483</v>
      </c>
      <c r="H28" s="5">
        <v>50</v>
      </c>
      <c r="I28" s="5">
        <f t="shared" si="1"/>
        <v>39.269908169872416</v>
      </c>
      <c r="J28" s="5">
        <f>5/60/24</f>
        <v>3.472222222222222E-3</v>
      </c>
      <c r="K28" s="5">
        <f>M28/50</f>
        <v>1.52</v>
      </c>
      <c r="L28" s="5">
        <f>J28*6</f>
        <v>2.0833333333333332E-2</v>
      </c>
      <c r="M28" s="5">
        <f>15+31+30</f>
        <v>76</v>
      </c>
      <c r="N28" s="5">
        <v>3</v>
      </c>
      <c r="O28" s="5">
        <v>1</v>
      </c>
      <c r="P28" s="5">
        <v>0</v>
      </c>
      <c r="Q28" s="5">
        <v>1</v>
      </c>
      <c r="R28" s="5"/>
      <c r="S28" s="8" t="s">
        <v>133</v>
      </c>
      <c r="T28" s="8" t="s">
        <v>127</v>
      </c>
      <c r="U28" s="6"/>
      <c r="V28" s="6"/>
      <c r="W28" s="6"/>
      <c r="X28" s="6"/>
      <c r="Y28" s="6"/>
      <c r="Z28" s="6"/>
      <c r="AA28" s="6"/>
      <c r="AB28" s="6"/>
      <c r="AC28" s="6"/>
      <c r="AD28" s="6"/>
    </row>
    <row r="29" spans="1:30" ht="16" customHeight="1">
      <c r="A29" s="7" t="s">
        <v>30</v>
      </c>
      <c r="B29" s="8" t="s">
        <v>130</v>
      </c>
      <c r="C29" s="5">
        <v>2006</v>
      </c>
      <c r="D29" s="8" t="s">
        <v>50</v>
      </c>
      <c r="E29" s="8" t="s">
        <v>132</v>
      </c>
      <c r="F29" s="8" t="s">
        <v>131</v>
      </c>
      <c r="G29" s="5">
        <f>PI()*(30^2)</f>
        <v>2827.4333882308138</v>
      </c>
      <c r="H29" s="5">
        <f>240+180+180</f>
        <v>600</v>
      </c>
      <c r="I29" s="5">
        <f t="shared" si="1"/>
        <v>169.64600329384882</v>
      </c>
      <c r="J29" s="5">
        <f>5/6/24</f>
        <v>3.4722222222222224E-2</v>
      </c>
      <c r="K29" s="5">
        <f>M29/H29</f>
        <v>0.12666666666666668</v>
      </c>
      <c r="L29" s="5">
        <f>J29*9</f>
        <v>0.3125</v>
      </c>
      <c r="M29" s="5">
        <f>15+31+30</f>
        <v>76</v>
      </c>
      <c r="N29" s="5">
        <v>0</v>
      </c>
      <c r="O29" s="5">
        <v>0</v>
      </c>
      <c r="P29" s="5">
        <v>1</v>
      </c>
      <c r="Q29" s="5">
        <v>1</v>
      </c>
      <c r="R29" s="5"/>
      <c r="S29" s="8" t="s">
        <v>133</v>
      </c>
      <c r="T29" s="8" t="s">
        <v>134</v>
      </c>
      <c r="U29" s="6"/>
      <c r="V29" s="6"/>
      <c r="W29" s="6"/>
      <c r="X29" s="6"/>
      <c r="Y29" s="6"/>
      <c r="Z29" s="6"/>
      <c r="AA29" s="6"/>
      <c r="AB29" s="6"/>
      <c r="AC29" s="6"/>
      <c r="AD29" s="6"/>
    </row>
    <row r="30" spans="1:30" s="14" customFormat="1" ht="16" customHeight="1">
      <c r="A30" s="9" t="s">
        <v>37</v>
      </c>
      <c r="B30" s="18" t="s">
        <v>135</v>
      </c>
      <c r="C30" s="17">
        <v>2004</v>
      </c>
      <c r="D30" s="17"/>
      <c r="E30" s="17"/>
      <c r="F30" s="17"/>
      <c r="G30" s="17"/>
      <c r="H30" s="17"/>
      <c r="I30" s="17"/>
      <c r="J30" s="17"/>
      <c r="K30" s="17"/>
      <c r="L30" s="11"/>
      <c r="M30" s="17"/>
      <c r="N30" s="17"/>
      <c r="O30" s="11"/>
      <c r="P30" s="17"/>
      <c r="Q30" s="17"/>
      <c r="R30" s="17"/>
      <c r="S30" s="17"/>
      <c r="T30" s="16" t="s">
        <v>40</v>
      </c>
      <c r="U30" s="10" t="s">
        <v>136</v>
      </c>
      <c r="V30" s="13"/>
      <c r="W30" s="13"/>
      <c r="X30" s="13"/>
      <c r="Y30" s="13"/>
      <c r="Z30" s="13"/>
      <c r="AA30" s="13"/>
      <c r="AB30" s="13"/>
      <c r="AC30" s="13"/>
      <c r="AD30" s="13"/>
    </row>
    <row r="31" spans="1:30" ht="15.75" customHeight="1">
      <c r="A31" s="7" t="s">
        <v>30</v>
      </c>
      <c r="B31" s="8" t="s">
        <v>137</v>
      </c>
      <c r="C31" s="8">
        <v>2010</v>
      </c>
      <c r="D31" s="8" t="s">
        <v>50</v>
      </c>
      <c r="E31" s="8" t="s">
        <v>139</v>
      </c>
      <c r="F31" s="8" t="s">
        <v>138</v>
      </c>
      <c r="G31">
        <f>1*0.25</f>
        <v>0.25</v>
      </c>
      <c r="H31">
        <f>70+54+152</f>
        <v>276</v>
      </c>
      <c r="I31" s="8">
        <f>G31*H31/10000</f>
        <v>6.8999999999999999E-3</v>
      </c>
      <c r="J31" s="8">
        <v>1</v>
      </c>
      <c r="K31" s="8">
        <v>0</v>
      </c>
      <c r="L31">
        <f>J31*H31</f>
        <v>276</v>
      </c>
      <c r="M31" s="5">
        <f>(2009-1993)*365</f>
        <v>5840</v>
      </c>
      <c r="N31" s="8">
        <v>0</v>
      </c>
      <c r="O31" s="5">
        <v>0</v>
      </c>
      <c r="P31" s="8">
        <v>1</v>
      </c>
      <c r="Q31" s="8">
        <v>0</v>
      </c>
      <c r="S31" s="8" t="s">
        <v>90</v>
      </c>
      <c r="T31" s="8" t="s">
        <v>140</v>
      </c>
    </row>
    <row r="32" spans="1:30" s="14" customFormat="1" ht="15.75" customHeight="1">
      <c r="A32" s="9" t="s">
        <v>38</v>
      </c>
      <c r="B32" s="10" t="s">
        <v>141</v>
      </c>
      <c r="C32" s="10">
        <v>2013</v>
      </c>
      <c r="J32" s="10"/>
      <c r="K32" s="10"/>
      <c r="L32" s="11"/>
      <c r="O32" s="10"/>
      <c r="T32" s="10" t="s">
        <v>40</v>
      </c>
      <c r="U32" s="14" t="s">
        <v>118</v>
      </c>
    </row>
    <row r="33" spans="12:12" ht="15.75" customHeight="1">
      <c r="L33" s="8"/>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
  <sheetViews>
    <sheetView workbookViewId="0">
      <selection activeCell="B12" sqref="B12"/>
    </sheetView>
  </sheetViews>
  <sheetFormatPr baseColWidth="10" defaultRowHeight="12" x14ac:dyDescent="0"/>
  <cols>
    <col min="1" max="1" width="19.83203125" customWidth="1"/>
  </cols>
  <sheetData>
    <row r="1" spans="1:6" ht="16" customHeight="1">
      <c r="A1" s="15" t="s">
        <v>7</v>
      </c>
      <c r="B1" t="s">
        <v>53</v>
      </c>
    </row>
    <row r="2" spans="1:6" ht="16" customHeight="1">
      <c r="A2" s="15" t="s">
        <v>8</v>
      </c>
      <c r="B2" t="s">
        <v>54</v>
      </c>
    </row>
    <row r="3" spans="1:6" ht="16" customHeight="1">
      <c r="A3" s="15" t="s">
        <v>9</v>
      </c>
      <c r="B3" t="s">
        <v>55</v>
      </c>
    </row>
    <row r="4" spans="1:6" ht="16" customHeight="1">
      <c r="A4" s="15" t="s">
        <v>10</v>
      </c>
      <c r="B4" t="s">
        <v>56</v>
      </c>
    </row>
    <row r="5" spans="1:6" ht="16" customHeight="1">
      <c r="A5" s="15" t="s">
        <v>11</v>
      </c>
      <c r="B5" t="s">
        <v>57</v>
      </c>
    </row>
    <row r="6" spans="1:6" ht="16" customHeight="1">
      <c r="A6" s="15" t="s">
        <v>12</v>
      </c>
      <c r="B6" t="s">
        <v>58</v>
      </c>
    </row>
    <row r="7" spans="1:6" ht="16" customHeight="1">
      <c r="A7" s="15" t="s">
        <v>13</v>
      </c>
      <c r="B7" t="s">
        <v>59</v>
      </c>
    </row>
    <row r="8" spans="1:6" ht="16" customHeight="1">
      <c r="A8" s="15" t="s">
        <v>14</v>
      </c>
      <c r="B8" t="s">
        <v>60</v>
      </c>
    </row>
    <row r="9" spans="1:6" ht="16" customHeight="1">
      <c r="A9" s="15" t="s">
        <v>15</v>
      </c>
      <c r="B9" t="s">
        <v>61</v>
      </c>
    </row>
    <row r="10" spans="1:6" ht="16" customHeight="1">
      <c r="A10" s="15" t="s">
        <v>16</v>
      </c>
      <c r="B10" t="s">
        <v>62</v>
      </c>
    </row>
    <row r="11" spans="1:6" ht="16" customHeight="1">
      <c r="A11" s="15" t="s">
        <v>17</v>
      </c>
      <c r="B11" t="s">
        <v>63</v>
      </c>
    </row>
    <row r="12" spans="1:6" ht="16" customHeight="1">
      <c r="A12" s="15" t="s">
        <v>18</v>
      </c>
      <c r="B12" t="s">
        <v>64</v>
      </c>
    </row>
    <row r="13" spans="1:6" ht="16" customHeight="1">
      <c r="A13" s="15" t="s">
        <v>19</v>
      </c>
      <c r="B13" t="s">
        <v>65</v>
      </c>
    </row>
    <row r="14" spans="1:6" ht="16" customHeight="1">
      <c r="A14" s="15" t="s">
        <v>20</v>
      </c>
      <c r="B14" t="s">
        <v>66</v>
      </c>
      <c r="C14" t="s">
        <v>72</v>
      </c>
      <c r="D14" t="s">
        <v>73</v>
      </c>
      <c r="E14" t="s">
        <v>74</v>
      </c>
      <c r="F14" t="s">
        <v>75</v>
      </c>
    </row>
    <row r="15" spans="1:6" ht="16" customHeight="1">
      <c r="A15" s="15" t="s">
        <v>21</v>
      </c>
      <c r="B15" t="s">
        <v>66</v>
      </c>
      <c r="C15" t="s">
        <v>72</v>
      </c>
      <c r="D15" t="s">
        <v>76</v>
      </c>
      <c r="E15" t="s">
        <v>77</v>
      </c>
      <c r="F15" t="s">
        <v>78</v>
      </c>
    </row>
    <row r="16" spans="1:6" ht="16" customHeight="1">
      <c r="A16" s="15" t="s">
        <v>22</v>
      </c>
      <c r="B16" t="s">
        <v>66</v>
      </c>
      <c r="C16" t="s">
        <v>72</v>
      </c>
      <c r="D16" t="s">
        <v>79</v>
      </c>
      <c r="E16" t="s">
        <v>80</v>
      </c>
      <c r="F16" t="s">
        <v>81</v>
      </c>
    </row>
    <row r="17" spans="1:6" ht="16" customHeight="1">
      <c r="A17" s="15" t="s">
        <v>23</v>
      </c>
      <c r="B17" t="s">
        <v>66</v>
      </c>
      <c r="C17" t="s">
        <v>82</v>
      </c>
      <c r="D17" t="s">
        <v>83</v>
      </c>
      <c r="E17" t="s">
        <v>84</v>
      </c>
      <c r="F17" t="s">
        <v>85</v>
      </c>
    </row>
    <row r="18" spans="1:6" ht="16" customHeight="1">
      <c r="A18" s="15" t="s">
        <v>24</v>
      </c>
      <c r="B18" t="s">
        <v>67</v>
      </c>
    </row>
    <row r="19" spans="1:6" ht="16" customHeight="1">
      <c r="A19" s="15" t="s">
        <v>25</v>
      </c>
      <c r="B19" t="s">
        <v>68</v>
      </c>
    </row>
    <row r="20" spans="1:6" ht="16" customHeight="1">
      <c r="A20" s="15" t="s">
        <v>26</v>
      </c>
      <c r="B20" t="s">
        <v>69</v>
      </c>
    </row>
    <row r="21" spans="1:6" ht="16" customHeight="1">
      <c r="A21" s="15" t="s">
        <v>70</v>
      </c>
      <c r="B21" t="s">
        <v>71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24"/>
  <sheetViews>
    <sheetView topLeftCell="O1" workbookViewId="0">
      <pane ySplit="2" topLeftCell="A68" activePane="bottomLeft" state="frozen"/>
      <selection pane="bottomLeft" activeCell="U84" sqref="U84"/>
    </sheetView>
  </sheetViews>
  <sheetFormatPr baseColWidth="10" defaultColWidth="17.33203125" defaultRowHeight="15.75" customHeight="1" x14ac:dyDescent="0"/>
  <cols>
    <col min="1" max="1" width="5.6640625" bestFit="1" customWidth="1"/>
    <col min="2" max="2" width="7.6640625" bestFit="1" customWidth="1"/>
    <col min="3" max="3" width="19.33203125" customWidth="1"/>
    <col min="4" max="4" width="7.83203125" customWidth="1"/>
    <col min="5" max="5" width="10" customWidth="1"/>
    <col min="6" max="6" width="11" customWidth="1"/>
    <col min="7" max="7" width="14.5" customWidth="1"/>
    <col min="8" max="8" width="14.6640625" customWidth="1"/>
    <col min="9" max="9" width="12.33203125" bestFit="1" customWidth="1"/>
    <col min="10" max="10" width="8" customWidth="1"/>
    <col min="11" max="11" width="13.5" customWidth="1"/>
    <col min="12" max="12" width="16.5" customWidth="1"/>
    <col min="13" max="13" width="15.1640625" customWidth="1"/>
    <col min="14" max="14" width="14.5" customWidth="1"/>
    <col min="15" max="16" width="11.83203125" customWidth="1"/>
    <col min="17" max="17" width="8.6640625" customWidth="1"/>
    <col min="18" max="18" width="7.83203125" customWidth="1"/>
    <col min="19" max="21" width="10.6640625" customWidth="1"/>
    <col min="22" max="22" width="41.5" customWidth="1"/>
    <col min="23" max="32" width="14.5" customWidth="1"/>
  </cols>
  <sheetData>
    <row r="1" spans="1:32" ht="15.75" customHeight="1">
      <c r="C1" s="1"/>
      <c r="D1" s="1"/>
      <c r="E1" s="1"/>
      <c r="F1" s="1"/>
      <c r="G1" s="1"/>
      <c r="H1" s="1"/>
      <c r="I1" s="1" t="s">
        <v>0</v>
      </c>
      <c r="J1" s="1" t="s">
        <v>1</v>
      </c>
      <c r="K1" s="1" t="s">
        <v>2</v>
      </c>
      <c r="L1" s="1" t="s">
        <v>3</v>
      </c>
      <c r="M1" s="1" t="s">
        <v>3</v>
      </c>
      <c r="N1" s="1" t="s">
        <v>3</v>
      </c>
      <c r="O1" s="2" t="s">
        <v>3</v>
      </c>
      <c r="P1" s="1"/>
      <c r="Q1" s="1"/>
      <c r="R1" s="1"/>
      <c r="S1" s="1"/>
      <c r="T1" s="1"/>
      <c r="U1" s="1"/>
      <c r="V1" s="1"/>
      <c r="W1" s="1"/>
      <c r="X1" s="1"/>
      <c r="Y1" s="1"/>
      <c r="Z1" s="1"/>
      <c r="AA1" s="1"/>
      <c r="AB1" s="1"/>
      <c r="AC1" s="1"/>
      <c r="AD1" s="1"/>
      <c r="AE1" s="1"/>
      <c r="AF1" s="1"/>
    </row>
    <row r="2" spans="1:32" ht="25.5" customHeight="1">
      <c r="A2" s="29" t="s">
        <v>184</v>
      </c>
      <c r="B2" s="29" t="s">
        <v>262</v>
      </c>
      <c r="C2" s="3" t="s">
        <v>7</v>
      </c>
      <c r="D2" s="3" t="s">
        <v>8</v>
      </c>
      <c r="E2" s="3" t="s">
        <v>9</v>
      </c>
      <c r="F2" s="3" t="s">
        <v>10</v>
      </c>
      <c r="G2" s="3" t="s">
        <v>11</v>
      </c>
      <c r="H2" s="3" t="s">
        <v>12</v>
      </c>
      <c r="I2" s="3" t="s">
        <v>13</v>
      </c>
      <c r="J2" s="3" t="s">
        <v>14</v>
      </c>
      <c r="K2" s="3" t="s">
        <v>15</v>
      </c>
      <c r="L2" s="3" t="s">
        <v>16</v>
      </c>
      <c r="M2" s="3" t="s">
        <v>17</v>
      </c>
      <c r="N2" s="3" t="s">
        <v>18</v>
      </c>
      <c r="O2" s="4" t="s">
        <v>19</v>
      </c>
      <c r="P2" s="3" t="s">
        <v>20</v>
      </c>
      <c r="Q2" s="3" t="s">
        <v>21</v>
      </c>
      <c r="R2" s="3" t="s">
        <v>22</v>
      </c>
      <c r="S2" s="3" t="s">
        <v>23</v>
      </c>
      <c r="T2" s="3" t="s">
        <v>24</v>
      </c>
      <c r="U2" s="3" t="s">
        <v>25</v>
      </c>
      <c r="V2" s="3" t="s">
        <v>26</v>
      </c>
      <c r="W2" s="20" t="s">
        <v>44</v>
      </c>
      <c r="X2" s="1"/>
      <c r="Y2" s="1"/>
      <c r="Z2" s="1"/>
      <c r="AA2" s="1"/>
      <c r="AB2" s="1"/>
      <c r="AC2" s="1"/>
      <c r="AD2" s="1"/>
      <c r="AE2" s="1"/>
      <c r="AF2" s="1"/>
    </row>
    <row r="3" spans="1:32" s="14" customFormat="1" ht="15.75" customHeight="1">
      <c r="B3" s="14">
        <v>1</v>
      </c>
      <c r="C3" s="9" t="s">
        <v>27</v>
      </c>
      <c r="D3" s="21" t="s">
        <v>154</v>
      </c>
      <c r="E3" s="9">
        <v>2008</v>
      </c>
      <c r="F3" s="21"/>
      <c r="N3" s="10"/>
      <c r="V3" s="14" t="s">
        <v>40</v>
      </c>
      <c r="W3" s="14" t="s">
        <v>155</v>
      </c>
    </row>
    <row r="4" spans="1:32" s="14" customFormat="1" ht="15.75" customHeight="1">
      <c r="B4" s="14">
        <v>2</v>
      </c>
      <c r="C4" s="9" t="s">
        <v>38</v>
      </c>
      <c r="D4" s="21" t="s">
        <v>156</v>
      </c>
      <c r="E4" s="9">
        <v>2009</v>
      </c>
      <c r="H4" s="21"/>
      <c r="V4" s="14" t="s">
        <v>40</v>
      </c>
      <c r="W4" s="14" t="s">
        <v>157</v>
      </c>
    </row>
    <row r="5" spans="1:32" s="14" customFormat="1" ht="15.75" customHeight="1">
      <c r="B5" s="14">
        <v>3</v>
      </c>
      <c r="C5" s="9" t="s">
        <v>30</v>
      </c>
      <c r="D5" s="21" t="s">
        <v>158</v>
      </c>
      <c r="E5" s="9">
        <v>2007</v>
      </c>
      <c r="F5" s="21"/>
      <c r="V5" s="14" t="s">
        <v>40</v>
      </c>
      <c r="W5" s="14" t="s">
        <v>93</v>
      </c>
    </row>
    <row r="6" spans="1:32" s="14" customFormat="1" ht="15.75" customHeight="1">
      <c r="B6" s="14">
        <v>4</v>
      </c>
      <c r="C6" s="9" t="s">
        <v>30</v>
      </c>
      <c r="D6" s="21" t="s">
        <v>159</v>
      </c>
      <c r="E6" s="9">
        <v>2011</v>
      </c>
      <c r="F6" s="21"/>
      <c r="V6" s="14" t="s">
        <v>40</v>
      </c>
      <c r="W6" s="14" t="s">
        <v>136</v>
      </c>
    </row>
    <row r="7" spans="1:32" s="14" customFormat="1" ht="15.75" customHeight="1">
      <c r="B7" s="14">
        <v>5</v>
      </c>
      <c r="C7" s="9" t="s">
        <v>142</v>
      </c>
      <c r="D7" s="21" t="s">
        <v>160</v>
      </c>
      <c r="E7" s="9">
        <v>2008</v>
      </c>
      <c r="F7" s="21"/>
      <c r="V7" s="14" t="s">
        <v>40</v>
      </c>
      <c r="W7" s="14" t="s">
        <v>93</v>
      </c>
    </row>
    <row r="8" spans="1:32" ht="15.75" customHeight="1">
      <c r="A8">
        <v>1</v>
      </c>
      <c r="B8" s="25">
        <v>6</v>
      </c>
      <c r="C8" s="7" t="s">
        <v>30</v>
      </c>
      <c r="D8" s="24" t="s">
        <v>161</v>
      </c>
      <c r="E8" s="7">
        <v>2005</v>
      </c>
      <c r="F8" s="19" t="s">
        <v>50</v>
      </c>
      <c r="G8" t="s">
        <v>89</v>
      </c>
      <c r="H8" t="s">
        <v>162</v>
      </c>
      <c r="I8">
        <v>4</v>
      </c>
      <c r="J8">
        <f>16+4+(28+29-27)</f>
        <v>50</v>
      </c>
      <c r="K8">
        <f>J8*I8/10000</f>
        <v>0.02</v>
      </c>
      <c r="L8">
        <v>1</v>
      </c>
      <c r="M8">
        <v>0</v>
      </c>
      <c r="N8">
        <v>50</v>
      </c>
      <c r="O8">
        <f>365+365-60</f>
        <v>670</v>
      </c>
      <c r="P8">
        <v>3</v>
      </c>
      <c r="Q8">
        <v>2</v>
      </c>
      <c r="R8">
        <v>2</v>
      </c>
      <c r="S8">
        <v>1</v>
      </c>
      <c r="U8" t="s">
        <v>113</v>
      </c>
      <c r="V8" s="25" t="s">
        <v>163</v>
      </c>
    </row>
    <row r="9" spans="1:32" ht="15.75" customHeight="1">
      <c r="A9">
        <v>1</v>
      </c>
      <c r="B9" s="25">
        <v>6</v>
      </c>
      <c r="C9" s="7" t="s">
        <v>30</v>
      </c>
      <c r="D9" s="24" t="s">
        <v>161</v>
      </c>
      <c r="E9" s="7">
        <v>2005</v>
      </c>
      <c r="F9" s="19" t="s">
        <v>50</v>
      </c>
      <c r="G9" t="s">
        <v>89</v>
      </c>
      <c r="H9" t="s">
        <v>162</v>
      </c>
      <c r="I9">
        <f>0.5*0.1</f>
        <v>0.05</v>
      </c>
      <c r="J9">
        <v>6</v>
      </c>
      <c r="K9">
        <f>J9*I9</f>
        <v>0.30000000000000004</v>
      </c>
      <c r="L9">
        <v>1</v>
      </c>
      <c r="M9">
        <v>0</v>
      </c>
      <c r="N9">
        <v>6</v>
      </c>
      <c r="O9">
        <v>670</v>
      </c>
      <c r="P9">
        <v>3</v>
      </c>
      <c r="Q9">
        <v>0</v>
      </c>
      <c r="R9">
        <v>2</v>
      </c>
      <c r="S9">
        <v>1</v>
      </c>
      <c r="U9" t="s">
        <v>90</v>
      </c>
      <c r="V9" s="25" t="s">
        <v>164</v>
      </c>
    </row>
    <row r="10" spans="1:32" s="14" customFormat="1" ht="15.75" customHeight="1">
      <c r="B10" s="14">
        <v>7</v>
      </c>
      <c r="C10" s="9" t="s">
        <v>143</v>
      </c>
      <c r="D10" s="21" t="s">
        <v>165</v>
      </c>
      <c r="E10" s="9">
        <v>2005</v>
      </c>
      <c r="F10" s="21"/>
      <c r="V10" s="14" t="s">
        <v>40</v>
      </c>
      <c r="W10" s="14" t="s">
        <v>166</v>
      </c>
    </row>
    <row r="11" spans="1:32" s="14" customFormat="1" ht="15.75" customHeight="1">
      <c r="B11" s="14">
        <v>8</v>
      </c>
      <c r="C11" s="9" t="s">
        <v>28</v>
      </c>
      <c r="D11" s="21" t="s">
        <v>167</v>
      </c>
      <c r="E11" s="9">
        <v>2005</v>
      </c>
      <c r="F11" s="21"/>
      <c r="V11" s="14" t="s">
        <v>40</v>
      </c>
      <c r="W11" s="14" t="s">
        <v>136</v>
      </c>
    </row>
    <row r="12" spans="1:32" s="25" customFormat="1" ht="15.75" customHeight="1">
      <c r="A12" s="25">
        <v>2</v>
      </c>
      <c r="B12" s="25">
        <v>9</v>
      </c>
      <c r="C12" s="26" t="s">
        <v>144</v>
      </c>
      <c r="D12" s="24" t="s">
        <v>168</v>
      </c>
      <c r="E12" s="26">
        <v>2008</v>
      </c>
      <c r="F12" s="24" t="s">
        <v>50</v>
      </c>
      <c r="G12" s="25" t="s">
        <v>169</v>
      </c>
      <c r="H12" s="25" t="s">
        <v>171</v>
      </c>
      <c r="I12" s="25">
        <f>(AVERAGE(827/10,632/6,1114/22,867/15)*10000)</f>
        <v>741174.24242424231</v>
      </c>
      <c r="J12" s="25">
        <f>10+6+22+15</f>
        <v>53</v>
      </c>
      <c r="K12" s="25">
        <f>827+632+1114+867</f>
        <v>3440</v>
      </c>
      <c r="L12" s="25">
        <v>1</v>
      </c>
      <c r="M12" s="25">
        <f>AVERAGE(15,30,30)</f>
        <v>25</v>
      </c>
      <c r="N12" s="25">
        <f>L12*J12*2.5</f>
        <v>132.5</v>
      </c>
      <c r="O12" s="25">
        <f>(5*365)+30</f>
        <v>1855</v>
      </c>
      <c r="P12" s="25">
        <v>3</v>
      </c>
      <c r="Q12" s="25">
        <v>1</v>
      </c>
      <c r="R12" s="25">
        <v>0</v>
      </c>
      <c r="S12" s="25">
        <v>0</v>
      </c>
      <c r="U12" s="25" t="s">
        <v>170</v>
      </c>
    </row>
    <row r="13" spans="1:32" s="14" customFormat="1" ht="15.75" customHeight="1">
      <c r="B13" s="14">
        <v>10</v>
      </c>
      <c r="C13" s="9" t="s">
        <v>38</v>
      </c>
      <c r="D13" s="21" t="s">
        <v>172</v>
      </c>
      <c r="E13" s="9">
        <v>2009</v>
      </c>
      <c r="F13" s="21"/>
      <c r="V13" s="14" t="s">
        <v>40</v>
      </c>
      <c r="W13" s="14" t="s">
        <v>155</v>
      </c>
    </row>
    <row r="14" spans="1:32" ht="15.75" customHeight="1">
      <c r="A14">
        <v>3</v>
      </c>
      <c r="B14" s="25">
        <v>11</v>
      </c>
      <c r="C14" s="7" t="s">
        <v>31</v>
      </c>
      <c r="D14" s="24" t="s">
        <v>173</v>
      </c>
      <c r="E14" s="7">
        <v>2012</v>
      </c>
      <c r="F14" s="19" t="s">
        <v>50</v>
      </c>
      <c r="G14" t="s">
        <v>174</v>
      </c>
      <c r="H14" t="s">
        <v>175</v>
      </c>
      <c r="I14">
        <v>100</v>
      </c>
      <c r="J14">
        <v>89</v>
      </c>
      <c r="K14">
        <f>J14*I14/10000</f>
        <v>0.89</v>
      </c>
      <c r="L14">
        <f>7594/89</f>
        <v>85.325842696629209</v>
      </c>
      <c r="M14">
        <v>0</v>
      </c>
      <c r="N14">
        <v>7594</v>
      </c>
      <c r="O14">
        <f>6*30</f>
        <v>180</v>
      </c>
      <c r="P14">
        <v>3</v>
      </c>
      <c r="Q14">
        <v>0</v>
      </c>
      <c r="R14">
        <v>2</v>
      </c>
      <c r="S14">
        <v>1</v>
      </c>
      <c r="U14" t="s">
        <v>176</v>
      </c>
    </row>
    <row r="15" spans="1:32" s="14" customFormat="1" ht="15.75" customHeight="1">
      <c r="B15" s="14">
        <v>12</v>
      </c>
      <c r="C15" s="9" t="s">
        <v>33</v>
      </c>
      <c r="D15" s="21" t="s">
        <v>177</v>
      </c>
      <c r="E15" s="9">
        <v>2008</v>
      </c>
      <c r="F15" s="21"/>
      <c r="V15" s="14" t="s">
        <v>40</v>
      </c>
      <c r="W15" s="14" t="s">
        <v>136</v>
      </c>
    </row>
    <row r="16" spans="1:32" s="14" customFormat="1" ht="15.75" customHeight="1">
      <c r="B16" s="14">
        <v>13</v>
      </c>
      <c r="C16" s="9" t="s">
        <v>27</v>
      </c>
      <c r="D16" s="21" t="s">
        <v>178</v>
      </c>
      <c r="E16" s="9">
        <v>2007</v>
      </c>
      <c r="F16" s="21"/>
      <c r="V16" s="14" t="s">
        <v>40</v>
      </c>
      <c r="W16" s="14" t="s">
        <v>179</v>
      </c>
    </row>
    <row r="17" spans="1:23" s="14" customFormat="1" ht="15.75" customHeight="1">
      <c r="B17" s="14">
        <v>14</v>
      </c>
      <c r="C17" s="9" t="s">
        <v>145</v>
      </c>
      <c r="D17" s="21" t="s">
        <v>180</v>
      </c>
      <c r="E17" s="9">
        <v>2011</v>
      </c>
      <c r="F17" s="21"/>
      <c r="V17" s="14" t="s">
        <v>40</v>
      </c>
      <c r="W17" s="14" t="s">
        <v>136</v>
      </c>
    </row>
    <row r="18" spans="1:23" s="14" customFormat="1" ht="15.75" customHeight="1">
      <c r="B18" s="14">
        <v>15</v>
      </c>
      <c r="C18" s="9" t="s">
        <v>27</v>
      </c>
      <c r="D18" s="21" t="s">
        <v>181</v>
      </c>
      <c r="E18" s="9">
        <v>2014</v>
      </c>
      <c r="F18" s="21"/>
      <c r="V18" s="14" t="s">
        <v>40</v>
      </c>
      <c r="W18" s="14" t="s">
        <v>155</v>
      </c>
    </row>
    <row r="19" spans="1:23" s="14" customFormat="1" ht="15.75" customHeight="1">
      <c r="B19" s="14">
        <v>16</v>
      </c>
      <c r="C19" s="9" t="s">
        <v>32</v>
      </c>
      <c r="D19" s="21" t="s">
        <v>182</v>
      </c>
      <c r="E19" s="9">
        <v>2005</v>
      </c>
      <c r="F19" s="21"/>
      <c r="V19" s="14" t="s">
        <v>40</v>
      </c>
      <c r="W19" s="14" t="s">
        <v>183</v>
      </c>
    </row>
    <row r="20" spans="1:23" s="14" customFormat="1" ht="15.75" customHeight="1">
      <c r="B20" s="14">
        <v>17</v>
      </c>
      <c r="C20" s="9" t="s">
        <v>146</v>
      </c>
      <c r="D20" s="21" t="s">
        <v>185</v>
      </c>
      <c r="E20" s="9">
        <v>2005</v>
      </c>
      <c r="F20" s="21"/>
      <c r="V20" s="14" t="s">
        <v>40</v>
      </c>
      <c r="W20" s="14" t="s">
        <v>183</v>
      </c>
    </row>
    <row r="21" spans="1:23" s="14" customFormat="1" ht="15.75" customHeight="1">
      <c r="B21" s="14">
        <v>18</v>
      </c>
      <c r="C21" s="9" t="s">
        <v>32</v>
      </c>
      <c r="D21" s="21" t="s">
        <v>186</v>
      </c>
      <c r="E21" s="9">
        <v>2007</v>
      </c>
      <c r="F21" s="21"/>
      <c r="V21" s="14" t="s">
        <v>40</v>
      </c>
      <c r="W21" s="14" t="s">
        <v>93</v>
      </c>
    </row>
    <row r="22" spans="1:23" s="14" customFormat="1" ht="15.75" customHeight="1">
      <c r="B22" s="14">
        <v>19</v>
      </c>
      <c r="C22" s="9" t="s">
        <v>37</v>
      </c>
      <c r="D22" s="21" t="s">
        <v>187</v>
      </c>
      <c r="E22" s="9">
        <v>2008</v>
      </c>
      <c r="F22" s="21"/>
      <c r="V22" s="14" t="s">
        <v>40</v>
      </c>
      <c r="W22" s="14" t="s">
        <v>136</v>
      </c>
    </row>
    <row r="23" spans="1:23" s="14" customFormat="1" ht="15.75" customHeight="1">
      <c r="B23" s="14">
        <v>20</v>
      </c>
      <c r="C23" s="9" t="s">
        <v>31</v>
      </c>
      <c r="D23" s="21" t="s">
        <v>188</v>
      </c>
      <c r="E23" s="9">
        <v>2007</v>
      </c>
      <c r="F23" s="21"/>
      <c r="V23" s="14" t="s">
        <v>40</v>
      </c>
      <c r="W23" s="14" t="s">
        <v>109</v>
      </c>
    </row>
    <row r="24" spans="1:23" s="14" customFormat="1" ht="15.75" customHeight="1">
      <c r="B24" s="14">
        <v>21</v>
      </c>
      <c r="C24" s="9" t="s">
        <v>145</v>
      </c>
      <c r="D24" s="21" t="s">
        <v>189</v>
      </c>
      <c r="E24" s="9">
        <v>2011</v>
      </c>
      <c r="F24" s="21"/>
      <c r="V24" s="14" t="s">
        <v>40</v>
      </c>
      <c r="W24" s="14" t="s">
        <v>190</v>
      </c>
    </row>
    <row r="25" spans="1:23" ht="15.75" customHeight="1">
      <c r="A25">
        <v>4</v>
      </c>
      <c r="B25" s="28">
        <v>22</v>
      </c>
      <c r="C25" s="7" t="s">
        <v>30</v>
      </c>
      <c r="D25" s="8" t="s">
        <v>49</v>
      </c>
      <c r="E25" s="5">
        <v>2012</v>
      </c>
      <c r="F25" s="8" t="s">
        <v>50</v>
      </c>
      <c r="G25" s="8" t="s">
        <v>51</v>
      </c>
      <c r="H25" s="8" t="s">
        <v>52</v>
      </c>
      <c r="I25" s="5">
        <f>20*PI()*(0.0127^2)</f>
        <v>1.0134149581949954E-2</v>
      </c>
      <c r="J25" s="5">
        <f>5*8</f>
        <v>40</v>
      </c>
      <c r="K25" s="5">
        <f>(J25*I25)/10000</f>
        <v>4.0536598327799815E-5</v>
      </c>
      <c r="L25" s="5">
        <f>5/60/24*40</f>
        <v>0.1388888888888889</v>
      </c>
      <c r="M25" s="5">
        <v>7</v>
      </c>
      <c r="N25" s="5">
        <f>L25*J25</f>
        <v>5.5555555555555554</v>
      </c>
      <c r="O25" s="5">
        <v>28</v>
      </c>
      <c r="P25" s="5">
        <v>3</v>
      </c>
      <c r="Q25" s="5">
        <v>0</v>
      </c>
      <c r="R25" s="5">
        <v>3</v>
      </c>
      <c r="S25" s="5">
        <v>1</v>
      </c>
      <c r="T25" s="5"/>
      <c r="U25" s="8" t="s">
        <v>90</v>
      </c>
      <c r="V25" s="8" t="s">
        <v>191</v>
      </c>
      <c r="W25" s="6"/>
    </row>
    <row r="26" spans="1:23" ht="15.75" customHeight="1">
      <c r="A26">
        <v>5</v>
      </c>
      <c r="B26" s="28">
        <v>23</v>
      </c>
      <c r="C26" s="7" t="s">
        <v>29</v>
      </c>
      <c r="D26" s="24" t="s">
        <v>192</v>
      </c>
      <c r="E26" s="7">
        <v>2011</v>
      </c>
      <c r="F26" s="19" t="s">
        <v>195</v>
      </c>
      <c r="G26" t="s">
        <v>193</v>
      </c>
      <c r="H26" t="s">
        <v>194</v>
      </c>
      <c r="I26">
        <f>PI()*(100^2)*25</f>
        <v>785398.16339744825</v>
      </c>
      <c r="J26">
        <v>993</v>
      </c>
      <c r="K26">
        <f>J26*I26/10000</f>
        <v>77990.037625366618</v>
      </c>
      <c r="L26" s="5">
        <f>5/60/24</f>
        <v>3.472222222222222E-3</v>
      </c>
      <c r="M26">
        <f>12/60/24</f>
        <v>8.3333333333333332E-3</v>
      </c>
      <c r="N26">
        <f>L26*25*993</f>
        <v>86.197916666666657</v>
      </c>
      <c r="O26" s="5">
        <v>47</v>
      </c>
      <c r="P26">
        <v>3</v>
      </c>
      <c r="Q26">
        <v>1</v>
      </c>
      <c r="R26">
        <v>0</v>
      </c>
      <c r="S26">
        <v>1</v>
      </c>
      <c r="T26" s="32" t="s">
        <v>220</v>
      </c>
      <c r="U26" t="s">
        <v>211</v>
      </c>
      <c r="V26" s="30" t="s">
        <v>210</v>
      </c>
    </row>
    <row r="27" spans="1:23" ht="15.75" customHeight="1">
      <c r="A27">
        <v>5</v>
      </c>
      <c r="B27" s="28">
        <v>23</v>
      </c>
      <c r="C27" s="7" t="s">
        <v>29</v>
      </c>
      <c r="D27" s="24" t="s">
        <v>192</v>
      </c>
      <c r="E27" s="7">
        <v>2011</v>
      </c>
      <c r="F27" s="19" t="s">
        <v>207</v>
      </c>
      <c r="G27" t="s">
        <v>193</v>
      </c>
      <c r="H27" t="s">
        <v>194</v>
      </c>
      <c r="I27">
        <v>900</v>
      </c>
      <c r="J27">
        <f>(100000000/I27*993)</f>
        <v>110333333.33333333</v>
      </c>
      <c r="K27">
        <f>J27*I27/10000</f>
        <v>9930000</v>
      </c>
      <c r="L27" s="5">
        <f>1/60/60/24</f>
        <v>1.1574074074074073E-5</v>
      </c>
      <c r="M27">
        <v>365</v>
      </c>
      <c r="N27" s="5">
        <f>M27*L27*5</f>
        <v>2.1122685185185185E-2</v>
      </c>
      <c r="O27" s="5">
        <f>365*5</f>
        <v>1825</v>
      </c>
      <c r="P27">
        <v>1</v>
      </c>
      <c r="Q27">
        <v>2</v>
      </c>
      <c r="R27">
        <v>0</v>
      </c>
      <c r="S27">
        <v>0</v>
      </c>
      <c r="U27" t="s">
        <v>196</v>
      </c>
      <c r="V27" s="25" t="s">
        <v>208</v>
      </c>
    </row>
    <row r="28" spans="1:23" ht="15.75" customHeight="1">
      <c r="A28">
        <v>5</v>
      </c>
      <c r="B28" s="28">
        <v>23</v>
      </c>
      <c r="C28" s="7" t="s">
        <v>29</v>
      </c>
      <c r="D28" s="24" t="s">
        <v>192</v>
      </c>
      <c r="E28" s="7">
        <v>2011</v>
      </c>
      <c r="F28" s="19" t="s">
        <v>207</v>
      </c>
      <c r="G28" t="s">
        <v>193</v>
      </c>
      <c r="H28" t="s">
        <v>194</v>
      </c>
      <c r="I28">
        <f>100*100</f>
        <v>10000</v>
      </c>
      <c r="J28">
        <f>(100000000/I28*993)</f>
        <v>9930000</v>
      </c>
      <c r="K28">
        <f>J28*I28/10000</f>
        <v>9930000</v>
      </c>
      <c r="L28" s="5">
        <f>1/60/60/24</f>
        <v>1.1574074074074073E-5</v>
      </c>
      <c r="M28">
        <v>0</v>
      </c>
      <c r="N28" s="5">
        <v>1</v>
      </c>
      <c r="O28" s="5">
        <v>1</v>
      </c>
      <c r="P28" s="8">
        <v>0</v>
      </c>
      <c r="Q28" s="8">
        <v>0</v>
      </c>
      <c r="R28" s="8">
        <v>1</v>
      </c>
      <c r="S28" s="8">
        <v>0</v>
      </c>
      <c r="U28" t="s">
        <v>196</v>
      </c>
      <c r="V28" s="25" t="s">
        <v>212</v>
      </c>
    </row>
    <row r="29" spans="1:23" ht="15.75" customHeight="1">
      <c r="A29">
        <v>5</v>
      </c>
      <c r="B29" s="28">
        <v>23</v>
      </c>
      <c r="C29" s="7" t="s">
        <v>29</v>
      </c>
      <c r="D29" s="24" t="s">
        <v>192</v>
      </c>
      <c r="E29" s="7">
        <v>2011</v>
      </c>
      <c r="F29" s="19" t="s">
        <v>207</v>
      </c>
      <c r="G29" t="s">
        <v>193</v>
      </c>
      <c r="H29" t="s">
        <v>194</v>
      </c>
      <c r="I29">
        <v>900</v>
      </c>
      <c r="J29">
        <f>(100000000/I29*993)</f>
        <v>110333333.33333333</v>
      </c>
      <c r="K29">
        <f>J29*I29/10000</f>
        <v>9930000</v>
      </c>
      <c r="L29" s="5">
        <f>1/60/60/24</f>
        <v>1.1574074074074073E-5</v>
      </c>
      <c r="M29">
        <v>0</v>
      </c>
      <c r="N29" s="5">
        <v>1</v>
      </c>
      <c r="O29" s="5">
        <v>1</v>
      </c>
      <c r="P29">
        <v>0</v>
      </c>
      <c r="Q29">
        <v>0</v>
      </c>
      <c r="R29">
        <v>2</v>
      </c>
      <c r="S29">
        <v>0</v>
      </c>
      <c r="U29" t="s">
        <v>196</v>
      </c>
      <c r="V29" s="25" t="s">
        <v>209</v>
      </c>
    </row>
    <row r="30" spans="1:23" s="14" customFormat="1" ht="15.75" customHeight="1">
      <c r="B30" s="14">
        <v>24</v>
      </c>
      <c r="C30" s="9" t="s">
        <v>146</v>
      </c>
      <c r="D30" s="21" t="s">
        <v>197</v>
      </c>
      <c r="E30" s="9">
        <v>2009</v>
      </c>
      <c r="F30" s="21"/>
      <c r="V30" s="14" t="s">
        <v>40</v>
      </c>
      <c r="W30" s="14" t="s">
        <v>183</v>
      </c>
    </row>
    <row r="31" spans="1:23" s="14" customFormat="1" ht="15.75" customHeight="1">
      <c r="B31" s="14">
        <v>25</v>
      </c>
      <c r="C31" s="9" t="s">
        <v>144</v>
      </c>
      <c r="D31" s="21" t="s">
        <v>198</v>
      </c>
      <c r="E31" s="9">
        <v>2009</v>
      </c>
      <c r="F31" s="21"/>
      <c r="V31" s="14" t="s">
        <v>40</v>
      </c>
      <c r="W31" s="14" t="s">
        <v>199</v>
      </c>
    </row>
    <row r="32" spans="1:23" s="14" customFormat="1" ht="15.75" customHeight="1">
      <c r="B32" s="14">
        <v>26</v>
      </c>
      <c r="C32" s="9" t="s">
        <v>27</v>
      </c>
      <c r="D32" s="21" t="s">
        <v>147</v>
      </c>
      <c r="E32" s="9">
        <v>2005</v>
      </c>
      <c r="F32" s="21"/>
      <c r="V32" s="14" t="s">
        <v>40</v>
      </c>
      <c r="W32" s="14" t="s">
        <v>148</v>
      </c>
    </row>
    <row r="33" spans="1:23" s="14" customFormat="1" ht="15.75" customHeight="1">
      <c r="B33" s="14">
        <v>27</v>
      </c>
      <c r="C33" s="9" t="s">
        <v>27</v>
      </c>
      <c r="D33" s="21" t="s">
        <v>149</v>
      </c>
      <c r="E33" s="9">
        <v>2009</v>
      </c>
      <c r="F33" s="21"/>
      <c r="V33" s="14" t="s">
        <v>40</v>
      </c>
      <c r="W33" s="14" t="s">
        <v>148</v>
      </c>
    </row>
    <row r="34" spans="1:23" ht="15.75" customHeight="1">
      <c r="A34">
        <v>6</v>
      </c>
      <c r="B34" s="28">
        <v>28</v>
      </c>
      <c r="C34" s="7" t="s">
        <v>29</v>
      </c>
      <c r="D34" s="24" t="s">
        <v>200</v>
      </c>
      <c r="E34" s="7">
        <v>2005</v>
      </c>
      <c r="F34" s="19" t="s">
        <v>50</v>
      </c>
      <c r="G34" t="s">
        <v>201</v>
      </c>
      <c r="H34" t="s">
        <v>202</v>
      </c>
      <c r="I34">
        <f>2000*2000*8</f>
        <v>32000000</v>
      </c>
      <c r="J34">
        <v>2262</v>
      </c>
      <c r="K34">
        <f>J34*I34/10000</f>
        <v>7238400</v>
      </c>
      <c r="L34" s="5">
        <f>2/24</f>
        <v>8.3333333333333329E-2</v>
      </c>
      <c r="M34">
        <v>28</v>
      </c>
      <c r="N34" s="5">
        <f>M34*L34*8</f>
        <v>18.666666666666664</v>
      </c>
      <c r="O34" s="5">
        <f>4*30*4</f>
        <v>480</v>
      </c>
      <c r="P34">
        <v>3</v>
      </c>
      <c r="Q34">
        <v>1</v>
      </c>
      <c r="R34">
        <v>0</v>
      </c>
      <c r="S34">
        <v>1</v>
      </c>
      <c r="T34" t="s">
        <v>219</v>
      </c>
      <c r="U34" t="s">
        <v>213</v>
      </c>
      <c r="V34" s="30" t="s">
        <v>214</v>
      </c>
    </row>
    <row r="35" spans="1:23" ht="15.75" customHeight="1">
      <c r="A35">
        <v>6</v>
      </c>
      <c r="B35" s="28">
        <v>28</v>
      </c>
      <c r="C35" s="7" t="s">
        <v>29</v>
      </c>
      <c r="D35" s="24" t="s">
        <v>200</v>
      </c>
      <c r="E35" s="7">
        <v>2005</v>
      </c>
      <c r="F35" s="19" t="s">
        <v>216</v>
      </c>
      <c r="G35" t="s">
        <v>201</v>
      </c>
      <c r="H35" t="s">
        <v>202</v>
      </c>
      <c r="I35" s="31">
        <v>6368199.4000000004</v>
      </c>
      <c r="J35">
        <v>38254</v>
      </c>
      <c r="K35">
        <f>J35*I35/10000</f>
        <v>24360909.984760001</v>
      </c>
      <c r="L35" s="5">
        <v>1</v>
      </c>
      <c r="M35">
        <v>0</v>
      </c>
      <c r="N35">
        <v>1</v>
      </c>
      <c r="O35" s="5">
        <v>365</v>
      </c>
      <c r="P35">
        <v>0</v>
      </c>
      <c r="Q35">
        <v>1</v>
      </c>
      <c r="R35">
        <v>0</v>
      </c>
      <c r="S35">
        <v>0</v>
      </c>
      <c r="U35" t="s">
        <v>196</v>
      </c>
      <c r="V35" s="25" t="s">
        <v>215</v>
      </c>
    </row>
    <row r="36" spans="1:23" ht="15.75" customHeight="1">
      <c r="A36">
        <v>6</v>
      </c>
      <c r="B36" s="28">
        <v>28</v>
      </c>
      <c r="C36" s="7" t="s">
        <v>29</v>
      </c>
      <c r="D36" s="24" t="s">
        <v>200</v>
      </c>
      <c r="E36" s="7">
        <v>2005</v>
      </c>
      <c r="F36" s="19" t="s">
        <v>238</v>
      </c>
      <c r="G36" t="s">
        <v>201</v>
      </c>
      <c r="H36" t="s">
        <v>202</v>
      </c>
      <c r="I36">
        <f>PI()*(0.5^2)</f>
        <v>0.78539816339744828</v>
      </c>
      <c r="J36">
        <v>270</v>
      </c>
      <c r="K36">
        <f>J36*I36/10000</f>
        <v>2.1205750411731103E-2</v>
      </c>
      <c r="L36" s="5">
        <f>1/60/60/24</f>
        <v>1.1574074074074073E-5</v>
      </c>
      <c r="M36">
        <v>30</v>
      </c>
      <c r="N36" s="5">
        <f>30*3*30*L36</f>
        <v>3.125E-2</v>
      </c>
      <c r="O36" s="5">
        <f>40*365</f>
        <v>14600</v>
      </c>
      <c r="P36">
        <v>0</v>
      </c>
      <c r="Q36">
        <v>0</v>
      </c>
      <c r="R36">
        <v>1</v>
      </c>
      <c r="S36">
        <v>0</v>
      </c>
      <c r="T36" t="s">
        <v>218</v>
      </c>
      <c r="U36" t="s">
        <v>196</v>
      </c>
      <c r="V36" s="25" t="s">
        <v>217</v>
      </c>
    </row>
    <row r="37" spans="1:23" s="14" customFormat="1" ht="15.75" customHeight="1">
      <c r="B37" s="14">
        <v>29</v>
      </c>
      <c r="C37" s="9" t="s">
        <v>144</v>
      </c>
      <c r="D37" s="21" t="s">
        <v>203</v>
      </c>
      <c r="E37" s="9">
        <v>2009</v>
      </c>
      <c r="F37" s="21"/>
      <c r="V37" s="14" t="s">
        <v>40</v>
      </c>
      <c r="W37" s="14" t="s">
        <v>204</v>
      </c>
    </row>
    <row r="38" spans="1:23" s="14" customFormat="1" ht="15.75" customHeight="1">
      <c r="B38" s="14">
        <v>30</v>
      </c>
      <c r="C38" s="9" t="s">
        <v>146</v>
      </c>
      <c r="D38" s="21" t="s">
        <v>150</v>
      </c>
      <c r="E38" s="9">
        <v>2007</v>
      </c>
      <c r="F38" s="21"/>
      <c r="V38" s="14" t="s">
        <v>40</v>
      </c>
      <c r="W38" s="14" t="s">
        <v>109</v>
      </c>
    </row>
    <row r="39" spans="1:23" s="21" customFormat="1" ht="15.75" customHeight="1">
      <c r="B39" s="21">
        <v>31</v>
      </c>
      <c r="C39" s="9" t="s">
        <v>31</v>
      </c>
      <c r="D39" s="21" t="s">
        <v>221</v>
      </c>
      <c r="E39" s="9">
        <v>2013</v>
      </c>
      <c r="V39" s="21" t="s">
        <v>40</v>
      </c>
      <c r="W39" s="21" t="s">
        <v>93</v>
      </c>
    </row>
    <row r="40" spans="1:23" s="21" customFormat="1" ht="15.75" customHeight="1">
      <c r="B40" s="21">
        <v>32</v>
      </c>
      <c r="C40" s="9" t="s">
        <v>142</v>
      </c>
      <c r="D40" s="21" t="s">
        <v>222</v>
      </c>
      <c r="E40" s="9">
        <v>2006</v>
      </c>
      <c r="V40" s="21" t="s">
        <v>223</v>
      </c>
      <c r="W40" s="21" t="s">
        <v>190</v>
      </c>
    </row>
    <row r="41" spans="1:23" s="21" customFormat="1" ht="15.75" customHeight="1">
      <c r="B41" s="21">
        <v>33</v>
      </c>
      <c r="C41" s="9" t="s">
        <v>142</v>
      </c>
      <c r="D41" s="21" t="s">
        <v>224</v>
      </c>
      <c r="E41" s="9">
        <v>2007</v>
      </c>
      <c r="V41" s="21" t="s">
        <v>40</v>
      </c>
      <c r="W41" s="21" t="s">
        <v>93</v>
      </c>
    </row>
    <row r="42" spans="1:23" s="21" customFormat="1" ht="15.75" customHeight="1">
      <c r="B42" s="21">
        <v>34</v>
      </c>
      <c r="C42" s="9" t="s">
        <v>32</v>
      </c>
      <c r="D42" s="21" t="s">
        <v>225</v>
      </c>
      <c r="E42" s="9">
        <v>2011</v>
      </c>
      <c r="V42" s="21" t="s">
        <v>40</v>
      </c>
      <c r="W42" s="21" t="s">
        <v>93</v>
      </c>
    </row>
    <row r="43" spans="1:23" s="24" customFormat="1" ht="15.75" customHeight="1">
      <c r="A43" s="24">
        <v>7</v>
      </c>
      <c r="B43" s="24">
        <v>35</v>
      </c>
      <c r="C43" s="26" t="s">
        <v>31</v>
      </c>
      <c r="D43" s="24" t="s">
        <v>226</v>
      </c>
      <c r="E43" s="26">
        <v>2007</v>
      </c>
      <c r="F43" s="24" t="s">
        <v>50</v>
      </c>
      <c r="G43" s="22" t="s">
        <v>227</v>
      </c>
      <c r="H43" s="24" t="s">
        <v>228</v>
      </c>
      <c r="I43" s="24">
        <f>((2*196)+273+45)/198</f>
        <v>3.5858585858585861</v>
      </c>
      <c r="J43" s="24">
        <v>198</v>
      </c>
      <c r="K43" s="24">
        <f>J43*I43/10000</f>
        <v>7.0999999999999994E-2</v>
      </c>
      <c r="L43" s="24">
        <f>(28)/196</f>
        <v>0.14285714285714285</v>
      </c>
      <c r="M43" s="24">
        <v>365</v>
      </c>
      <c r="N43" s="24">
        <f>L43*196</f>
        <v>28</v>
      </c>
      <c r="O43" s="24">
        <f>10*365</f>
        <v>3650</v>
      </c>
      <c r="P43" s="24">
        <v>3</v>
      </c>
      <c r="Q43" s="24">
        <v>0</v>
      </c>
      <c r="R43" s="27">
        <v>1</v>
      </c>
      <c r="S43" s="27">
        <v>0</v>
      </c>
      <c r="V43" s="24" t="s">
        <v>229</v>
      </c>
    </row>
    <row r="44" spans="1:23" s="24" customFormat="1" ht="15.75" customHeight="1">
      <c r="A44" s="24">
        <v>7</v>
      </c>
      <c r="B44" s="24">
        <v>35</v>
      </c>
      <c r="C44" s="26" t="s">
        <v>31</v>
      </c>
      <c r="D44" s="24" t="s">
        <v>226</v>
      </c>
      <c r="E44" s="26">
        <v>2007</v>
      </c>
      <c r="F44" s="24" t="s">
        <v>50</v>
      </c>
      <c r="G44" s="22" t="s">
        <v>227</v>
      </c>
      <c r="H44" s="24" t="s">
        <v>228</v>
      </c>
      <c r="I44" s="24">
        <f>((2*196)+273+45)/198</f>
        <v>3.5858585858585861</v>
      </c>
      <c r="J44" s="24">
        <v>198</v>
      </c>
      <c r="K44" s="24">
        <f>J44*I44/10000</f>
        <v>7.0999999999999994E-2</v>
      </c>
      <c r="L44" s="24">
        <f>(31)/196</f>
        <v>0.15816326530612246</v>
      </c>
      <c r="M44" s="24">
        <v>365</v>
      </c>
      <c r="N44" s="24">
        <f>L44*196</f>
        <v>31</v>
      </c>
      <c r="O44" s="24">
        <f>10*365</f>
        <v>3650</v>
      </c>
      <c r="P44" s="24">
        <v>3</v>
      </c>
      <c r="Q44" s="24">
        <v>1</v>
      </c>
      <c r="R44" s="27">
        <v>1</v>
      </c>
      <c r="S44" s="27">
        <v>0</v>
      </c>
      <c r="V44" s="24" t="s">
        <v>230</v>
      </c>
    </row>
    <row r="45" spans="1:23" s="24" customFormat="1" ht="15.75" customHeight="1">
      <c r="A45" s="24">
        <v>7</v>
      </c>
      <c r="B45" s="24">
        <v>35</v>
      </c>
      <c r="C45" s="26" t="s">
        <v>31</v>
      </c>
      <c r="D45" s="24" t="s">
        <v>226</v>
      </c>
      <c r="E45" s="26">
        <v>2007</v>
      </c>
      <c r="F45" s="24" t="s">
        <v>50</v>
      </c>
      <c r="G45" s="22" t="s">
        <v>227</v>
      </c>
      <c r="H45" s="24" t="s">
        <v>228</v>
      </c>
      <c r="I45" s="24">
        <f>((2*196)+273+45)/198</f>
        <v>3.5858585858585861</v>
      </c>
      <c r="J45" s="24">
        <v>198</v>
      </c>
      <c r="K45" s="24">
        <f>J45*I45/10000</f>
        <v>7.0999999999999994E-2</v>
      </c>
      <c r="L45" s="24">
        <f>5/196</f>
        <v>2.5510204081632654E-2</v>
      </c>
      <c r="M45" s="24">
        <f>(365*7)/5</f>
        <v>511</v>
      </c>
      <c r="N45" s="24">
        <f>L45*196</f>
        <v>5</v>
      </c>
      <c r="O45" s="24">
        <f>7*365</f>
        <v>2555</v>
      </c>
      <c r="P45" s="24">
        <v>3</v>
      </c>
      <c r="Q45" s="24">
        <v>1</v>
      </c>
      <c r="R45" s="24">
        <v>0</v>
      </c>
      <c r="S45" s="27">
        <v>0</v>
      </c>
      <c r="V45" s="24" t="s">
        <v>231</v>
      </c>
    </row>
    <row r="46" spans="1:23" s="24" customFormat="1" ht="15.75" customHeight="1">
      <c r="A46" s="27">
        <v>7</v>
      </c>
      <c r="B46" s="24">
        <v>35</v>
      </c>
      <c r="C46" s="26" t="s">
        <v>31</v>
      </c>
      <c r="D46" s="24" t="s">
        <v>226</v>
      </c>
      <c r="E46" s="26">
        <v>2007</v>
      </c>
      <c r="F46" s="24" t="s">
        <v>50</v>
      </c>
      <c r="G46" s="22" t="s">
        <v>227</v>
      </c>
      <c r="H46" s="24" t="s">
        <v>228</v>
      </c>
      <c r="I46" s="24">
        <f>(0.4*0.05)</f>
        <v>2.0000000000000004E-2</v>
      </c>
      <c r="J46" s="24">
        <v>20</v>
      </c>
      <c r="K46" s="24">
        <f>J46*I46/10000</f>
        <v>4.000000000000001E-5</v>
      </c>
      <c r="L46" s="24">
        <f>20/196</f>
        <v>0.10204081632653061</v>
      </c>
      <c r="M46" s="24">
        <f>(365*4)/3</f>
        <v>486.66666666666669</v>
      </c>
      <c r="N46" s="24">
        <f>L46*196</f>
        <v>20</v>
      </c>
      <c r="O46" s="24">
        <f>4*365</f>
        <v>1460</v>
      </c>
      <c r="P46" s="24">
        <v>3</v>
      </c>
      <c r="Q46" s="24">
        <v>1</v>
      </c>
      <c r="R46" s="24">
        <v>0</v>
      </c>
      <c r="S46" s="27">
        <v>0</v>
      </c>
      <c r="U46" s="24" t="s">
        <v>233</v>
      </c>
      <c r="V46" s="24" t="s">
        <v>232</v>
      </c>
    </row>
    <row r="47" spans="1:23" s="21" customFormat="1" ht="15.75" customHeight="1">
      <c r="B47" s="21">
        <v>36</v>
      </c>
      <c r="C47" s="9" t="s">
        <v>27</v>
      </c>
      <c r="D47" s="21" t="s">
        <v>234</v>
      </c>
      <c r="E47" s="9">
        <v>2006</v>
      </c>
      <c r="V47" s="21" t="s">
        <v>40</v>
      </c>
      <c r="W47" s="21" t="s">
        <v>235</v>
      </c>
    </row>
    <row r="48" spans="1:23" s="21" customFormat="1" ht="15.75" customHeight="1">
      <c r="B48" s="21">
        <v>37</v>
      </c>
      <c r="C48" s="9" t="s">
        <v>32</v>
      </c>
      <c r="D48" s="21" t="s">
        <v>236</v>
      </c>
      <c r="E48" s="9">
        <v>2009</v>
      </c>
      <c r="V48" s="21" t="s">
        <v>40</v>
      </c>
      <c r="W48" s="21" t="s">
        <v>237</v>
      </c>
    </row>
    <row r="49" spans="1:23" s="21" customFormat="1" ht="15.75" customHeight="1">
      <c r="B49" s="21">
        <v>38</v>
      </c>
      <c r="C49" s="9" t="s">
        <v>33</v>
      </c>
      <c r="D49" s="21" t="s">
        <v>206</v>
      </c>
      <c r="E49" s="21">
        <v>2011</v>
      </c>
      <c r="V49" s="21" t="s">
        <v>40</v>
      </c>
      <c r="W49" s="21" t="s">
        <v>155</v>
      </c>
    </row>
    <row r="50" spans="1:23" s="21" customFormat="1" ht="15.75" customHeight="1">
      <c r="B50" s="21">
        <v>39</v>
      </c>
      <c r="C50" s="9" t="s">
        <v>146</v>
      </c>
      <c r="D50" s="21" t="s">
        <v>205</v>
      </c>
      <c r="E50" s="21">
        <v>2004</v>
      </c>
      <c r="V50" s="21" t="s">
        <v>40</v>
      </c>
      <c r="W50" s="21" t="s">
        <v>109</v>
      </c>
    </row>
    <row r="51" spans="1:23" s="14" customFormat="1" ht="15.75" customHeight="1">
      <c r="B51" s="21">
        <v>40</v>
      </c>
      <c r="C51" s="9" t="s">
        <v>32</v>
      </c>
      <c r="D51" s="21" t="s">
        <v>242</v>
      </c>
      <c r="E51" s="9">
        <v>2007</v>
      </c>
      <c r="V51" s="21" t="s">
        <v>40</v>
      </c>
      <c r="W51" s="21" t="s">
        <v>155</v>
      </c>
    </row>
    <row r="52" spans="1:23" s="14" customFormat="1" ht="15.75" customHeight="1">
      <c r="B52" s="21">
        <v>41</v>
      </c>
      <c r="C52" s="9" t="s">
        <v>38</v>
      </c>
      <c r="D52" s="21" t="s">
        <v>243</v>
      </c>
      <c r="E52" s="9">
        <v>2009</v>
      </c>
      <c r="V52" s="21" t="s">
        <v>40</v>
      </c>
      <c r="W52" s="21" t="s">
        <v>93</v>
      </c>
    </row>
    <row r="53" spans="1:23" s="14" customFormat="1" ht="15.75" customHeight="1">
      <c r="B53" s="21">
        <v>42</v>
      </c>
      <c r="C53" s="9" t="s">
        <v>34</v>
      </c>
      <c r="D53" s="21" t="s">
        <v>244</v>
      </c>
      <c r="E53" s="9">
        <v>2005</v>
      </c>
      <c r="V53" s="21" t="s">
        <v>40</v>
      </c>
      <c r="W53" s="21" t="s">
        <v>93</v>
      </c>
    </row>
    <row r="54" spans="1:23" s="14" customFormat="1" ht="15.75" customHeight="1">
      <c r="B54" s="21">
        <v>43</v>
      </c>
      <c r="C54" s="9" t="s">
        <v>239</v>
      </c>
      <c r="D54" s="21" t="s">
        <v>245</v>
      </c>
      <c r="E54" s="9">
        <v>2004</v>
      </c>
      <c r="V54" s="21" t="s">
        <v>40</v>
      </c>
      <c r="W54" s="21" t="s">
        <v>136</v>
      </c>
    </row>
    <row r="55" spans="1:23" s="14" customFormat="1" ht="15.75" customHeight="1">
      <c r="B55" s="21">
        <v>44</v>
      </c>
      <c r="C55" s="9" t="s">
        <v>32</v>
      </c>
      <c r="D55" s="21" t="s">
        <v>246</v>
      </c>
      <c r="E55" s="9">
        <v>2004</v>
      </c>
      <c r="V55" s="21" t="s">
        <v>40</v>
      </c>
      <c r="W55" s="21" t="s">
        <v>247</v>
      </c>
    </row>
    <row r="56" spans="1:23" s="14" customFormat="1" ht="15.75" customHeight="1">
      <c r="B56" s="21">
        <v>45</v>
      </c>
      <c r="C56" s="9" t="s">
        <v>38</v>
      </c>
      <c r="D56" s="21" t="s">
        <v>248</v>
      </c>
      <c r="E56" s="9">
        <v>2012</v>
      </c>
      <c r="V56" s="21" t="s">
        <v>40</v>
      </c>
      <c r="W56" s="21" t="s">
        <v>93</v>
      </c>
    </row>
    <row r="57" spans="1:23" s="14" customFormat="1" ht="15.75" customHeight="1">
      <c r="B57" s="21">
        <v>46</v>
      </c>
      <c r="C57" s="9" t="s">
        <v>35</v>
      </c>
      <c r="D57" s="21" t="s">
        <v>249</v>
      </c>
      <c r="E57" s="9">
        <v>2008</v>
      </c>
      <c r="V57" s="21" t="s">
        <v>40</v>
      </c>
      <c r="W57" s="21" t="s">
        <v>136</v>
      </c>
    </row>
    <row r="58" spans="1:23" s="14" customFormat="1" ht="15.75" customHeight="1">
      <c r="B58" s="21">
        <v>47</v>
      </c>
      <c r="C58" s="9" t="s">
        <v>240</v>
      </c>
      <c r="D58" s="21" t="s">
        <v>250</v>
      </c>
      <c r="E58" s="9">
        <v>2013</v>
      </c>
      <c r="G58" s="9"/>
      <c r="V58" s="21" t="s">
        <v>40</v>
      </c>
      <c r="W58" s="21" t="s">
        <v>251</v>
      </c>
    </row>
    <row r="59" spans="1:23" ht="15.75" customHeight="1">
      <c r="A59">
        <v>8</v>
      </c>
      <c r="B59" s="24">
        <v>48</v>
      </c>
      <c r="C59" s="7" t="s">
        <v>35</v>
      </c>
      <c r="D59" s="24" t="s">
        <v>252</v>
      </c>
      <c r="E59" s="7">
        <v>2012</v>
      </c>
      <c r="F59" t="s">
        <v>50</v>
      </c>
      <c r="G59" s="7" t="s">
        <v>254</v>
      </c>
      <c r="H59" s="7" t="s">
        <v>253</v>
      </c>
      <c r="I59">
        <v>0.104835</v>
      </c>
      <c r="J59">
        <v>160</v>
      </c>
      <c r="K59">
        <f t="shared" ref="K59:K64" si="0">J59*I59/10000</f>
        <v>1.6773599999999999E-3</v>
      </c>
      <c r="L59">
        <f>60/160</f>
        <v>0.375</v>
      </c>
      <c r="M59">
        <v>0</v>
      </c>
      <c r="N59">
        <f>L59*160</f>
        <v>60</v>
      </c>
      <c r="O59">
        <v>60</v>
      </c>
      <c r="P59">
        <v>3</v>
      </c>
      <c r="Q59">
        <v>2</v>
      </c>
      <c r="R59">
        <v>0</v>
      </c>
      <c r="S59">
        <v>0</v>
      </c>
      <c r="U59" t="s">
        <v>176</v>
      </c>
      <c r="V59" s="24" t="s">
        <v>255</v>
      </c>
    </row>
    <row r="60" spans="1:23" ht="15.75" customHeight="1">
      <c r="A60">
        <v>8</v>
      </c>
      <c r="B60" s="24">
        <v>48</v>
      </c>
      <c r="C60" s="7" t="s">
        <v>35</v>
      </c>
      <c r="D60" s="24" t="s">
        <v>252</v>
      </c>
      <c r="E60" s="7">
        <v>2012</v>
      </c>
      <c r="F60" t="s">
        <v>50</v>
      </c>
      <c r="G60" s="7" t="s">
        <v>254</v>
      </c>
      <c r="H60" s="7" t="s">
        <v>253</v>
      </c>
      <c r="I60">
        <v>0.104835</v>
      </c>
      <c r="J60">
        <v>240</v>
      </c>
      <c r="K60">
        <f t="shared" si="0"/>
        <v>2.5160399999999998E-3</v>
      </c>
      <c r="L60">
        <f>60/240</f>
        <v>0.25</v>
      </c>
      <c r="M60">
        <v>0</v>
      </c>
      <c r="N60">
        <f>L60*240</f>
        <v>60</v>
      </c>
      <c r="O60">
        <v>60</v>
      </c>
      <c r="P60">
        <v>3</v>
      </c>
      <c r="Q60">
        <v>1</v>
      </c>
      <c r="R60">
        <v>0</v>
      </c>
      <c r="S60">
        <v>2</v>
      </c>
      <c r="U60" t="s">
        <v>176</v>
      </c>
      <c r="V60" s="24" t="s">
        <v>256</v>
      </c>
    </row>
    <row r="61" spans="1:23" ht="15.75" customHeight="1">
      <c r="A61">
        <v>8</v>
      </c>
      <c r="B61" s="24">
        <v>48</v>
      </c>
      <c r="C61" s="7" t="s">
        <v>35</v>
      </c>
      <c r="D61" s="24" t="s">
        <v>252</v>
      </c>
      <c r="E61" s="7">
        <v>2012</v>
      </c>
      <c r="F61" t="s">
        <v>50</v>
      </c>
      <c r="G61" s="7" t="s">
        <v>254</v>
      </c>
      <c r="H61" s="7" t="s">
        <v>253</v>
      </c>
      <c r="I61">
        <v>0.104835</v>
      </c>
      <c r="J61">
        <v>64</v>
      </c>
      <c r="K61">
        <f t="shared" si="0"/>
        <v>6.7094400000000003E-4</v>
      </c>
      <c r="L61">
        <f>1/64</f>
        <v>1.5625E-2</v>
      </c>
      <c r="M61">
        <v>0</v>
      </c>
      <c r="N61">
        <f>L61*64</f>
        <v>1</v>
      </c>
      <c r="O61">
        <v>1</v>
      </c>
      <c r="P61">
        <v>3</v>
      </c>
      <c r="Q61">
        <v>1</v>
      </c>
      <c r="R61">
        <v>0</v>
      </c>
      <c r="S61">
        <v>2</v>
      </c>
      <c r="U61" t="s">
        <v>233</v>
      </c>
      <c r="V61" s="24" t="s">
        <v>257</v>
      </c>
    </row>
    <row r="62" spans="1:23" ht="15.75" customHeight="1">
      <c r="A62">
        <v>8</v>
      </c>
      <c r="B62" s="24">
        <v>48</v>
      </c>
      <c r="C62" s="7" t="s">
        <v>35</v>
      </c>
      <c r="D62" s="24" t="s">
        <v>252</v>
      </c>
      <c r="E62" s="7">
        <v>2012</v>
      </c>
      <c r="F62" t="s">
        <v>50</v>
      </c>
      <c r="G62" s="7" t="s">
        <v>254</v>
      </c>
      <c r="H62" s="7" t="s">
        <v>253</v>
      </c>
      <c r="I62" s="33">
        <f>(0.1*0.05)*20</f>
        <v>0.10000000000000002</v>
      </c>
      <c r="J62">
        <v>64</v>
      </c>
      <c r="K62" s="33">
        <f t="shared" si="0"/>
        <v>6.4000000000000016E-4</v>
      </c>
      <c r="L62">
        <f>1/64</f>
        <v>1.5625E-2</v>
      </c>
      <c r="M62">
        <v>0</v>
      </c>
      <c r="N62">
        <f>L62*64</f>
        <v>1</v>
      </c>
      <c r="O62">
        <v>1</v>
      </c>
      <c r="P62">
        <v>3</v>
      </c>
      <c r="Q62">
        <v>2</v>
      </c>
      <c r="R62">
        <v>0</v>
      </c>
      <c r="S62">
        <v>0</v>
      </c>
      <c r="U62" t="s">
        <v>233</v>
      </c>
      <c r="V62" s="27" t="s">
        <v>258</v>
      </c>
    </row>
    <row r="63" spans="1:23" ht="15.75" customHeight="1">
      <c r="A63">
        <v>8</v>
      </c>
      <c r="B63" s="24">
        <v>48</v>
      </c>
      <c r="C63" s="7" t="s">
        <v>35</v>
      </c>
      <c r="D63" s="24" t="s">
        <v>252</v>
      </c>
      <c r="E63" s="7">
        <v>2012</v>
      </c>
      <c r="F63" t="s">
        <v>50</v>
      </c>
      <c r="G63" s="7" t="s">
        <v>254</v>
      </c>
      <c r="H63" s="7" t="s">
        <v>253</v>
      </c>
      <c r="I63">
        <f>(0.2*0.2)*3</f>
        <v>0.12000000000000002</v>
      </c>
      <c r="J63">
        <v>64</v>
      </c>
      <c r="K63">
        <f t="shared" si="0"/>
        <v>7.6800000000000013E-4</v>
      </c>
      <c r="L63">
        <f>1/64</f>
        <v>1.5625E-2</v>
      </c>
      <c r="M63">
        <v>0</v>
      </c>
      <c r="N63">
        <f>L63*64</f>
        <v>1</v>
      </c>
      <c r="O63">
        <v>1</v>
      </c>
      <c r="P63">
        <v>0</v>
      </c>
      <c r="Q63">
        <v>2</v>
      </c>
      <c r="R63">
        <v>0</v>
      </c>
      <c r="S63">
        <v>0</v>
      </c>
      <c r="U63" t="s">
        <v>233</v>
      </c>
      <c r="V63" s="27" t="s">
        <v>259</v>
      </c>
    </row>
    <row r="64" spans="1:23" ht="15.75" customHeight="1">
      <c r="A64">
        <v>8</v>
      </c>
      <c r="B64" s="24">
        <v>48</v>
      </c>
      <c r="C64" s="7" t="s">
        <v>35</v>
      </c>
      <c r="D64" s="24" t="s">
        <v>252</v>
      </c>
      <c r="E64" s="7">
        <v>2012</v>
      </c>
      <c r="F64" t="s">
        <v>238</v>
      </c>
      <c r="G64" s="7" t="s">
        <v>254</v>
      </c>
      <c r="H64" s="7" t="s">
        <v>253</v>
      </c>
      <c r="I64">
        <f>PI()*((0.016/2)^2)</f>
        <v>2.0106192982974675E-4</v>
      </c>
      <c r="J64">
        <v>16</v>
      </c>
      <c r="K64">
        <f t="shared" si="0"/>
        <v>3.2169908772759479E-7</v>
      </c>
      <c r="L64" s="5">
        <f>1/60/60/24</f>
        <v>1.1574074074074073E-5</v>
      </c>
      <c r="M64">
        <f>5/60/24</f>
        <v>3.472222222222222E-3</v>
      </c>
      <c r="N64">
        <f>12*24*60*L64</f>
        <v>0.19999999999999998</v>
      </c>
      <c r="O64">
        <v>60</v>
      </c>
      <c r="P64">
        <v>0</v>
      </c>
      <c r="Q64">
        <v>0</v>
      </c>
      <c r="R64">
        <v>1</v>
      </c>
      <c r="S64">
        <v>0</v>
      </c>
      <c r="U64" t="s">
        <v>153</v>
      </c>
      <c r="V64" s="27" t="s">
        <v>260</v>
      </c>
    </row>
    <row r="65" spans="1:23" s="14" customFormat="1" ht="15.75" customHeight="1">
      <c r="B65" s="21">
        <v>49</v>
      </c>
      <c r="C65" s="9" t="s">
        <v>27</v>
      </c>
      <c r="D65" s="21" t="s">
        <v>261</v>
      </c>
      <c r="E65" s="9">
        <v>2010</v>
      </c>
      <c r="V65" s="21" t="s">
        <v>40</v>
      </c>
      <c r="W65" s="14" t="s">
        <v>247</v>
      </c>
    </row>
    <row r="66" spans="1:23" s="14" customFormat="1" ht="15.75" customHeight="1">
      <c r="B66" s="21">
        <v>50</v>
      </c>
      <c r="C66" s="9" t="s">
        <v>33</v>
      </c>
      <c r="D66" s="21" t="s">
        <v>241</v>
      </c>
      <c r="E66" s="9">
        <v>2006</v>
      </c>
      <c r="V66" s="21" t="s">
        <v>40</v>
      </c>
      <c r="W66" s="14" t="s">
        <v>247</v>
      </c>
    </row>
    <row r="67" spans="1:23" s="14" customFormat="1" ht="15.75" customHeight="1">
      <c r="B67" s="21">
        <v>51</v>
      </c>
      <c r="C67" s="9" t="s">
        <v>32</v>
      </c>
      <c r="D67" s="21" t="s">
        <v>267</v>
      </c>
      <c r="E67" s="9">
        <v>2009</v>
      </c>
      <c r="V67" s="21" t="s">
        <v>40</v>
      </c>
      <c r="W67" s="14" t="s">
        <v>93</v>
      </c>
    </row>
    <row r="68" spans="1:23" s="14" customFormat="1" ht="15.75" customHeight="1">
      <c r="B68" s="21">
        <v>52</v>
      </c>
      <c r="C68" s="9" t="s">
        <v>37</v>
      </c>
      <c r="D68" s="21" t="s">
        <v>268</v>
      </c>
      <c r="E68" s="9">
        <v>2014</v>
      </c>
      <c r="V68" s="21" t="s">
        <v>40</v>
      </c>
      <c r="W68" s="14" t="s">
        <v>109</v>
      </c>
    </row>
    <row r="69" spans="1:23" s="14" customFormat="1" ht="15.75" customHeight="1">
      <c r="B69" s="21">
        <v>53</v>
      </c>
      <c r="C69" s="9" t="s">
        <v>32</v>
      </c>
      <c r="D69" s="21" t="s">
        <v>269</v>
      </c>
      <c r="E69" s="9">
        <v>2007</v>
      </c>
      <c r="V69" s="21" t="s">
        <v>40</v>
      </c>
      <c r="W69" s="14" t="s">
        <v>93</v>
      </c>
    </row>
    <row r="70" spans="1:23" s="14" customFormat="1" ht="15.75" customHeight="1">
      <c r="B70" s="21">
        <v>54</v>
      </c>
      <c r="C70" s="9" t="s">
        <v>266</v>
      </c>
      <c r="D70" s="21" t="s">
        <v>270</v>
      </c>
      <c r="E70" s="9">
        <v>2011</v>
      </c>
      <c r="V70" s="21" t="s">
        <v>40</v>
      </c>
      <c r="W70" s="14" t="s">
        <v>155</v>
      </c>
    </row>
    <row r="71" spans="1:23" ht="15.75" customHeight="1">
      <c r="A71">
        <v>9</v>
      </c>
      <c r="B71" s="19">
        <v>55</v>
      </c>
      <c r="C71" s="7" t="s">
        <v>240</v>
      </c>
      <c r="D71" s="24" t="s">
        <v>271</v>
      </c>
      <c r="E71" s="7">
        <v>2010</v>
      </c>
      <c r="F71" t="s">
        <v>50</v>
      </c>
      <c r="G71" s="7" t="s">
        <v>283</v>
      </c>
      <c r="H71" t="s">
        <v>272</v>
      </c>
      <c r="I71">
        <f>PI()*((0.0483/2)^2)</f>
        <v>1.8322475214082733E-3</v>
      </c>
      <c r="J71">
        <v>1</v>
      </c>
      <c r="K71">
        <f t="shared" ref="K71:K77" si="1">J71*I71/10000</f>
        <v>1.8322475214082733E-7</v>
      </c>
      <c r="L71" s="5">
        <f>1/60/60/24</f>
        <v>1.1574074074074073E-5</v>
      </c>
      <c r="M71">
        <v>32</v>
      </c>
      <c r="N71">
        <f>((365*2)/32)*L71</f>
        <v>2.6403356481481482E-4</v>
      </c>
      <c r="O71">
        <f>365*2</f>
        <v>730</v>
      </c>
      <c r="P71">
        <v>0</v>
      </c>
      <c r="Q71">
        <v>0</v>
      </c>
      <c r="R71">
        <v>1</v>
      </c>
      <c r="S71">
        <v>0</v>
      </c>
      <c r="U71" t="s">
        <v>275</v>
      </c>
      <c r="V71" s="24" t="s">
        <v>273</v>
      </c>
    </row>
    <row r="72" spans="1:23" ht="15.75" customHeight="1">
      <c r="A72">
        <v>9</v>
      </c>
      <c r="B72" s="19">
        <v>55</v>
      </c>
      <c r="C72" s="7" t="s">
        <v>240</v>
      </c>
      <c r="D72" s="24" t="s">
        <v>271</v>
      </c>
      <c r="E72" s="7">
        <v>2010</v>
      </c>
      <c r="F72" t="s">
        <v>50</v>
      </c>
      <c r="G72" s="7" t="s">
        <v>283</v>
      </c>
      <c r="H72" t="s">
        <v>272</v>
      </c>
      <c r="I72">
        <f>PI()*((0.33/2)^2)</f>
        <v>8.5529859993982132E-2</v>
      </c>
      <c r="J72">
        <v>1</v>
      </c>
      <c r="K72">
        <f t="shared" si="1"/>
        <v>8.5529859993982129E-6</v>
      </c>
      <c r="L72" s="5">
        <f>1/60/60/24</f>
        <v>1.1574074074074073E-5</v>
      </c>
      <c r="M72">
        <v>32</v>
      </c>
      <c r="N72">
        <f>((365*2)/32)*L72</f>
        <v>2.6403356481481482E-4</v>
      </c>
      <c r="O72">
        <f>365*2</f>
        <v>730</v>
      </c>
      <c r="P72">
        <v>0</v>
      </c>
      <c r="Q72">
        <v>0</v>
      </c>
      <c r="R72">
        <v>2</v>
      </c>
      <c r="S72">
        <v>0</v>
      </c>
      <c r="U72" t="s">
        <v>275</v>
      </c>
      <c r="V72" s="24" t="s">
        <v>276</v>
      </c>
    </row>
    <row r="73" spans="1:23" ht="15.75" customHeight="1">
      <c r="A73">
        <v>9</v>
      </c>
      <c r="B73" s="19">
        <v>55</v>
      </c>
      <c r="C73" s="7" t="s">
        <v>240</v>
      </c>
      <c r="D73" s="24" t="s">
        <v>271</v>
      </c>
      <c r="E73" s="7">
        <v>2010</v>
      </c>
      <c r="F73" t="s">
        <v>238</v>
      </c>
      <c r="G73" s="7" t="s">
        <v>283</v>
      </c>
      <c r="H73" t="s">
        <v>272</v>
      </c>
      <c r="I73">
        <f>PI()*((0.2/2)^2)</f>
        <v>3.1415926535897934E-2</v>
      </c>
      <c r="J73">
        <v>1</v>
      </c>
      <c r="K73">
        <f t="shared" si="1"/>
        <v>3.1415926535897933E-6</v>
      </c>
      <c r="L73" s="5">
        <f>1/60/60/24</f>
        <v>1.1574074074074073E-5</v>
      </c>
      <c r="M73">
        <f>1/24</f>
        <v>4.1666666666666664E-2</v>
      </c>
      <c r="N73">
        <f>((120*24)*L73)</f>
        <v>3.3333333333333333E-2</v>
      </c>
      <c r="O73">
        <v>317</v>
      </c>
      <c r="P73">
        <v>0</v>
      </c>
      <c r="Q73">
        <v>0</v>
      </c>
      <c r="R73">
        <v>2</v>
      </c>
      <c r="S73">
        <v>0</v>
      </c>
      <c r="U73" t="s">
        <v>233</v>
      </c>
      <c r="V73" s="24" t="s">
        <v>278</v>
      </c>
    </row>
    <row r="74" spans="1:23" ht="15.75" customHeight="1">
      <c r="A74">
        <v>9</v>
      </c>
      <c r="B74" s="19">
        <v>55</v>
      </c>
      <c r="C74" s="7" t="s">
        <v>240</v>
      </c>
      <c r="D74" s="24" t="s">
        <v>271</v>
      </c>
      <c r="E74" s="7">
        <v>2010</v>
      </c>
      <c r="F74" t="s">
        <v>238</v>
      </c>
      <c r="G74" s="7" t="s">
        <v>283</v>
      </c>
      <c r="H74" t="s">
        <v>272</v>
      </c>
      <c r="I74">
        <f>PI()*(0.5^2)</f>
        <v>0.78539816339744828</v>
      </c>
      <c r="J74">
        <v>1</v>
      </c>
      <c r="K74">
        <f t="shared" si="1"/>
        <v>7.8539816339744827E-5</v>
      </c>
      <c r="L74" s="5">
        <f>1/60/60/24</f>
        <v>1.1574074074074073E-5</v>
      </c>
      <c r="M74">
        <f>1/24</f>
        <v>4.1666666666666664E-2</v>
      </c>
      <c r="N74">
        <f>((730*24)*L74)</f>
        <v>0.20277777777777778</v>
      </c>
      <c r="O74">
        <v>730</v>
      </c>
      <c r="P74">
        <v>0</v>
      </c>
      <c r="Q74">
        <v>0</v>
      </c>
      <c r="R74">
        <v>2</v>
      </c>
      <c r="S74">
        <v>0</v>
      </c>
      <c r="U74" t="s">
        <v>279</v>
      </c>
      <c r="V74" s="24" t="s">
        <v>277</v>
      </c>
    </row>
    <row r="75" spans="1:23" ht="15.75" customHeight="1">
      <c r="A75">
        <v>9</v>
      </c>
      <c r="B75" s="19">
        <v>55</v>
      </c>
      <c r="C75" s="7" t="s">
        <v>240</v>
      </c>
      <c r="D75" s="24" t="s">
        <v>271</v>
      </c>
      <c r="E75" s="7">
        <v>2010</v>
      </c>
      <c r="F75" t="s">
        <v>50</v>
      </c>
      <c r="G75" s="7" t="s">
        <v>283</v>
      </c>
      <c r="H75" t="s">
        <v>272</v>
      </c>
      <c r="I75">
        <f>PI()*(0.75^2)*8</f>
        <v>14.137166941154069</v>
      </c>
      <c r="J75">
        <v>3</v>
      </c>
      <c r="K75">
        <f t="shared" si="1"/>
        <v>4.2411500823462209E-3</v>
      </c>
      <c r="L75">
        <v>1</v>
      </c>
      <c r="M75">
        <v>90</v>
      </c>
      <c r="N75">
        <f>730/90*J75</f>
        <v>24.333333333333332</v>
      </c>
      <c r="O75">
        <v>730</v>
      </c>
      <c r="P75">
        <v>0</v>
      </c>
      <c r="Q75">
        <v>1</v>
      </c>
      <c r="R75">
        <v>0</v>
      </c>
      <c r="S75">
        <v>0</v>
      </c>
      <c r="U75" t="s">
        <v>280</v>
      </c>
      <c r="V75" s="24" t="s">
        <v>274</v>
      </c>
    </row>
    <row r="76" spans="1:23" ht="15.75" customHeight="1">
      <c r="A76">
        <v>10</v>
      </c>
      <c r="B76" s="19">
        <v>56</v>
      </c>
      <c r="C76" s="7" t="s">
        <v>240</v>
      </c>
      <c r="D76" s="27" t="s">
        <v>281</v>
      </c>
      <c r="E76" s="7">
        <v>2013</v>
      </c>
      <c r="F76" t="s">
        <v>50</v>
      </c>
      <c r="G76" s="7" t="s">
        <v>282</v>
      </c>
      <c r="H76" s="7" t="s">
        <v>284</v>
      </c>
      <c r="I76">
        <f>PI()*((0.6/2)^2)</f>
        <v>0.28274333882308139</v>
      </c>
      <c r="J76">
        <v>10</v>
      </c>
      <c r="K76">
        <f t="shared" si="1"/>
        <v>2.8274333882308137E-4</v>
      </c>
      <c r="L76" s="8">
        <f>1/60/24</f>
        <v>6.9444444444444447E-4</v>
      </c>
      <c r="M76">
        <v>0</v>
      </c>
      <c r="N76">
        <f>L76*J76</f>
        <v>6.9444444444444449E-3</v>
      </c>
      <c r="O76">
        <v>31</v>
      </c>
      <c r="P76">
        <v>0</v>
      </c>
      <c r="Q76">
        <v>0</v>
      </c>
      <c r="R76">
        <v>1</v>
      </c>
      <c r="S76">
        <v>0</v>
      </c>
      <c r="U76" t="s">
        <v>113</v>
      </c>
      <c r="V76" s="27" t="s">
        <v>286</v>
      </c>
    </row>
    <row r="77" spans="1:23" ht="15.75" customHeight="1">
      <c r="A77">
        <v>10</v>
      </c>
      <c r="B77" s="19">
        <v>56</v>
      </c>
      <c r="C77" s="7" t="s">
        <v>240</v>
      </c>
      <c r="D77" s="27" t="s">
        <v>281</v>
      </c>
      <c r="E77" s="7">
        <v>2013</v>
      </c>
      <c r="F77" t="s">
        <v>50</v>
      </c>
      <c r="G77" s="7" t="s">
        <v>282</v>
      </c>
      <c r="H77" s="7" t="s">
        <v>284</v>
      </c>
      <c r="I77">
        <f>PI()*((0.013/2)^2)</f>
        <v>1.3273228961416876E-4</v>
      </c>
      <c r="J77">
        <v>10</v>
      </c>
      <c r="K77">
        <f t="shared" si="1"/>
        <v>1.3273228961416876E-7</v>
      </c>
      <c r="L77" s="5">
        <f>1/60/60/24</f>
        <v>1.1574074074074073E-5</v>
      </c>
      <c r="M77">
        <v>0</v>
      </c>
      <c r="N77">
        <f>L77*J77</f>
        <v>1.1574074074074073E-4</v>
      </c>
      <c r="O77">
        <v>31</v>
      </c>
      <c r="P77">
        <v>0</v>
      </c>
      <c r="Q77">
        <v>0</v>
      </c>
      <c r="R77">
        <v>2</v>
      </c>
      <c r="S77">
        <v>0</v>
      </c>
      <c r="U77" t="s">
        <v>113</v>
      </c>
      <c r="V77" s="27" t="s">
        <v>285</v>
      </c>
    </row>
    <row r="78" spans="1:23" s="14" customFormat="1" ht="15.75" customHeight="1">
      <c r="B78" s="21">
        <v>57</v>
      </c>
      <c r="C78" s="9" t="s">
        <v>30</v>
      </c>
      <c r="D78" s="21" t="s">
        <v>287</v>
      </c>
      <c r="E78" s="9">
        <v>2008</v>
      </c>
      <c r="V78" s="21" t="s">
        <v>40</v>
      </c>
      <c r="W78" s="14" t="s">
        <v>136</v>
      </c>
    </row>
    <row r="79" spans="1:23" s="14" customFormat="1" ht="15.75" customHeight="1">
      <c r="B79" s="21">
        <v>58</v>
      </c>
      <c r="C79" s="21" t="s">
        <v>33</v>
      </c>
      <c r="D79" s="21" t="s">
        <v>263</v>
      </c>
      <c r="E79" s="9">
        <v>2010</v>
      </c>
      <c r="V79" s="14" t="s">
        <v>40</v>
      </c>
      <c r="W79" s="14" t="s">
        <v>288</v>
      </c>
    </row>
    <row r="80" spans="1:23" s="14" customFormat="1" ht="15.75" customHeight="1">
      <c r="B80" s="21">
        <v>59</v>
      </c>
      <c r="C80" s="9" t="s">
        <v>38</v>
      </c>
      <c r="D80" s="21" t="s">
        <v>289</v>
      </c>
      <c r="E80" s="9">
        <v>2007</v>
      </c>
      <c r="G80" s="9"/>
      <c r="V80" s="14" t="s">
        <v>40</v>
      </c>
      <c r="W80" s="14" t="s">
        <v>372</v>
      </c>
    </row>
    <row r="81" spans="1:23" s="14" customFormat="1" ht="15.75" customHeight="1">
      <c r="B81" s="21">
        <v>60</v>
      </c>
      <c r="C81" s="21" t="s">
        <v>34</v>
      </c>
      <c r="D81" s="21" t="s">
        <v>264</v>
      </c>
      <c r="E81" s="9">
        <v>2008</v>
      </c>
      <c r="V81" s="14" t="s">
        <v>40</v>
      </c>
      <c r="W81" s="14" t="s">
        <v>265</v>
      </c>
    </row>
    <row r="82" spans="1:23" ht="15.75" customHeight="1">
      <c r="A82">
        <v>11</v>
      </c>
      <c r="B82" s="24">
        <v>61</v>
      </c>
      <c r="C82" s="7" t="s">
        <v>145</v>
      </c>
      <c r="D82" s="24" t="s">
        <v>290</v>
      </c>
      <c r="E82" s="7">
        <v>2010</v>
      </c>
      <c r="F82" t="s">
        <v>238</v>
      </c>
      <c r="G82" s="7" t="s">
        <v>291</v>
      </c>
      <c r="H82" t="s">
        <v>292</v>
      </c>
      <c r="I82">
        <f>PI()*(0.1)^2</f>
        <v>3.1415926535897934E-2</v>
      </c>
      <c r="J82">
        <v>1141</v>
      </c>
      <c r="K82">
        <f>14*J82*I82/10000</f>
        <v>5.0183801048443361E-2</v>
      </c>
      <c r="L82" s="5">
        <f>1/60/60/24</f>
        <v>1.1574074074074073E-5</v>
      </c>
      <c r="M82">
        <v>0.5</v>
      </c>
      <c r="N82">
        <f>L82*J82*14</f>
        <v>0.18488425925925925</v>
      </c>
      <c r="O82">
        <v>7</v>
      </c>
      <c r="P82">
        <v>1</v>
      </c>
      <c r="Q82">
        <v>0</v>
      </c>
      <c r="R82">
        <v>1</v>
      </c>
      <c r="S82">
        <v>0</v>
      </c>
      <c r="U82" t="s">
        <v>176</v>
      </c>
      <c r="V82" s="25" t="s">
        <v>293</v>
      </c>
    </row>
    <row r="83" spans="1:23" ht="15.75" customHeight="1">
      <c r="A83">
        <v>11</v>
      </c>
      <c r="B83" s="24">
        <v>61</v>
      </c>
      <c r="C83" s="7" t="s">
        <v>145</v>
      </c>
      <c r="D83" s="24" t="s">
        <v>290</v>
      </c>
      <c r="E83" s="7">
        <v>2010</v>
      </c>
      <c r="F83" t="s">
        <v>207</v>
      </c>
      <c r="G83" s="7" t="s">
        <v>291</v>
      </c>
      <c r="H83" t="s">
        <v>292</v>
      </c>
      <c r="I83">
        <f>500*500</f>
        <v>250000</v>
      </c>
      <c r="J83">
        <v>30</v>
      </c>
      <c r="K83">
        <f>14*J83*I83/10000</f>
        <v>10500</v>
      </c>
      <c r="L83" s="5">
        <f>1/60/60/24</f>
        <v>1.1574074074074073E-5</v>
      </c>
      <c r="M83">
        <v>1</v>
      </c>
      <c r="N83">
        <f>L83*J83*365</f>
        <v>0.1267361111111111</v>
      </c>
      <c r="O83">
        <v>365</v>
      </c>
      <c r="P83">
        <v>0</v>
      </c>
      <c r="Q83">
        <v>0</v>
      </c>
      <c r="R83">
        <v>2</v>
      </c>
      <c r="S83">
        <v>0</v>
      </c>
      <c r="U83" t="s">
        <v>113</v>
      </c>
      <c r="V83" s="25" t="s">
        <v>295</v>
      </c>
    </row>
    <row r="84" spans="1:23" ht="15.75" customHeight="1">
      <c r="A84">
        <v>11</v>
      </c>
      <c r="B84" s="24">
        <v>61</v>
      </c>
      <c r="C84" s="7" t="s">
        <v>145</v>
      </c>
      <c r="D84" s="24" t="s">
        <v>290</v>
      </c>
      <c r="E84" s="7">
        <v>2010</v>
      </c>
      <c r="F84" t="s">
        <v>238</v>
      </c>
      <c r="G84" s="7" t="s">
        <v>291</v>
      </c>
      <c r="H84" t="s">
        <v>292</v>
      </c>
      <c r="I84">
        <f>500*500</f>
        <v>250000</v>
      </c>
      <c r="J84">
        <v>30</v>
      </c>
      <c r="K84">
        <f>14*J84*I84/10000</f>
        <v>10500</v>
      </c>
      <c r="L84" s="5">
        <f>1/60/60/24</f>
        <v>1.1574074074074073E-5</v>
      </c>
      <c r="M84">
        <v>0</v>
      </c>
      <c r="N84">
        <f>L84*J84</f>
        <v>3.4722222222222218E-4</v>
      </c>
      <c r="O84">
        <v>1</v>
      </c>
      <c r="P84">
        <v>1</v>
      </c>
      <c r="Q84">
        <v>0</v>
      </c>
      <c r="R84">
        <v>0</v>
      </c>
      <c r="S84">
        <v>0</v>
      </c>
      <c r="U84" t="s">
        <v>113</v>
      </c>
      <c r="V84" s="25" t="s">
        <v>294</v>
      </c>
    </row>
    <row r="85" spans="1:23" s="14" customFormat="1" ht="15.75" customHeight="1">
      <c r="B85" s="21">
        <v>62</v>
      </c>
      <c r="C85" s="9" t="s">
        <v>32</v>
      </c>
      <c r="D85" s="21" t="s">
        <v>296</v>
      </c>
      <c r="E85" s="9">
        <v>2012</v>
      </c>
      <c r="V85" s="14" t="s">
        <v>40</v>
      </c>
      <c r="W85" s="14" t="s">
        <v>155</v>
      </c>
    </row>
    <row r="86" spans="1:23" s="14" customFormat="1" ht="15.75" customHeight="1">
      <c r="B86" s="21">
        <v>63</v>
      </c>
      <c r="C86" s="9" t="s">
        <v>34</v>
      </c>
      <c r="D86" s="21" t="s">
        <v>297</v>
      </c>
      <c r="E86" s="9">
        <v>2014</v>
      </c>
      <c r="V86" s="14" t="s">
        <v>40</v>
      </c>
      <c r="W86" s="14" t="s">
        <v>93</v>
      </c>
    </row>
    <row r="87" spans="1:23" ht="15.75" customHeight="1">
      <c r="A87">
        <v>12</v>
      </c>
      <c r="B87" s="24">
        <v>64</v>
      </c>
      <c r="C87" s="7" t="s">
        <v>31</v>
      </c>
      <c r="D87" s="27" t="s">
        <v>298</v>
      </c>
      <c r="E87" s="7">
        <v>2011</v>
      </c>
      <c r="F87" t="s">
        <v>50</v>
      </c>
      <c r="G87" s="7" t="s">
        <v>299</v>
      </c>
      <c r="H87" s="7" t="s">
        <v>300</v>
      </c>
      <c r="I87">
        <f>(1800*3)</f>
        <v>5400</v>
      </c>
      <c r="J87">
        <v>7</v>
      </c>
      <c r="K87">
        <f t="shared" ref="K87:K93" si="2">J87*I87/10000</f>
        <v>3.78</v>
      </c>
      <c r="L87">
        <f>5/24</f>
        <v>0.20833333333333334</v>
      </c>
      <c r="M87">
        <v>1</v>
      </c>
      <c r="N87">
        <f>L87*J87*2190</f>
        <v>3193.7500000000005</v>
      </c>
      <c r="O87">
        <f>365*6</f>
        <v>2190</v>
      </c>
      <c r="P87">
        <v>3</v>
      </c>
      <c r="Q87">
        <v>0</v>
      </c>
      <c r="R87">
        <v>0</v>
      </c>
      <c r="S87">
        <v>1</v>
      </c>
      <c r="U87" t="s">
        <v>301</v>
      </c>
      <c r="V87" s="28" t="s">
        <v>302</v>
      </c>
    </row>
    <row r="88" spans="1:23" ht="15.75" customHeight="1">
      <c r="A88">
        <v>12</v>
      </c>
      <c r="B88" s="24">
        <v>64</v>
      </c>
      <c r="C88" s="7" t="s">
        <v>31</v>
      </c>
      <c r="D88" s="27" t="s">
        <v>298</v>
      </c>
      <c r="E88" s="7">
        <v>2011</v>
      </c>
      <c r="F88" t="s">
        <v>50</v>
      </c>
      <c r="G88" s="7" t="s">
        <v>299</v>
      </c>
      <c r="H88" s="7" t="s">
        <v>300</v>
      </c>
      <c r="I88">
        <f>PI()*(0.0025^2)</f>
        <v>1.9634954084936207E-5</v>
      </c>
      <c r="J88">
        <v>296</v>
      </c>
      <c r="K88">
        <f t="shared" si="2"/>
        <v>5.8119464091411169E-7</v>
      </c>
      <c r="L88">
        <f>30/60/60/24</f>
        <v>3.4722222222222224E-4</v>
      </c>
      <c r="M88">
        <v>0</v>
      </c>
      <c r="N88">
        <f>L88*J88</f>
        <v>0.10277777777777779</v>
      </c>
      <c r="O88">
        <f>365*6</f>
        <v>2190</v>
      </c>
      <c r="P88">
        <v>0</v>
      </c>
      <c r="Q88">
        <v>1</v>
      </c>
      <c r="R88">
        <v>0</v>
      </c>
      <c r="S88">
        <v>0</v>
      </c>
      <c r="U88" t="s">
        <v>176</v>
      </c>
      <c r="V88" t="s">
        <v>303</v>
      </c>
    </row>
    <row r="89" spans="1:23" ht="15.75" customHeight="1">
      <c r="A89">
        <v>12</v>
      </c>
      <c r="B89" s="24">
        <v>64</v>
      </c>
      <c r="C89" s="7" t="s">
        <v>31</v>
      </c>
      <c r="D89" s="27" t="s">
        <v>298</v>
      </c>
      <c r="E89" s="7">
        <v>2011</v>
      </c>
      <c r="F89" t="s">
        <v>50</v>
      </c>
      <c r="G89" s="7" t="s">
        <v>299</v>
      </c>
      <c r="H89" s="7" t="s">
        <v>300</v>
      </c>
      <c r="I89">
        <f>0.14*0.05</f>
        <v>7.000000000000001E-3</v>
      </c>
      <c r="J89">
        <v>352</v>
      </c>
      <c r="K89">
        <f t="shared" si="2"/>
        <v>2.4640000000000003E-4</v>
      </c>
      <c r="L89">
        <f>10/60/24</f>
        <v>6.9444444444444441E-3</v>
      </c>
      <c r="M89">
        <v>0</v>
      </c>
      <c r="N89">
        <f>L89*J89</f>
        <v>2.4444444444444442</v>
      </c>
      <c r="O89">
        <f>365*6</f>
        <v>2190</v>
      </c>
      <c r="P89">
        <v>0</v>
      </c>
      <c r="Q89">
        <v>3</v>
      </c>
      <c r="R89">
        <v>0</v>
      </c>
      <c r="S89">
        <v>0</v>
      </c>
      <c r="U89" t="s">
        <v>176</v>
      </c>
      <c r="V89" t="s">
        <v>304</v>
      </c>
    </row>
    <row r="90" spans="1:23" ht="15.75" customHeight="1">
      <c r="A90">
        <v>13</v>
      </c>
      <c r="B90" s="24">
        <v>65</v>
      </c>
      <c r="C90" s="7" t="s">
        <v>32</v>
      </c>
      <c r="D90" s="27" t="s">
        <v>305</v>
      </c>
      <c r="E90" s="7">
        <v>2006</v>
      </c>
      <c r="F90" t="s">
        <v>50</v>
      </c>
      <c r="G90" s="7" t="s">
        <v>112</v>
      </c>
      <c r="H90" s="7" t="s">
        <v>306</v>
      </c>
      <c r="I90">
        <f>(0.00175/8*0.0005)</f>
        <v>1.09375E-7</v>
      </c>
      <c r="J90">
        <v>110</v>
      </c>
      <c r="K90">
        <f t="shared" si="2"/>
        <v>1.203125E-9</v>
      </c>
      <c r="L90">
        <f>30/60/60/24</f>
        <v>3.4722222222222224E-4</v>
      </c>
      <c r="M90">
        <v>0</v>
      </c>
      <c r="N90">
        <f>L90*J90</f>
        <v>3.8194444444444448E-2</v>
      </c>
      <c r="O90">
        <v>31</v>
      </c>
      <c r="P90">
        <v>0</v>
      </c>
      <c r="Q90">
        <v>0</v>
      </c>
      <c r="R90">
        <v>2</v>
      </c>
      <c r="S90">
        <v>0</v>
      </c>
      <c r="T90" t="s">
        <v>307</v>
      </c>
      <c r="U90" t="s">
        <v>176</v>
      </c>
      <c r="V90" t="s">
        <v>308</v>
      </c>
    </row>
    <row r="91" spans="1:23" ht="15.75" customHeight="1">
      <c r="A91">
        <v>14</v>
      </c>
      <c r="B91" s="24">
        <v>66</v>
      </c>
      <c r="C91" s="7" t="s">
        <v>35</v>
      </c>
      <c r="D91" s="27" t="s">
        <v>309</v>
      </c>
      <c r="E91" s="7">
        <v>2007</v>
      </c>
      <c r="F91" t="s">
        <v>50</v>
      </c>
      <c r="G91" s="7" t="s">
        <v>310</v>
      </c>
      <c r="H91" s="7" t="s">
        <v>311</v>
      </c>
      <c r="I91">
        <f>PI()*((1.3/2)^2)</f>
        <v>1.3273228961416876</v>
      </c>
      <c r="J91">
        <v>171</v>
      </c>
      <c r="K91">
        <f t="shared" si="2"/>
        <v>2.269722152402286E-2</v>
      </c>
      <c r="L91">
        <f>0.5/171</f>
        <v>2.9239766081871343E-3</v>
      </c>
      <c r="M91">
        <v>30</v>
      </c>
      <c r="N91">
        <f>L91*K91*(12*10)</f>
        <v>7.9639373768501266E-3</v>
      </c>
      <c r="O91">
        <f>(365*10)+90</f>
        <v>3740</v>
      </c>
      <c r="P91">
        <v>3</v>
      </c>
      <c r="Q91">
        <v>0</v>
      </c>
      <c r="R91">
        <v>2</v>
      </c>
      <c r="S91">
        <v>2</v>
      </c>
      <c r="U91" t="s">
        <v>176</v>
      </c>
      <c r="V91" t="s">
        <v>312</v>
      </c>
    </row>
    <row r="92" spans="1:23" ht="15.75" customHeight="1">
      <c r="A92">
        <v>14</v>
      </c>
      <c r="B92" s="24">
        <v>66</v>
      </c>
      <c r="C92" s="7" t="s">
        <v>35</v>
      </c>
      <c r="D92" s="27" t="s">
        <v>309</v>
      </c>
      <c r="E92" s="7">
        <v>2007</v>
      </c>
      <c r="F92" t="s">
        <v>238</v>
      </c>
      <c r="G92" s="7" t="s">
        <v>310</v>
      </c>
      <c r="H92" s="7" t="s">
        <v>311</v>
      </c>
      <c r="I92">
        <f>PI()*((0.2032/2)^2)</f>
        <v>3.2429278662239852E-2</v>
      </c>
      <c r="J92">
        <v>1</v>
      </c>
      <c r="K92">
        <f t="shared" si="2"/>
        <v>3.2429278662239851E-6</v>
      </c>
      <c r="L92">
        <v>1</v>
      </c>
      <c r="M92">
        <v>1</v>
      </c>
      <c r="N92">
        <f>(365*10)+90</f>
        <v>3740</v>
      </c>
      <c r="O92">
        <f>(365*10)+90</f>
        <v>3740</v>
      </c>
      <c r="P92">
        <v>0</v>
      </c>
      <c r="Q92">
        <v>0</v>
      </c>
      <c r="R92">
        <v>1</v>
      </c>
      <c r="S92">
        <v>0</v>
      </c>
      <c r="U92" t="s">
        <v>233</v>
      </c>
      <c r="V92" t="s">
        <v>313</v>
      </c>
    </row>
    <row r="93" spans="1:23" ht="15.75" customHeight="1">
      <c r="A93">
        <v>14</v>
      </c>
      <c r="B93" s="24">
        <v>66</v>
      </c>
      <c r="C93" s="7" t="s">
        <v>35</v>
      </c>
      <c r="D93" s="27" t="s">
        <v>309</v>
      </c>
      <c r="E93" s="7">
        <v>2007</v>
      </c>
      <c r="F93" t="s">
        <v>238</v>
      </c>
      <c r="G93" s="7" t="s">
        <v>310</v>
      </c>
      <c r="H93" s="7" t="s">
        <v>311</v>
      </c>
      <c r="I93">
        <f>PI()*((0.008/2)^2)</f>
        <v>5.0265482457436686E-5</v>
      </c>
      <c r="J93">
        <v>1</v>
      </c>
      <c r="K93">
        <f t="shared" si="2"/>
        <v>5.0265482457436686E-9</v>
      </c>
      <c r="L93">
        <v>1</v>
      </c>
      <c r="M93">
        <v>1</v>
      </c>
      <c r="N93">
        <f>DATE(2000,6,1)-DATE(1993,10,1)</f>
        <v>2435</v>
      </c>
      <c r="O93">
        <f>DATE(2000,6,1)-DATE(1993,10,1)</f>
        <v>2435</v>
      </c>
      <c r="P93">
        <v>0</v>
      </c>
      <c r="Q93">
        <v>0</v>
      </c>
      <c r="R93">
        <v>2</v>
      </c>
      <c r="S93">
        <v>0</v>
      </c>
      <c r="U93" t="s">
        <v>233</v>
      </c>
      <c r="V93" t="s">
        <v>314</v>
      </c>
    </row>
    <row r="94" spans="1:23" s="14" customFormat="1" ht="15.75" customHeight="1">
      <c r="B94" s="21">
        <v>67</v>
      </c>
      <c r="C94" s="9" t="s">
        <v>30</v>
      </c>
      <c r="D94" s="21" t="s">
        <v>315</v>
      </c>
      <c r="E94" s="9">
        <v>2007</v>
      </c>
      <c r="V94" s="14" t="s">
        <v>40</v>
      </c>
      <c r="W94" s="14" t="s">
        <v>93</v>
      </c>
    </row>
    <row r="95" spans="1:23" s="14" customFormat="1" ht="15.75" customHeight="1">
      <c r="B95" s="21">
        <v>68</v>
      </c>
      <c r="C95" s="9" t="s">
        <v>29</v>
      </c>
      <c r="D95" s="21" t="s">
        <v>316</v>
      </c>
      <c r="E95" s="9">
        <v>2014</v>
      </c>
      <c r="V95" s="14" t="s">
        <v>40</v>
      </c>
      <c r="W95" s="14" t="s">
        <v>183</v>
      </c>
    </row>
    <row r="96" spans="1:23" s="14" customFormat="1" ht="15.75" customHeight="1">
      <c r="B96" s="21">
        <v>69</v>
      </c>
      <c r="C96" s="9" t="s">
        <v>32</v>
      </c>
      <c r="D96" s="21" t="s">
        <v>317</v>
      </c>
      <c r="E96" s="9">
        <v>2010</v>
      </c>
      <c r="V96" s="14" t="s">
        <v>40</v>
      </c>
      <c r="W96" s="14" t="s">
        <v>93</v>
      </c>
    </row>
    <row r="97" spans="1:23" ht="15.75" customHeight="1">
      <c r="A97">
        <v>15</v>
      </c>
      <c r="B97" s="24">
        <v>70</v>
      </c>
      <c r="C97" s="7" t="s">
        <v>145</v>
      </c>
      <c r="D97" s="24" t="s">
        <v>318</v>
      </c>
      <c r="E97" s="7">
        <v>2004</v>
      </c>
      <c r="F97" t="s">
        <v>238</v>
      </c>
      <c r="G97" s="7" t="s">
        <v>96</v>
      </c>
      <c r="H97" t="s">
        <v>319</v>
      </c>
      <c r="I97">
        <f>PI()*((0.1524/2)^2)</f>
        <v>1.8241469247509919E-2</v>
      </c>
      <c r="J97">
        <v>1</v>
      </c>
      <c r="K97">
        <f t="shared" ref="K97" si="3">J97*I97/10000</f>
        <v>1.8241469247509919E-6</v>
      </c>
      <c r="L97" s="5">
        <f>1/60/60/24</f>
        <v>1.1574074074074073E-5</v>
      </c>
      <c r="M97">
        <f>5/60/60/24</f>
        <v>5.7870370370370366E-5</v>
      </c>
      <c r="N97">
        <f>12*60*12*L97</f>
        <v>9.9999999999999992E-2</v>
      </c>
      <c r="O97">
        <f>365+10</f>
        <v>375</v>
      </c>
      <c r="P97">
        <v>0</v>
      </c>
      <c r="Q97">
        <v>0</v>
      </c>
      <c r="R97">
        <v>2</v>
      </c>
      <c r="S97">
        <v>0</v>
      </c>
      <c r="U97" t="s">
        <v>176</v>
      </c>
      <c r="V97" s="25" t="s">
        <v>320</v>
      </c>
    </row>
    <row r="98" spans="1:23" ht="15.75" customHeight="1">
      <c r="A98">
        <v>15</v>
      </c>
      <c r="B98" s="24">
        <v>70</v>
      </c>
      <c r="C98" s="7" t="s">
        <v>145</v>
      </c>
      <c r="D98" s="24" t="s">
        <v>318</v>
      </c>
      <c r="E98" s="7">
        <v>2004</v>
      </c>
      <c r="F98" t="s">
        <v>50</v>
      </c>
      <c r="G98" s="7" t="s">
        <v>96</v>
      </c>
      <c r="H98" t="s">
        <v>319</v>
      </c>
      <c r="I98">
        <f>0.0006*3</f>
        <v>1.8E-3</v>
      </c>
      <c r="J98">
        <v>24</v>
      </c>
      <c r="K98">
        <f>J98*I98/10000</f>
        <v>4.3200000000000001E-6</v>
      </c>
      <c r="L98" s="5">
        <f>2/60/24</f>
        <v>1.3888888888888889E-3</v>
      </c>
      <c r="M98">
        <f>2.2/60/24</f>
        <v>1.5277777777777779E-3</v>
      </c>
      <c r="N98">
        <f>L98*12*10*J98</f>
        <v>4</v>
      </c>
      <c r="O98">
        <f>365+10</f>
        <v>375</v>
      </c>
      <c r="P98">
        <v>0</v>
      </c>
      <c r="Q98">
        <v>0</v>
      </c>
      <c r="R98">
        <v>2</v>
      </c>
      <c r="S98">
        <v>0</v>
      </c>
      <c r="U98" t="s">
        <v>323</v>
      </c>
      <c r="V98" s="25" t="s">
        <v>321</v>
      </c>
    </row>
    <row r="99" spans="1:23" ht="15.75" customHeight="1">
      <c r="A99">
        <v>15</v>
      </c>
      <c r="B99" s="24">
        <v>70</v>
      </c>
      <c r="C99" s="7" t="s">
        <v>145</v>
      </c>
      <c r="D99" s="24" t="s">
        <v>318</v>
      </c>
      <c r="E99" s="7">
        <v>2004</v>
      </c>
      <c r="F99" t="s">
        <v>50</v>
      </c>
      <c r="G99" s="7" t="s">
        <v>96</v>
      </c>
      <c r="H99" t="s">
        <v>319</v>
      </c>
      <c r="I99">
        <f>0.0006*6</f>
        <v>3.5999999999999999E-3</v>
      </c>
      <c r="J99">
        <v>24</v>
      </c>
      <c r="K99">
        <f>J99*I99/10000</f>
        <v>8.6400000000000003E-6</v>
      </c>
      <c r="L99" s="5">
        <f>5/60/24</f>
        <v>3.472222222222222E-3</v>
      </c>
      <c r="M99">
        <f>4.4/60/24</f>
        <v>3.0555555555555557E-3</v>
      </c>
      <c r="N99">
        <f>L99*6*10*J99</f>
        <v>5</v>
      </c>
      <c r="O99">
        <f>365+10</f>
        <v>375</v>
      </c>
      <c r="P99">
        <v>0</v>
      </c>
      <c r="Q99">
        <v>0</v>
      </c>
      <c r="R99">
        <v>2</v>
      </c>
      <c r="S99">
        <v>0</v>
      </c>
      <c r="U99" t="s">
        <v>323</v>
      </c>
      <c r="V99" s="25" t="s">
        <v>322</v>
      </c>
    </row>
    <row r="100" spans="1:23" s="21" customFormat="1" ht="15.75" customHeight="1">
      <c r="B100" s="21">
        <v>71</v>
      </c>
      <c r="C100" s="9" t="s">
        <v>30</v>
      </c>
      <c r="D100" s="21" t="s">
        <v>327</v>
      </c>
      <c r="E100" s="9">
        <v>2007</v>
      </c>
      <c r="V100" s="21" t="s">
        <v>40</v>
      </c>
      <c r="W100" s="21" t="s">
        <v>93</v>
      </c>
    </row>
    <row r="101" spans="1:23" s="21" customFormat="1" ht="15.75" customHeight="1">
      <c r="B101" s="21">
        <v>72</v>
      </c>
      <c r="C101" s="9" t="s">
        <v>143</v>
      </c>
      <c r="D101" s="21" t="s">
        <v>328</v>
      </c>
      <c r="E101" s="9">
        <v>2012</v>
      </c>
      <c r="G101" s="9"/>
      <c r="H101" s="9"/>
      <c r="V101" s="21" t="s">
        <v>40</v>
      </c>
      <c r="W101" s="21" t="s">
        <v>329</v>
      </c>
    </row>
    <row r="102" spans="1:23" s="19" customFormat="1" ht="15.75" customHeight="1">
      <c r="A102" s="19">
        <v>16</v>
      </c>
      <c r="B102" s="27">
        <v>73</v>
      </c>
      <c r="C102" s="26" t="s">
        <v>28</v>
      </c>
      <c r="D102" s="27" t="s">
        <v>330</v>
      </c>
      <c r="E102" s="7">
        <v>2006</v>
      </c>
      <c r="F102" s="19" t="s">
        <v>50</v>
      </c>
      <c r="G102" s="7" t="s">
        <v>331</v>
      </c>
      <c r="H102" s="7" t="s">
        <v>332</v>
      </c>
      <c r="I102" s="19">
        <f>PI()*(0.05^2)</f>
        <v>7.8539816339744835E-3</v>
      </c>
      <c r="J102" s="19">
        <v>150</v>
      </c>
      <c r="K102" s="19">
        <f>J102*I102/10000</f>
        <v>1.1780972450961724E-4</v>
      </c>
      <c r="L102" s="19">
        <v>3</v>
      </c>
      <c r="M102" s="19">
        <v>30</v>
      </c>
      <c r="N102" s="19">
        <f>L102*6</f>
        <v>18</v>
      </c>
      <c r="O102" s="19">
        <f>6*30</f>
        <v>180</v>
      </c>
      <c r="P102" s="19">
        <v>3</v>
      </c>
      <c r="Q102" s="19">
        <v>2</v>
      </c>
      <c r="R102" s="19">
        <v>0</v>
      </c>
      <c r="S102" s="19">
        <v>1</v>
      </c>
      <c r="U102" s="19" t="s">
        <v>233</v>
      </c>
      <c r="V102" s="27" t="s">
        <v>333</v>
      </c>
    </row>
    <row r="103" spans="1:23" s="19" customFormat="1" ht="15.75" customHeight="1">
      <c r="A103" s="19">
        <v>16</v>
      </c>
      <c r="B103" s="27">
        <v>73</v>
      </c>
      <c r="C103" s="26" t="s">
        <v>28</v>
      </c>
      <c r="D103" s="27" t="s">
        <v>330</v>
      </c>
      <c r="E103" s="7">
        <v>2006</v>
      </c>
      <c r="F103" s="19" t="s">
        <v>50</v>
      </c>
      <c r="G103" s="7" t="s">
        <v>331</v>
      </c>
      <c r="H103" s="7" t="s">
        <v>332</v>
      </c>
      <c r="I103" s="19">
        <f>PI()*(0.05^2)</f>
        <v>7.8539816339744835E-3</v>
      </c>
      <c r="J103" s="19">
        <v>250</v>
      </c>
      <c r="K103" s="19">
        <f>J103*I103/10000</f>
        <v>1.9634954084936208E-4</v>
      </c>
      <c r="L103" s="19">
        <v>5</v>
      </c>
      <c r="M103" s="19">
        <v>30</v>
      </c>
      <c r="N103" s="19">
        <f>L103*6</f>
        <v>30</v>
      </c>
      <c r="O103" s="19">
        <f>6*30</f>
        <v>180</v>
      </c>
      <c r="P103" s="19">
        <v>3</v>
      </c>
      <c r="Q103" s="19">
        <v>2</v>
      </c>
      <c r="R103" s="19">
        <v>0</v>
      </c>
      <c r="S103" s="19">
        <v>1</v>
      </c>
      <c r="U103" s="19" t="s">
        <v>233</v>
      </c>
      <c r="V103" s="19" t="s">
        <v>334</v>
      </c>
    </row>
    <row r="104" spans="1:23" s="19" customFormat="1" ht="15.75" customHeight="1">
      <c r="A104" s="19">
        <v>16</v>
      </c>
      <c r="B104" s="27">
        <v>73</v>
      </c>
      <c r="C104" s="26" t="s">
        <v>28</v>
      </c>
      <c r="D104" s="27" t="s">
        <v>330</v>
      </c>
      <c r="E104" s="7">
        <v>2006</v>
      </c>
      <c r="F104" s="19" t="s">
        <v>50</v>
      </c>
      <c r="G104" s="7" t="s">
        <v>331</v>
      </c>
      <c r="H104" s="7" t="s">
        <v>332</v>
      </c>
      <c r="I104" s="19">
        <f>PI()*(0.05^2)</f>
        <v>7.8539816339744835E-3</v>
      </c>
      <c r="J104" s="19">
        <v>72</v>
      </c>
      <c r="K104" s="19">
        <f>J104*I104/10000</f>
        <v>5.6548667764616282E-5</v>
      </c>
      <c r="L104" s="19">
        <v>5</v>
      </c>
      <c r="M104" s="19">
        <v>30</v>
      </c>
      <c r="N104" s="19">
        <f>L104*6</f>
        <v>30</v>
      </c>
      <c r="O104" s="19">
        <f>6*30</f>
        <v>180</v>
      </c>
      <c r="P104" s="19">
        <v>3</v>
      </c>
      <c r="Q104" s="19">
        <v>2</v>
      </c>
      <c r="R104" s="19">
        <v>0</v>
      </c>
      <c r="S104" s="19">
        <v>1</v>
      </c>
      <c r="U104" s="19" t="s">
        <v>176</v>
      </c>
      <c r="V104" s="19" t="s">
        <v>334</v>
      </c>
    </row>
    <row r="105" spans="1:23" s="19" customFormat="1" ht="15.75" customHeight="1">
      <c r="A105" s="19">
        <v>16</v>
      </c>
      <c r="B105" s="27">
        <v>73</v>
      </c>
      <c r="C105" s="26" t="s">
        <v>28</v>
      </c>
      <c r="D105" s="27" t="s">
        <v>330</v>
      </c>
      <c r="E105" s="7">
        <v>2006</v>
      </c>
      <c r="F105" s="19" t="s">
        <v>50</v>
      </c>
      <c r="G105" s="7" t="s">
        <v>331</v>
      </c>
      <c r="H105" s="7" t="s">
        <v>332</v>
      </c>
      <c r="I105" s="19">
        <f>5*5</f>
        <v>25</v>
      </c>
      <c r="J105" s="19">
        <v>10</v>
      </c>
      <c r="K105" s="19">
        <f>J105*I105/10000</f>
        <v>2.5000000000000001E-2</v>
      </c>
      <c r="L105" s="19">
        <v>3</v>
      </c>
      <c r="M105" s="19">
        <v>0</v>
      </c>
      <c r="N105" s="19">
        <f>L105*J105</f>
        <v>30</v>
      </c>
      <c r="O105" s="19">
        <v>30</v>
      </c>
      <c r="P105" s="19">
        <v>3</v>
      </c>
      <c r="Q105" s="19">
        <v>1</v>
      </c>
      <c r="R105" s="19">
        <v>2</v>
      </c>
      <c r="S105" s="19">
        <v>1</v>
      </c>
      <c r="U105" s="19" t="s">
        <v>176</v>
      </c>
      <c r="V105" s="19" t="s">
        <v>335</v>
      </c>
    </row>
    <row r="106" spans="1:23" s="21" customFormat="1" ht="15.75" customHeight="1">
      <c r="B106" s="21">
        <v>74</v>
      </c>
      <c r="C106" s="9" t="s">
        <v>38</v>
      </c>
      <c r="D106" s="21" t="s">
        <v>336</v>
      </c>
      <c r="E106" s="9">
        <v>2006</v>
      </c>
      <c r="V106" s="21" t="s">
        <v>40</v>
      </c>
      <c r="W106" s="21" t="s">
        <v>155</v>
      </c>
    </row>
    <row r="107" spans="1:23" s="21" customFormat="1" ht="15.75" customHeight="1">
      <c r="B107" s="21">
        <v>75</v>
      </c>
      <c r="C107" s="9" t="s">
        <v>146</v>
      </c>
      <c r="D107" s="21" t="s">
        <v>324</v>
      </c>
      <c r="E107" s="9">
        <v>2012</v>
      </c>
      <c r="V107" s="21" t="s">
        <v>40</v>
      </c>
      <c r="W107" s="21" t="s">
        <v>166</v>
      </c>
    </row>
    <row r="108" spans="1:23" s="21" customFormat="1" ht="15.75" customHeight="1">
      <c r="B108" s="21">
        <v>76</v>
      </c>
      <c r="C108" s="9" t="s">
        <v>27</v>
      </c>
      <c r="D108" s="21" t="s">
        <v>337</v>
      </c>
      <c r="E108" s="9">
        <v>2012</v>
      </c>
      <c r="V108" s="21" t="s">
        <v>40</v>
      </c>
      <c r="W108" s="21" t="s">
        <v>155</v>
      </c>
    </row>
    <row r="109" spans="1:23" s="21" customFormat="1" ht="15.75" customHeight="1">
      <c r="B109" s="21">
        <v>77</v>
      </c>
      <c r="C109" s="9" t="s">
        <v>28</v>
      </c>
      <c r="D109" s="21" t="s">
        <v>338</v>
      </c>
      <c r="E109" s="9">
        <v>2008</v>
      </c>
      <c r="V109" s="21" t="s">
        <v>40</v>
      </c>
      <c r="W109" s="21" t="s">
        <v>155</v>
      </c>
    </row>
    <row r="110" spans="1:23" s="21" customFormat="1" ht="15.75" customHeight="1">
      <c r="B110" s="21">
        <v>78</v>
      </c>
      <c r="C110" s="9" t="s">
        <v>143</v>
      </c>
      <c r="D110" s="21" t="s">
        <v>325</v>
      </c>
      <c r="E110" s="9">
        <v>2007</v>
      </c>
      <c r="V110" s="21" t="s">
        <v>40</v>
      </c>
      <c r="W110" s="21" t="s">
        <v>109</v>
      </c>
    </row>
    <row r="111" spans="1:23" s="19" customFormat="1" ht="15.75" customHeight="1">
      <c r="A111" s="19">
        <v>17</v>
      </c>
      <c r="B111" s="27">
        <v>79</v>
      </c>
      <c r="C111" s="7" t="s">
        <v>34</v>
      </c>
      <c r="D111" s="24" t="s">
        <v>339</v>
      </c>
      <c r="E111" s="7">
        <v>2010</v>
      </c>
      <c r="F111" s="19" t="s">
        <v>50</v>
      </c>
      <c r="G111" s="19" t="s">
        <v>340</v>
      </c>
      <c r="H111" s="19" t="s">
        <v>341</v>
      </c>
      <c r="I111" s="19">
        <f>0.07*(0.07/3)</f>
        <v>1.6333333333333336E-3</v>
      </c>
      <c r="J111" s="19">
        <v>799</v>
      </c>
      <c r="K111" s="19">
        <f>J111*I111/10000</f>
        <v>1.3050333333333334E-4</v>
      </c>
      <c r="L111" s="19">
        <f>5/60/24</f>
        <v>3.472222222222222E-3</v>
      </c>
      <c r="M111" s="19">
        <v>0</v>
      </c>
      <c r="N111" s="19">
        <f>L111*799</f>
        <v>2.7743055555555554</v>
      </c>
      <c r="O111" s="19">
        <f>N111</f>
        <v>2.7743055555555554</v>
      </c>
      <c r="P111" s="19">
        <v>0</v>
      </c>
      <c r="Q111" s="19">
        <v>3</v>
      </c>
      <c r="R111" s="19">
        <v>0</v>
      </c>
      <c r="S111" s="19">
        <v>1</v>
      </c>
      <c r="U111" s="19" t="s">
        <v>275</v>
      </c>
      <c r="V111" s="24" t="s">
        <v>342</v>
      </c>
    </row>
    <row r="112" spans="1:23" s="21" customFormat="1" ht="15.75" customHeight="1">
      <c r="B112" s="21">
        <v>80</v>
      </c>
      <c r="C112" s="9" t="s">
        <v>146</v>
      </c>
      <c r="D112" s="21" t="s">
        <v>326</v>
      </c>
      <c r="E112" s="9">
        <v>2012</v>
      </c>
      <c r="V112" s="21" t="s">
        <v>40</v>
      </c>
      <c r="W112" s="21" t="s">
        <v>109</v>
      </c>
    </row>
    <row r="113" spans="1:23" s="14" customFormat="1" ht="15.75" customHeight="1">
      <c r="B113" s="21">
        <v>81</v>
      </c>
      <c r="C113" s="9" t="s">
        <v>146</v>
      </c>
      <c r="D113" s="21" t="s">
        <v>343</v>
      </c>
      <c r="E113" s="9">
        <v>2009</v>
      </c>
      <c r="V113" s="21" t="s">
        <v>40</v>
      </c>
      <c r="W113" s="21" t="s">
        <v>109</v>
      </c>
    </row>
    <row r="114" spans="1:23" s="21" customFormat="1" ht="15.75" customHeight="1">
      <c r="B114" s="21">
        <v>82</v>
      </c>
      <c r="C114" s="9" t="s">
        <v>344</v>
      </c>
      <c r="D114" s="21" t="s">
        <v>348</v>
      </c>
      <c r="E114" s="9">
        <v>2010</v>
      </c>
      <c r="V114" s="21" t="s">
        <v>40</v>
      </c>
      <c r="W114" s="21" t="s">
        <v>166</v>
      </c>
    </row>
    <row r="115" spans="1:23" s="24" customFormat="1" ht="15.75" customHeight="1">
      <c r="A115" s="24">
        <v>18</v>
      </c>
      <c r="B115" s="24">
        <v>83</v>
      </c>
      <c r="C115" s="26" t="s">
        <v>345</v>
      </c>
      <c r="D115" s="24" t="s">
        <v>349</v>
      </c>
      <c r="E115" s="26">
        <v>2014</v>
      </c>
      <c r="F115" s="24" t="s">
        <v>50</v>
      </c>
      <c r="G115" s="22" t="s">
        <v>350</v>
      </c>
      <c r="H115" s="24" t="s">
        <v>351</v>
      </c>
      <c r="I115" s="24">
        <f>PI()*(0.4^2)*10</f>
        <v>5.026548245743669</v>
      </c>
      <c r="J115" s="24">
        <v>12</v>
      </c>
      <c r="K115" s="24">
        <f>J115*I115/10000</f>
        <v>6.0318578948924031E-3</v>
      </c>
      <c r="L115" s="24">
        <v>1</v>
      </c>
      <c r="M115" s="24">
        <f>(18*30)/8</f>
        <v>67.5</v>
      </c>
      <c r="N115" s="24">
        <f>L115*J115*2</f>
        <v>24</v>
      </c>
      <c r="O115" s="24">
        <f>365+30*4</f>
        <v>485</v>
      </c>
      <c r="P115" s="24">
        <v>3</v>
      </c>
      <c r="Q115" s="24">
        <v>2</v>
      </c>
      <c r="R115" s="24">
        <v>0</v>
      </c>
      <c r="S115" s="27">
        <v>1</v>
      </c>
      <c r="U115" s="24" t="s">
        <v>113</v>
      </c>
      <c r="V115" s="24" t="s">
        <v>352</v>
      </c>
    </row>
    <row r="116" spans="1:23" s="24" customFormat="1" ht="15.75" customHeight="1">
      <c r="A116" s="24">
        <v>18</v>
      </c>
      <c r="B116" s="24">
        <v>83</v>
      </c>
      <c r="C116" s="26" t="s">
        <v>345</v>
      </c>
      <c r="D116" s="24" t="s">
        <v>349</v>
      </c>
      <c r="E116" s="26">
        <v>2014</v>
      </c>
      <c r="F116" s="24" t="s">
        <v>50</v>
      </c>
      <c r="G116" s="22" t="s">
        <v>350</v>
      </c>
      <c r="H116" s="24" t="s">
        <v>351</v>
      </c>
      <c r="I116" s="24">
        <f>0.076*0.127*12</f>
        <v>0.11582399999999998</v>
      </c>
      <c r="J116" s="24">
        <v>12</v>
      </c>
      <c r="K116" s="24">
        <f>J116*I116/10000</f>
        <v>1.3898879999999997E-4</v>
      </c>
      <c r="L116" s="24">
        <v>7</v>
      </c>
      <c r="M116" s="24">
        <f>(18*30)/8</f>
        <v>67.5</v>
      </c>
      <c r="N116" s="24">
        <f>L116*J116*2</f>
        <v>168</v>
      </c>
      <c r="O116" s="24">
        <f>365+30*4</f>
        <v>485</v>
      </c>
      <c r="P116" s="24">
        <v>3</v>
      </c>
      <c r="Q116" s="24">
        <v>2</v>
      </c>
      <c r="R116" s="24">
        <v>0</v>
      </c>
      <c r="S116" s="27">
        <v>1</v>
      </c>
      <c r="U116" s="24" t="s">
        <v>323</v>
      </c>
      <c r="V116" s="24" t="s">
        <v>353</v>
      </c>
    </row>
    <row r="117" spans="1:23" s="24" customFormat="1" ht="15.75" customHeight="1">
      <c r="A117" s="24">
        <v>18</v>
      </c>
      <c r="B117" s="24">
        <v>83</v>
      </c>
      <c r="C117" s="26" t="s">
        <v>345</v>
      </c>
      <c r="D117" s="24" t="s">
        <v>349</v>
      </c>
      <c r="E117" s="26">
        <v>2014</v>
      </c>
      <c r="F117" s="24" t="s">
        <v>50</v>
      </c>
      <c r="G117" s="22" t="s">
        <v>350</v>
      </c>
      <c r="H117" s="24" t="s">
        <v>351</v>
      </c>
      <c r="I117" s="24">
        <f>(0.04*0.01*30*3)</f>
        <v>3.6000000000000004E-2</v>
      </c>
      <c r="J117" s="24">
        <v>12</v>
      </c>
      <c r="K117" s="24">
        <f>J117*I117/10000</f>
        <v>4.3200000000000007E-5</v>
      </c>
      <c r="L117" s="24">
        <v>1</v>
      </c>
      <c r="M117" s="24">
        <v>0</v>
      </c>
      <c r="N117" s="24">
        <f>L117*J117*2</f>
        <v>24</v>
      </c>
      <c r="O117" s="24">
        <f>365+30*4</f>
        <v>485</v>
      </c>
      <c r="P117" s="24">
        <v>3</v>
      </c>
      <c r="Q117" s="27">
        <v>1</v>
      </c>
      <c r="R117" s="27">
        <v>0</v>
      </c>
      <c r="S117" s="27">
        <v>1</v>
      </c>
      <c r="U117" s="24" t="s">
        <v>90</v>
      </c>
      <c r="V117" s="24" t="s">
        <v>354</v>
      </c>
    </row>
    <row r="118" spans="1:23" s="24" customFormat="1" ht="15.75" customHeight="1">
      <c r="A118" s="24">
        <v>18</v>
      </c>
      <c r="B118" s="24">
        <v>83</v>
      </c>
      <c r="C118" s="26" t="s">
        <v>345</v>
      </c>
      <c r="D118" s="24" t="s">
        <v>349</v>
      </c>
      <c r="E118" s="26">
        <v>2014</v>
      </c>
      <c r="F118" s="24" t="s">
        <v>50</v>
      </c>
      <c r="G118" s="22" t="s">
        <v>350</v>
      </c>
      <c r="H118" s="24" t="s">
        <v>351</v>
      </c>
      <c r="I118" s="24">
        <f>0.08*0.04*2</f>
        <v>6.4000000000000003E-3</v>
      </c>
      <c r="J118" s="24">
        <v>12</v>
      </c>
      <c r="K118" s="24">
        <f>J118*I118/10000</f>
        <v>7.680000000000001E-6</v>
      </c>
      <c r="L118" s="24">
        <v>1</v>
      </c>
      <c r="M118" s="24">
        <v>0</v>
      </c>
      <c r="N118" s="24">
        <f>L118*J118*2</f>
        <v>24</v>
      </c>
      <c r="O118" s="24">
        <f>365+30*4</f>
        <v>485</v>
      </c>
      <c r="P118" s="24">
        <v>3</v>
      </c>
      <c r="Q118" s="27">
        <v>1</v>
      </c>
      <c r="R118" s="27">
        <v>0</v>
      </c>
      <c r="S118" s="27">
        <v>1</v>
      </c>
      <c r="U118" s="24" t="s">
        <v>90</v>
      </c>
      <c r="V118" s="24" t="s">
        <v>355</v>
      </c>
    </row>
    <row r="119" spans="1:23" s="24" customFormat="1" ht="15.75" customHeight="1">
      <c r="A119" s="24">
        <v>18</v>
      </c>
      <c r="B119" s="24">
        <v>83</v>
      </c>
      <c r="C119" s="26" t="s">
        <v>345</v>
      </c>
      <c r="D119" s="24" t="s">
        <v>349</v>
      </c>
      <c r="E119" s="26">
        <v>2014</v>
      </c>
      <c r="F119" s="24" t="s">
        <v>207</v>
      </c>
      <c r="G119" s="22" t="s">
        <v>350</v>
      </c>
      <c r="H119" s="24" t="s">
        <v>351</v>
      </c>
      <c r="I119" s="24">
        <v>1</v>
      </c>
      <c r="J119" s="27">
        <f>7068584*12</f>
        <v>84823008</v>
      </c>
      <c r="K119" s="27">
        <f>J119*I119/10000</f>
        <v>8482.3008000000009</v>
      </c>
      <c r="L119" s="5">
        <f>1/60/60/24</f>
        <v>1.1574074074074073E-5</v>
      </c>
      <c r="M119" s="24">
        <v>0</v>
      </c>
      <c r="N119" s="5">
        <f>1/60/60/24</f>
        <v>1.1574074074074073E-5</v>
      </c>
      <c r="O119" s="24">
        <v>1</v>
      </c>
      <c r="P119" s="27">
        <v>1</v>
      </c>
      <c r="Q119" s="27">
        <v>0</v>
      </c>
      <c r="R119" s="27">
        <v>0</v>
      </c>
      <c r="S119" s="27">
        <v>0</v>
      </c>
      <c r="U119" s="27" t="s">
        <v>356</v>
      </c>
      <c r="V119" s="27" t="s">
        <v>357</v>
      </c>
    </row>
    <row r="120" spans="1:23" s="21" customFormat="1" ht="15.75" customHeight="1">
      <c r="B120" s="21">
        <v>84</v>
      </c>
      <c r="C120" s="9" t="s">
        <v>346</v>
      </c>
      <c r="D120" s="21" t="s">
        <v>358</v>
      </c>
      <c r="E120" s="9">
        <v>2013</v>
      </c>
      <c r="V120" s="21" t="s">
        <v>40</v>
      </c>
      <c r="W120" s="21" t="s">
        <v>359</v>
      </c>
    </row>
    <row r="121" spans="1:23" s="21" customFormat="1" ht="15.75" customHeight="1">
      <c r="B121" s="21">
        <v>85</v>
      </c>
      <c r="C121" s="9" t="s">
        <v>347</v>
      </c>
      <c r="D121" s="21" t="s">
        <v>360</v>
      </c>
      <c r="E121" s="9">
        <v>2012</v>
      </c>
      <c r="V121" s="21" t="s">
        <v>40</v>
      </c>
      <c r="W121" s="21" t="s">
        <v>136</v>
      </c>
    </row>
    <row r="122" spans="1:23" ht="15.75" customHeight="1">
      <c r="A122" s="27">
        <v>19</v>
      </c>
      <c r="B122" s="27">
        <v>86</v>
      </c>
      <c r="C122" s="26" t="s">
        <v>28</v>
      </c>
      <c r="D122" s="27" t="s">
        <v>361</v>
      </c>
      <c r="E122" s="22">
        <v>2006</v>
      </c>
      <c r="F122" s="27" t="s">
        <v>50</v>
      </c>
      <c r="G122" s="22" t="s">
        <v>368</v>
      </c>
      <c r="H122" s="27" t="s">
        <v>369</v>
      </c>
      <c r="I122">
        <f>0.5*0.5</f>
        <v>0.25</v>
      </c>
      <c r="J122">
        <v>12</v>
      </c>
      <c r="K122">
        <f>J122*I122/10000</f>
        <v>2.9999999999999997E-4</v>
      </c>
      <c r="L122">
        <v>1</v>
      </c>
      <c r="M122" s="27">
        <v>14</v>
      </c>
      <c r="N122">
        <f>L122*J122*2</f>
        <v>24</v>
      </c>
      <c r="O122">
        <f>365*2</f>
        <v>730</v>
      </c>
      <c r="P122">
        <v>3</v>
      </c>
      <c r="Q122" s="27">
        <v>2</v>
      </c>
      <c r="R122" s="27">
        <v>1</v>
      </c>
      <c r="S122" s="27">
        <v>1</v>
      </c>
      <c r="U122" t="s">
        <v>370</v>
      </c>
      <c r="V122" t="s">
        <v>371</v>
      </c>
    </row>
    <row r="123" spans="1:23" ht="15.75" customHeight="1">
      <c r="A123">
        <v>20</v>
      </c>
      <c r="B123">
        <v>87</v>
      </c>
      <c r="C123" t="s">
        <v>30</v>
      </c>
      <c r="D123" t="s">
        <v>362</v>
      </c>
      <c r="E123">
        <v>2003</v>
      </c>
      <c r="F123" t="s">
        <v>50</v>
      </c>
      <c r="G123" t="s">
        <v>364</v>
      </c>
      <c r="H123" t="s">
        <v>363</v>
      </c>
      <c r="I123">
        <v>8000</v>
      </c>
      <c r="J123">
        <v>1</v>
      </c>
      <c r="K123">
        <f>I123/10000</f>
        <v>0.8</v>
      </c>
      <c r="L123">
        <f>8/24</f>
        <v>0.33333333333333331</v>
      </c>
      <c r="M123">
        <v>4</v>
      </c>
      <c r="N123">
        <f>L123*8</f>
        <v>2.6666666666666665</v>
      </c>
      <c r="O123">
        <f>28</f>
        <v>28</v>
      </c>
      <c r="P123">
        <v>3</v>
      </c>
      <c r="Q123">
        <v>2</v>
      </c>
      <c r="R123">
        <v>0</v>
      </c>
      <c r="S123">
        <v>0</v>
      </c>
      <c r="U123" t="s">
        <v>365</v>
      </c>
      <c r="V123" t="s">
        <v>366</v>
      </c>
    </row>
    <row r="124" spans="1:23" ht="15.75" customHeight="1">
      <c r="A124">
        <v>20</v>
      </c>
      <c r="B124">
        <v>87</v>
      </c>
      <c r="C124" t="s">
        <v>30</v>
      </c>
      <c r="D124" t="s">
        <v>362</v>
      </c>
      <c r="E124">
        <v>2003</v>
      </c>
      <c r="F124" t="s">
        <v>50</v>
      </c>
      <c r="G124" t="s">
        <v>364</v>
      </c>
      <c r="H124" t="s">
        <v>363</v>
      </c>
      <c r="I124">
        <f>PI()*((0.008/2)^2)</f>
        <v>5.0265482457436686E-5</v>
      </c>
      <c r="J124">
        <v>1</v>
      </c>
      <c r="K124">
        <f>I124/10000</f>
        <v>5.0265482457436686E-9</v>
      </c>
      <c r="L124" s="5">
        <f>1/60/60/24</f>
        <v>1.1574074074074073E-5</v>
      </c>
      <c r="M124">
        <f>28/26</f>
        <v>1.0769230769230769</v>
      </c>
      <c r="N124">
        <f>L124*26</f>
        <v>3.0092592592592589E-4</v>
      </c>
      <c r="O124">
        <f>28</f>
        <v>28</v>
      </c>
      <c r="P124">
        <v>0</v>
      </c>
      <c r="Q124">
        <v>0</v>
      </c>
      <c r="R124">
        <v>1</v>
      </c>
      <c r="S124">
        <v>0</v>
      </c>
      <c r="U124" t="s">
        <v>90</v>
      </c>
      <c r="V124" t="s">
        <v>367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56"/>
  <sheetViews>
    <sheetView tabSelected="1" workbookViewId="0">
      <pane ySplit="1" topLeftCell="A23" activePane="bottomLeft" state="frozen"/>
      <selection pane="bottomLeft" activeCell="F61" sqref="F61"/>
    </sheetView>
  </sheetViews>
  <sheetFormatPr baseColWidth="10" defaultRowHeight="12" x14ac:dyDescent="0"/>
  <sheetData>
    <row r="1" spans="1:32" ht="25.5" customHeight="1">
      <c r="A1" s="29" t="s">
        <v>184</v>
      </c>
      <c r="B1" s="29" t="s">
        <v>262</v>
      </c>
      <c r="C1" s="3" t="s">
        <v>7</v>
      </c>
      <c r="D1" s="3" t="s">
        <v>8</v>
      </c>
      <c r="E1" s="3" t="s">
        <v>9</v>
      </c>
      <c r="F1" s="3" t="s">
        <v>10</v>
      </c>
      <c r="G1" s="3" t="s">
        <v>11</v>
      </c>
      <c r="H1" s="3" t="s">
        <v>12</v>
      </c>
      <c r="I1" s="3" t="s">
        <v>13</v>
      </c>
      <c r="J1" s="3" t="s">
        <v>14</v>
      </c>
      <c r="K1" s="3" t="s">
        <v>15</v>
      </c>
      <c r="L1" s="3" t="s">
        <v>16</v>
      </c>
      <c r="M1" s="3" t="s">
        <v>17</v>
      </c>
      <c r="N1" s="3" t="s">
        <v>18</v>
      </c>
      <c r="O1" s="4" t="s">
        <v>19</v>
      </c>
      <c r="P1" s="3" t="s">
        <v>20</v>
      </c>
      <c r="Q1" s="3" t="s">
        <v>21</v>
      </c>
      <c r="R1" s="3" t="s">
        <v>22</v>
      </c>
      <c r="S1" s="3" t="s">
        <v>23</v>
      </c>
      <c r="T1" s="3" t="s">
        <v>24</v>
      </c>
      <c r="U1" s="3" t="s">
        <v>25</v>
      </c>
      <c r="V1" s="3" t="s">
        <v>26</v>
      </c>
      <c r="W1" s="20" t="s">
        <v>44</v>
      </c>
      <c r="X1" s="1"/>
      <c r="Y1" s="1"/>
      <c r="Z1" s="1"/>
      <c r="AA1" s="1"/>
      <c r="AB1" s="1"/>
      <c r="AC1" s="1"/>
      <c r="AD1" s="1"/>
      <c r="AE1" s="1"/>
      <c r="AF1" s="1"/>
    </row>
    <row r="2" spans="1:32" ht="15.75" customHeight="1">
      <c r="A2">
        <v>1</v>
      </c>
      <c r="B2" s="25">
        <v>6</v>
      </c>
      <c r="C2" s="7" t="s">
        <v>30</v>
      </c>
      <c r="D2" s="24" t="s">
        <v>161</v>
      </c>
      <c r="E2" s="7">
        <v>2005</v>
      </c>
      <c r="F2" s="19" t="s">
        <v>50</v>
      </c>
      <c r="G2" t="s">
        <v>89</v>
      </c>
      <c r="H2" t="s">
        <v>162</v>
      </c>
      <c r="I2">
        <v>4</v>
      </c>
      <c r="J2">
        <f>16+4+(28+29-27)</f>
        <v>50</v>
      </c>
      <c r="K2">
        <f>J2*I2/10000</f>
        <v>0.02</v>
      </c>
      <c r="L2">
        <v>1</v>
      </c>
      <c r="M2">
        <v>0</v>
      </c>
      <c r="N2">
        <v>50</v>
      </c>
      <c r="O2">
        <f>365+365-60</f>
        <v>670</v>
      </c>
      <c r="P2">
        <v>3</v>
      </c>
      <c r="Q2">
        <v>2</v>
      </c>
      <c r="R2">
        <v>2</v>
      </c>
      <c r="S2">
        <v>1</v>
      </c>
      <c r="U2" t="s">
        <v>113</v>
      </c>
      <c r="V2" s="25" t="s">
        <v>163</v>
      </c>
    </row>
    <row r="3" spans="1:32" ht="15.75" customHeight="1">
      <c r="A3">
        <v>1</v>
      </c>
      <c r="B3" s="25">
        <v>6</v>
      </c>
      <c r="C3" s="7" t="s">
        <v>30</v>
      </c>
      <c r="D3" s="24" t="s">
        <v>161</v>
      </c>
      <c r="E3" s="7">
        <v>2005</v>
      </c>
      <c r="F3" s="19" t="s">
        <v>50</v>
      </c>
      <c r="G3" t="s">
        <v>89</v>
      </c>
      <c r="H3" t="s">
        <v>162</v>
      </c>
      <c r="I3">
        <f>0.5*0.1</f>
        <v>0.05</v>
      </c>
      <c r="J3">
        <v>6</v>
      </c>
      <c r="K3">
        <f>J3*I3</f>
        <v>0.30000000000000004</v>
      </c>
      <c r="L3">
        <v>1</v>
      </c>
      <c r="M3">
        <v>0</v>
      </c>
      <c r="N3">
        <v>6</v>
      </c>
      <c r="O3">
        <v>670</v>
      </c>
      <c r="P3">
        <v>3</v>
      </c>
      <c r="Q3">
        <v>0</v>
      </c>
      <c r="R3">
        <v>2</v>
      </c>
      <c r="S3">
        <v>1</v>
      </c>
      <c r="U3" t="s">
        <v>90</v>
      </c>
      <c r="V3" s="25" t="s">
        <v>164</v>
      </c>
    </row>
    <row r="4" spans="1:32" s="25" customFormat="1" ht="15.75" customHeight="1">
      <c r="A4" s="25">
        <v>2</v>
      </c>
      <c r="B4" s="25">
        <v>9</v>
      </c>
      <c r="C4" s="26" t="s">
        <v>144</v>
      </c>
      <c r="D4" s="24" t="s">
        <v>168</v>
      </c>
      <c r="E4" s="26">
        <v>2008</v>
      </c>
      <c r="F4" s="24" t="s">
        <v>50</v>
      </c>
      <c r="G4" s="25" t="s">
        <v>169</v>
      </c>
      <c r="H4" s="25" t="s">
        <v>171</v>
      </c>
      <c r="I4" s="25">
        <f>(AVERAGE(827/10,632/6,1114/22,867/15)*10000)</f>
        <v>741174.24242424231</v>
      </c>
      <c r="J4" s="25">
        <f>10+6+22+15</f>
        <v>53</v>
      </c>
      <c r="K4" s="25">
        <f>827+632+1114+867</f>
        <v>3440</v>
      </c>
      <c r="L4" s="25">
        <v>1</v>
      </c>
      <c r="M4" s="25">
        <f>AVERAGE(15,30,30)</f>
        <v>25</v>
      </c>
      <c r="N4" s="25">
        <f>L4*J4*2.5</f>
        <v>132.5</v>
      </c>
      <c r="O4" s="25">
        <f>(5*365)+30</f>
        <v>1855</v>
      </c>
      <c r="P4" s="25">
        <v>3</v>
      </c>
      <c r="Q4" s="25">
        <v>1</v>
      </c>
      <c r="R4" s="25">
        <v>0</v>
      </c>
      <c r="S4" s="25">
        <v>0</v>
      </c>
      <c r="U4" s="25" t="s">
        <v>170</v>
      </c>
    </row>
    <row r="5" spans="1:32" ht="15.75" customHeight="1">
      <c r="A5">
        <v>3</v>
      </c>
      <c r="B5" s="25">
        <v>11</v>
      </c>
      <c r="C5" s="7" t="s">
        <v>31</v>
      </c>
      <c r="D5" s="24" t="s">
        <v>173</v>
      </c>
      <c r="E5" s="7">
        <v>2012</v>
      </c>
      <c r="F5" s="19" t="s">
        <v>50</v>
      </c>
      <c r="G5" t="s">
        <v>174</v>
      </c>
      <c r="H5" t="s">
        <v>175</v>
      </c>
      <c r="I5">
        <v>100</v>
      </c>
      <c r="J5">
        <v>89</v>
      </c>
      <c r="K5">
        <f>J5*I5/10000</f>
        <v>0.89</v>
      </c>
      <c r="L5">
        <f>7594/89</f>
        <v>85.325842696629209</v>
      </c>
      <c r="M5">
        <v>0</v>
      </c>
      <c r="N5">
        <v>7594</v>
      </c>
      <c r="O5">
        <f>6*30</f>
        <v>180</v>
      </c>
      <c r="P5">
        <v>3</v>
      </c>
      <c r="Q5">
        <v>0</v>
      </c>
      <c r="R5">
        <v>2</v>
      </c>
      <c r="S5">
        <v>1</v>
      </c>
      <c r="U5" t="s">
        <v>176</v>
      </c>
    </row>
    <row r="6" spans="1:32" ht="15.75" customHeight="1">
      <c r="A6">
        <v>4</v>
      </c>
      <c r="B6" s="28">
        <v>22</v>
      </c>
      <c r="C6" s="7" t="s">
        <v>30</v>
      </c>
      <c r="D6" s="8" t="s">
        <v>49</v>
      </c>
      <c r="E6" s="5">
        <v>2012</v>
      </c>
      <c r="F6" s="8" t="s">
        <v>50</v>
      </c>
      <c r="G6" s="8" t="s">
        <v>51</v>
      </c>
      <c r="H6" s="8" t="s">
        <v>52</v>
      </c>
      <c r="I6" s="5">
        <f>20*PI()*(0.0127^2)</f>
        <v>1.0134149581949954E-2</v>
      </c>
      <c r="J6" s="5">
        <f>5*8</f>
        <v>40</v>
      </c>
      <c r="K6" s="5">
        <f>(J6*I6)/10000</f>
        <v>4.0536598327799815E-5</v>
      </c>
      <c r="L6" s="5">
        <f>5/60/24*40</f>
        <v>0.1388888888888889</v>
      </c>
      <c r="M6" s="5">
        <v>7</v>
      </c>
      <c r="N6" s="5">
        <f>L6*J6</f>
        <v>5.5555555555555554</v>
      </c>
      <c r="O6" s="5">
        <v>28</v>
      </c>
      <c r="P6" s="5">
        <v>3</v>
      </c>
      <c r="Q6" s="5">
        <v>0</v>
      </c>
      <c r="R6" s="5">
        <v>3</v>
      </c>
      <c r="S6" s="5">
        <v>1</v>
      </c>
      <c r="T6" s="5"/>
      <c r="U6" s="8" t="s">
        <v>90</v>
      </c>
      <c r="V6" s="8" t="s">
        <v>191</v>
      </c>
      <c r="W6" s="6"/>
    </row>
    <row r="7" spans="1:32" ht="15.75" customHeight="1">
      <c r="A7">
        <v>5</v>
      </c>
      <c r="B7" s="28">
        <v>23</v>
      </c>
      <c r="C7" s="7" t="s">
        <v>29</v>
      </c>
      <c r="D7" s="24" t="s">
        <v>192</v>
      </c>
      <c r="E7" s="7">
        <v>2011</v>
      </c>
      <c r="F7" s="19" t="s">
        <v>195</v>
      </c>
      <c r="G7" t="s">
        <v>193</v>
      </c>
      <c r="H7" t="s">
        <v>194</v>
      </c>
      <c r="I7">
        <f>PI()*(100^2)*25</f>
        <v>785398.16339744825</v>
      </c>
      <c r="J7">
        <v>993</v>
      </c>
      <c r="K7">
        <f t="shared" ref="K7:K17" si="0">J7*I7/10000</f>
        <v>77990.037625366618</v>
      </c>
      <c r="L7" s="5">
        <f>5/60/24</f>
        <v>3.472222222222222E-3</v>
      </c>
      <c r="M7">
        <f>12/60/24</f>
        <v>8.3333333333333332E-3</v>
      </c>
      <c r="N7">
        <f>L7*25*993</f>
        <v>86.197916666666657</v>
      </c>
      <c r="O7" s="5">
        <v>47</v>
      </c>
      <c r="P7">
        <v>3</v>
      </c>
      <c r="Q7">
        <v>1</v>
      </c>
      <c r="R7">
        <v>0</v>
      </c>
      <c r="S7">
        <v>1</v>
      </c>
      <c r="T7" s="32" t="s">
        <v>220</v>
      </c>
      <c r="U7" t="s">
        <v>211</v>
      </c>
      <c r="V7" s="30" t="s">
        <v>210</v>
      </c>
    </row>
    <row r="8" spans="1:32" ht="15.75" customHeight="1">
      <c r="A8">
        <v>5</v>
      </c>
      <c r="B8" s="28">
        <v>23</v>
      </c>
      <c r="C8" s="7" t="s">
        <v>29</v>
      </c>
      <c r="D8" s="24" t="s">
        <v>192</v>
      </c>
      <c r="E8" s="7">
        <v>2011</v>
      </c>
      <c r="F8" s="19" t="s">
        <v>207</v>
      </c>
      <c r="G8" t="s">
        <v>193</v>
      </c>
      <c r="H8" t="s">
        <v>194</v>
      </c>
      <c r="I8">
        <v>900</v>
      </c>
      <c r="J8">
        <f>(100000000/I8*993)</f>
        <v>110333333.33333333</v>
      </c>
      <c r="K8">
        <f t="shared" si="0"/>
        <v>9930000</v>
      </c>
      <c r="L8" s="5">
        <f>1/60/60/24</f>
        <v>1.1574074074074073E-5</v>
      </c>
      <c r="M8">
        <v>365</v>
      </c>
      <c r="N8" s="5">
        <f>M8*L8*5</f>
        <v>2.1122685185185185E-2</v>
      </c>
      <c r="O8" s="5">
        <f>365*5</f>
        <v>1825</v>
      </c>
      <c r="P8">
        <v>1</v>
      </c>
      <c r="Q8">
        <v>2</v>
      </c>
      <c r="R8">
        <v>0</v>
      </c>
      <c r="S8">
        <v>0</v>
      </c>
      <c r="U8" t="s">
        <v>196</v>
      </c>
      <c r="V8" s="25" t="s">
        <v>208</v>
      </c>
    </row>
    <row r="9" spans="1:32" ht="15.75" customHeight="1">
      <c r="A9">
        <v>5</v>
      </c>
      <c r="B9" s="28">
        <v>23</v>
      </c>
      <c r="C9" s="7" t="s">
        <v>29</v>
      </c>
      <c r="D9" s="24" t="s">
        <v>192</v>
      </c>
      <c r="E9" s="7">
        <v>2011</v>
      </c>
      <c r="F9" s="19" t="s">
        <v>207</v>
      </c>
      <c r="G9" t="s">
        <v>193</v>
      </c>
      <c r="H9" t="s">
        <v>194</v>
      </c>
      <c r="I9">
        <f>100*100</f>
        <v>10000</v>
      </c>
      <c r="J9">
        <f>(100000000/I9*993)</f>
        <v>9930000</v>
      </c>
      <c r="K9">
        <f t="shared" si="0"/>
        <v>9930000</v>
      </c>
      <c r="L9" s="5">
        <f>1/60/60/24</f>
        <v>1.1574074074074073E-5</v>
      </c>
      <c r="M9">
        <v>0</v>
      </c>
      <c r="N9" s="5">
        <v>1</v>
      </c>
      <c r="O9" s="5">
        <v>1</v>
      </c>
      <c r="P9" s="8">
        <v>0</v>
      </c>
      <c r="Q9" s="8">
        <v>0</v>
      </c>
      <c r="R9" s="8">
        <v>1</v>
      </c>
      <c r="S9" s="8">
        <v>0</v>
      </c>
      <c r="U9" t="s">
        <v>196</v>
      </c>
      <c r="V9" s="25" t="s">
        <v>212</v>
      </c>
    </row>
    <row r="10" spans="1:32" ht="15.75" customHeight="1">
      <c r="A10">
        <v>5</v>
      </c>
      <c r="B10" s="28">
        <v>23</v>
      </c>
      <c r="C10" s="7" t="s">
        <v>29</v>
      </c>
      <c r="D10" s="24" t="s">
        <v>192</v>
      </c>
      <c r="E10" s="7">
        <v>2011</v>
      </c>
      <c r="F10" s="19" t="s">
        <v>207</v>
      </c>
      <c r="G10" t="s">
        <v>193</v>
      </c>
      <c r="H10" t="s">
        <v>194</v>
      </c>
      <c r="I10">
        <v>900</v>
      </c>
      <c r="J10">
        <f>(100000000/I10*993)</f>
        <v>110333333.33333333</v>
      </c>
      <c r="K10">
        <f t="shared" si="0"/>
        <v>9930000</v>
      </c>
      <c r="L10" s="5">
        <f>1/60/60/24</f>
        <v>1.1574074074074073E-5</v>
      </c>
      <c r="M10">
        <v>0</v>
      </c>
      <c r="N10" s="5">
        <v>1</v>
      </c>
      <c r="O10" s="5">
        <v>1</v>
      </c>
      <c r="P10">
        <v>0</v>
      </c>
      <c r="Q10">
        <v>0</v>
      </c>
      <c r="R10">
        <v>2</v>
      </c>
      <c r="S10">
        <v>0</v>
      </c>
      <c r="U10" t="s">
        <v>196</v>
      </c>
      <c r="V10" s="25" t="s">
        <v>209</v>
      </c>
    </row>
    <row r="11" spans="1:32" ht="15.75" customHeight="1">
      <c r="A11">
        <v>6</v>
      </c>
      <c r="B11" s="28">
        <v>28</v>
      </c>
      <c r="C11" s="7" t="s">
        <v>29</v>
      </c>
      <c r="D11" s="24" t="s">
        <v>200</v>
      </c>
      <c r="E11" s="7">
        <v>2005</v>
      </c>
      <c r="F11" s="19" t="s">
        <v>50</v>
      </c>
      <c r="G11" t="s">
        <v>201</v>
      </c>
      <c r="H11" t="s">
        <v>202</v>
      </c>
      <c r="I11">
        <f>2000*2000*8</f>
        <v>32000000</v>
      </c>
      <c r="J11">
        <v>2262</v>
      </c>
      <c r="K11">
        <f t="shared" si="0"/>
        <v>7238400</v>
      </c>
      <c r="L11" s="5">
        <f>2/24</f>
        <v>8.3333333333333329E-2</v>
      </c>
      <c r="M11">
        <v>28</v>
      </c>
      <c r="N11" s="5">
        <f>M11*L11*8</f>
        <v>18.666666666666664</v>
      </c>
      <c r="O11" s="5">
        <f>4*30*4</f>
        <v>480</v>
      </c>
      <c r="P11">
        <v>3</v>
      </c>
      <c r="Q11">
        <v>1</v>
      </c>
      <c r="R11">
        <v>0</v>
      </c>
      <c r="S11">
        <v>1</v>
      </c>
      <c r="T11" t="s">
        <v>219</v>
      </c>
      <c r="U11" t="s">
        <v>213</v>
      </c>
      <c r="V11" s="30" t="s">
        <v>214</v>
      </c>
    </row>
    <row r="12" spans="1:32" ht="15.75" customHeight="1">
      <c r="A12">
        <v>6</v>
      </c>
      <c r="B12" s="28">
        <v>28</v>
      </c>
      <c r="C12" s="7" t="s">
        <v>29</v>
      </c>
      <c r="D12" s="24" t="s">
        <v>200</v>
      </c>
      <c r="E12" s="7">
        <v>2005</v>
      </c>
      <c r="F12" s="19" t="s">
        <v>216</v>
      </c>
      <c r="G12" t="s">
        <v>201</v>
      </c>
      <c r="H12" t="s">
        <v>202</v>
      </c>
      <c r="I12" s="31">
        <v>6368199.4000000004</v>
      </c>
      <c r="J12">
        <v>38254</v>
      </c>
      <c r="K12">
        <f t="shared" si="0"/>
        <v>24360909.984760001</v>
      </c>
      <c r="L12" s="5">
        <v>1</v>
      </c>
      <c r="M12">
        <v>0</v>
      </c>
      <c r="N12">
        <v>1</v>
      </c>
      <c r="O12" s="5">
        <v>365</v>
      </c>
      <c r="P12">
        <v>0</v>
      </c>
      <c r="Q12">
        <v>1</v>
      </c>
      <c r="R12">
        <v>0</v>
      </c>
      <c r="S12">
        <v>0</v>
      </c>
      <c r="U12" t="s">
        <v>196</v>
      </c>
      <c r="V12" s="25" t="s">
        <v>215</v>
      </c>
    </row>
    <row r="13" spans="1:32" ht="15.75" customHeight="1">
      <c r="A13">
        <v>6</v>
      </c>
      <c r="B13" s="28">
        <v>28</v>
      </c>
      <c r="C13" s="7" t="s">
        <v>29</v>
      </c>
      <c r="D13" s="24" t="s">
        <v>200</v>
      </c>
      <c r="E13" s="7">
        <v>2005</v>
      </c>
      <c r="F13" s="19" t="s">
        <v>238</v>
      </c>
      <c r="G13" t="s">
        <v>201</v>
      </c>
      <c r="H13" t="s">
        <v>202</v>
      </c>
      <c r="I13">
        <f>PI()*(0.5^2)</f>
        <v>0.78539816339744828</v>
      </c>
      <c r="J13">
        <v>270</v>
      </c>
      <c r="K13">
        <f t="shared" si="0"/>
        <v>2.1205750411731103E-2</v>
      </c>
      <c r="L13" s="5">
        <f>1/60/60/24</f>
        <v>1.1574074074074073E-5</v>
      </c>
      <c r="M13">
        <v>30</v>
      </c>
      <c r="N13" s="5">
        <f>30*3*30*L13</f>
        <v>3.125E-2</v>
      </c>
      <c r="O13" s="5">
        <f>40*365</f>
        <v>14600</v>
      </c>
      <c r="P13">
        <v>0</v>
      </c>
      <c r="Q13">
        <v>0</v>
      </c>
      <c r="R13">
        <v>1</v>
      </c>
      <c r="S13">
        <v>0</v>
      </c>
      <c r="T13" t="s">
        <v>218</v>
      </c>
      <c r="U13" t="s">
        <v>196</v>
      </c>
      <c r="V13" s="25" t="s">
        <v>217</v>
      </c>
    </row>
    <row r="14" spans="1:32" s="24" customFormat="1" ht="15.75" customHeight="1">
      <c r="A14" s="24">
        <v>7</v>
      </c>
      <c r="B14" s="24">
        <v>35</v>
      </c>
      <c r="C14" s="26" t="s">
        <v>31</v>
      </c>
      <c r="D14" s="24" t="s">
        <v>226</v>
      </c>
      <c r="E14" s="26">
        <v>2007</v>
      </c>
      <c r="F14" s="24" t="s">
        <v>50</v>
      </c>
      <c r="G14" s="22" t="s">
        <v>227</v>
      </c>
      <c r="H14" s="24" t="s">
        <v>228</v>
      </c>
      <c r="I14" s="24">
        <f>((2*196)+273+45)/198</f>
        <v>3.5858585858585861</v>
      </c>
      <c r="J14" s="24">
        <v>198</v>
      </c>
      <c r="K14" s="24">
        <f t="shared" si="0"/>
        <v>7.0999999999999994E-2</v>
      </c>
      <c r="L14" s="24">
        <f>(28)/196</f>
        <v>0.14285714285714285</v>
      </c>
      <c r="M14" s="24">
        <v>365</v>
      </c>
      <c r="N14" s="24">
        <f>L14*196</f>
        <v>28</v>
      </c>
      <c r="O14" s="24">
        <f>10*365</f>
        <v>3650</v>
      </c>
      <c r="P14" s="24">
        <v>3</v>
      </c>
      <c r="Q14" s="24">
        <v>0</v>
      </c>
      <c r="R14" s="27">
        <v>1</v>
      </c>
      <c r="S14" s="27">
        <v>0</v>
      </c>
      <c r="V14" s="24" t="s">
        <v>229</v>
      </c>
    </row>
    <row r="15" spans="1:32" s="24" customFormat="1" ht="15.75" customHeight="1">
      <c r="A15" s="24">
        <v>7</v>
      </c>
      <c r="B15" s="24">
        <v>35</v>
      </c>
      <c r="C15" s="26" t="s">
        <v>31</v>
      </c>
      <c r="D15" s="24" t="s">
        <v>226</v>
      </c>
      <c r="E15" s="26">
        <v>2007</v>
      </c>
      <c r="F15" s="24" t="s">
        <v>50</v>
      </c>
      <c r="G15" s="22" t="s">
        <v>227</v>
      </c>
      <c r="H15" s="24" t="s">
        <v>228</v>
      </c>
      <c r="I15" s="24">
        <f>((2*196)+273+45)/198</f>
        <v>3.5858585858585861</v>
      </c>
      <c r="J15" s="24">
        <v>198</v>
      </c>
      <c r="K15" s="24">
        <f t="shared" si="0"/>
        <v>7.0999999999999994E-2</v>
      </c>
      <c r="L15" s="24">
        <f>(31)/196</f>
        <v>0.15816326530612246</v>
      </c>
      <c r="M15" s="24">
        <v>365</v>
      </c>
      <c r="N15" s="24">
        <f>L15*196</f>
        <v>31</v>
      </c>
      <c r="O15" s="24">
        <f>10*365</f>
        <v>3650</v>
      </c>
      <c r="P15" s="24">
        <v>3</v>
      </c>
      <c r="Q15" s="24">
        <v>1</v>
      </c>
      <c r="R15" s="27">
        <v>1</v>
      </c>
      <c r="S15" s="27">
        <v>0</v>
      </c>
      <c r="V15" s="24" t="s">
        <v>230</v>
      </c>
    </row>
    <row r="16" spans="1:32" s="24" customFormat="1" ht="15.75" customHeight="1">
      <c r="A16" s="24">
        <v>7</v>
      </c>
      <c r="B16" s="24">
        <v>35</v>
      </c>
      <c r="C16" s="26" t="s">
        <v>31</v>
      </c>
      <c r="D16" s="24" t="s">
        <v>226</v>
      </c>
      <c r="E16" s="26">
        <v>2007</v>
      </c>
      <c r="F16" s="24" t="s">
        <v>50</v>
      </c>
      <c r="G16" s="22" t="s">
        <v>227</v>
      </c>
      <c r="H16" s="24" t="s">
        <v>228</v>
      </c>
      <c r="I16" s="24">
        <f>((2*196)+273+45)/198</f>
        <v>3.5858585858585861</v>
      </c>
      <c r="J16" s="24">
        <v>198</v>
      </c>
      <c r="K16" s="24">
        <f t="shared" si="0"/>
        <v>7.0999999999999994E-2</v>
      </c>
      <c r="L16" s="24">
        <f>5/196</f>
        <v>2.5510204081632654E-2</v>
      </c>
      <c r="M16" s="24">
        <f>(365*7)/5</f>
        <v>511</v>
      </c>
      <c r="N16" s="24">
        <f>L16*196</f>
        <v>5</v>
      </c>
      <c r="O16" s="24">
        <f>7*365</f>
        <v>2555</v>
      </c>
      <c r="P16" s="24">
        <v>3</v>
      </c>
      <c r="Q16" s="24">
        <v>1</v>
      </c>
      <c r="R16" s="24">
        <v>0</v>
      </c>
      <c r="S16" s="27">
        <v>0</v>
      </c>
      <c r="V16" s="24" t="s">
        <v>231</v>
      </c>
    </row>
    <row r="17" spans="1:22" s="24" customFormat="1" ht="15.75" customHeight="1">
      <c r="A17" s="27">
        <v>7</v>
      </c>
      <c r="B17" s="24">
        <v>35</v>
      </c>
      <c r="C17" s="26" t="s">
        <v>31</v>
      </c>
      <c r="D17" s="24" t="s">
        <v>226</v>
      </c>
      <c r="E17" s="26">
        <v>2007</v>
      </c>
      <c r="F17" s="24" t="s">
        <v>50</v>
      </c>
      <c r="G17" s="22" t="s">
        <v>227</v>
      </c>
      <c r="H17" s="24" t="s">
        <v>228</v>
      </c>
      <c r="I17" s="24">
        <f>(0.4*0.05)</f>
        <v>2.0000000000000004E-2</v>
      </c>
      <c r="J17" s="24">
        <v>20</v>
      </c>
      <c r="K17" s="24">
        <f t="shared" si="0"/>
        <v>4.000000000000001E-5</v>
      </c>
      <c r="L17" s="24">
        <f>20/196</f>
        <v>0.10204081632653061</v>
      </c>
      <c r="M17" s="24">
        <f>(365*4)/3</f>
        <v>486.66666666666669</v>
      </c>
      <c r="N17" s="24">
        <f>L17*196</f>
        <v>20</v>
      </c>
      <c r="O17" s="24">
        <f>4*365</f>
        <v>1460</v>
      </c>
      <c r="P17" s="24">
        <v>3</v>
      </c>
      <c r="Q17" s="24">
        <v>1</v>
      </c>
      <c r="R17" s="24">
        <v>0</v>
      </c>
      <c r="S17" s="27">
        <v>0</v>
      </c>
      <c r="U17" s="24" t="s">
        <v>233</v>
      </c>
      <c r="V17" s="24" t="s">
        <v>232</v>
      </c>
    </row>
    <row r="18" spans="1:22" ht="15.75" customHeight="1">
      <c r="A18">
        <v>8</v>
      </c>
      <c r="B18" s="24">
        <v>48</v>
      </c>
      <c r="C18" s="7" t="s">
        <v>35</v>
      </c>
      <c r="D18" s="24" t="s">
        <v>252</v>
      </c>
      <c r="E18" s="7">
        <v>2012</v>
      </c>
      <c r="F18" t="s">
        <v>50</v>
      </c>
      <c r="G18" s="7" t="s">
        <v>254</v>
      </c>
      <c r="H18" s="7" t="s">
        <v>253</v>
      </c>
      <c r="I18">
        <v>0.104835</v>
      </c>
      <c r="J18">
        <v>160</v>
      </c>
      <c r="K18">
        <f t="shared" ref="K18:K30" si="1">J18*I18/10000</f>
        <v>1.6773599999999999E-3</v>
      </c>
      <c r="L18">
        <f>60/160</f>
        <v>0.375</v>
      </c>
      <c r="M18">
        <v>0</v>
      </c>
      <c r="N18">
        <f>L18*160</f>
        <v>60</v>
      </c>
      <c r="O18">
        <v>60</v>
      </c>
      <c r="P18">
        <v>3</v>
      </c>
      <c r="Q18">
        <v>2</v>
      </c>
      <c r="R18">
        <v>0</v>
      </c>
      <c r="S18">
        <v>0</v>
      </c>
      <c r="U18" t="s">
        <v>176</v>
      </c>
      <c r="V18" s="24" t="s">
        <v>255</v>
      </c>
    </row>
    <row r="19" spans="1:22" ht="15.75" customHeight="1">
      <c r="A19">
        <v>8</v>
      </c>
      <c r="B19" s="24">
        <v>48</v>
      </c>
      <c r="C19" s="7" t="s">
        <v>35</v>
      </c>
      <c r="D19" s="24" t="s">
        <v>252</v>
      </c>
      <c r="E19" s="7">
        <v>2012</v>
      </c>
      <c r="F19" t="s">
        <v>50</v>
      </c>
      <c r="G19" s="7" t="s">
        <v>254</v>
      </c>
      <c r="H19" s="7" t="s">
        <v>253</v>
      </c>
      <c r="I19">
        <v>0.104835</v>
      </c>
      <c r="J19">
        <v>240</v>
      </c>
      <c r="K19">
        <f t="shared" si="1"/>
        <v>2.5160399999999998E-3</v>
      </c>
      <c r="L19">
        <f>60/240</f>
        <v>0.25</v>
      </c>
      <c r="M19">
        <v>0</v>
      </c>
      <c r="N19">
        <f>L19*240</f>
        <v>60</v>
      </c>
      <c r="O19">
        <v>60</v>
      </c>
      <c r="P19">
        <v>3</v>
      </c>
      <c r="Q19">
        <v>1</v>
      </c>
      <c r="R19">
        <v>0</v>
      </c>
      <c r="S19">
        <v>2</v>
      </c>
      <c r="U19" t="s">
        <v>176</v>
      </c>
      <c r="V19" s="24" t="s">
        <v>256</v>
      </c>
    </row>
    <row r="20" spans="1:22" ht="15.75" customHeight="1">
      <c r="A20">
        <v>8</v>
      </c>
      <c r="B20" s="24">
        <v>48</v>
      </c>
      <c r="C20" s="7" t="s">
        <v>35</v>
      </c>
      <c r="D20" s="24" t="s">
        <v>252</v>
      </c>
      <c r="E20" s="7">
        <v>2012</v>
      </c>
      <c r="F20" t="s">
        <v>50</v>
      </c>
      <c r="G20" s="7" t="s">
        <v>254</v>
      </c>
      <c r="H20" s="7" t="s">
        <v>253</v>
      </c>
      <c r="I20">
        <v>0.104835</v>
      </c>
      <c r="J20">
        <v>64</v>
      </c>
      <c r="K20">
        <f t="shared" si="1"/>
        <v>6.7094400000000003E-4</v>
      </c>
      <c r="L20">
        <f>1/64</f>
        <v>1.5625E-2</v>
      </c>
      <c r="M20">
        <v>0</v>
      </c>
      <c r="N20">
        <f>L20*64</f>
        <v>1</v>
      </c>
      <c r="O20">
        <v>1</v>
      </c>
      <c r="P20">
        <v>3</v>
      </c>
      <c r="Q20">
        <v>1</v>
      </c>
      <c r="R20">
        <v>0</v>
      </c>
      <c r="S20">
        <v>2</v>
      </c>
      <c r="U20" t="s">
        <v>233</v>
      </c>
      <c r="V20" s="24" t="s">
        <v>257</v>
      </c>
    </row>
    <row r="21" spans="1:22" ht="15.75" customHeight="1">
      <c r="A21">
        <v>8</v>
      </c>
      <c r="B21" s="24">
        <v>48</v>
      </c>
      <c r="C21" s="7" t="s">
        <v>35</v>
      </c>
      <c r="D21" s="24" t="s">
        <v>252</v>
      </c>
      <c r="E21" s="7">
        <v>2012</v>
      </c>
      <c r="F21" t="s">
        <v>50</v>
      </c>
      <c r="G21" s="7" t="s">
        <v>254</v>
      </c>
      <c r="H21" s="7" t="s">
        <v>253</v>
      </c>
      <c r="I21" s="33">
        <f>(0.1*0.05)*20</f>
        <v>0.10000000000000002</v>
      </c>
      <c r="J21">
        <v>64</v>
      </c>
      <c r="K21" s="33">
        <f t="shared" si="1"/>
        <v>6.4000000000000016E-4</v>
      </c>
      <c r="L21">
        <f>1/64</f>
        <v>1.5625E-2</v>
      </c>
      <c r="M21">
        <v>0</v>
      </c>
      <c r="N21">
        <f>L21*64</f>
        <v>1</v>
      </c>
      <c r="O21">
        <v>1</v>
      </c>
      <c r="P21">
        <v>3</v>
      </c>
      <c r="Q21">
        <v>2</v>
      </c>
      <c r="R21">
        <v>0</v>
      </c>
      <c r="S21">
        <v>0</v>
      </c>
      <c r="U21" t="s">
        <v>233</v>
      </c>
      <c r="V21" s="27" t="s">
        <v>258</v>
      </c>
    </row>
    <row r="22" spans="1:22" ht="15.75" customHeight="1">
      <c r="A22">
        <v>8</v>
      </c>
      <c r="B22" s="24">
        <v>48</v>
      </c>
      <c r="C22" s="7" t="s">
        <v>35</v>
      </c>
      <c r="D22" s="24" t="s">
        <v>252</v>
      </c>
      <c r="E22" s="7">
        <v>2012</v>
      </c>
      <c r="F22" t="s">
        <v>50</v>
      </c>
      <c r="G22" s="7" t="s">
        <v>254</v>
      </c>
      <c r="H22" s="7" t="s">
        <v>253</v>
      </c>
      <c r="I22">
        <f>(0.2*0.2)*3</f>
        <v>0.12000000000000002</v>
      </c>
      <c r="J22">
        <v>64</v>
      </c>
      <c r="K22">
        <f t="shared" si="1"/>
        <v>7.6800000000000013E-4</v>
      </c>
      <c r="L22">
        <f>1/64</f>
        <v>1.5625E-2</v>
      </c>
      <c r="M22">
        <v>0</v>
      </c>
      <c r="N22">
        <f>L22*64</f>
        <v>1</v>
      </c>
      <c r="O22">
        <v>1</v>
      </c>
      <c r="P22">
        <v>0</v>
      </c>
      <c r="Q22">
        <v>2</v>
      </c>
      <c r="R22">
        <v>0</v>
      </c>
      <c r="S22">
        <v>0</v>
      </c>
      <c r="U22" t="s">
        <v>233</v>
      </c>
      <c r="V22" s="27" t="s">
        <v>259</v>
      </c>
    </row>
    <row r="23" spans="1:22" ht="15.75" customHeight="1">
      <c r="A23">
        <v>8</v>
      </c>
      <c r="B23" s="24">
        <v>48</v>
      </c>
      <c r="C23" s="7" t="s">
        <v>35</v>
      </c>
      <c r="D23" s="24" t="s">
        <v>252</v>
      </c>
      <c r="E23" s="7">
        <v>2012</v>
      </c>
      <c r="F23" t="s">
        <v>238</v>
      </c>
      <c r="G23" s="7" t="s">
        <v>254</v>
      </c>
      <c r="H23" s="7" t="s">
        <v>253</v>
      </c>
      <c r="I23">
        <f>PI()*((0.016/2)^2)</f>
        <v>2.0106192982974675E-4</v>
      </c>
      <c r="J23">
        <v>16</v>
      </c>
      <c r="K23">
        <f t="shared" si="1"/>
        <v>3.2169908772759479E-7</v>
      </c>
      <c r="L23" s="5">
        <f>1/60/60/24</f>
        <v>1.1574074074074073E-5</v>
      </c>
      <c r="M23">
        <f>5/60/24</f>
        <v>3.472222222222222E-3</v>
      </c>
      <c r="N23">
        <f>12*24*60*L23</f>
        <v>0.19999999999999998</v>
      </c>
      <c r="O23">
        <v>60</v>
      </c>
      <c r="P23">
        <v>0</v>
      </c>
      <c r="Q23">
        <v>0</v>
      </c>
      <c r="R23">
        <v>1</v>
      </c>
      <c r="S23">
        <v>0</v>
      </c>
      <c r="U23" t="s">
        <v>153</v>
      </c>
      <c r="V23" s="27" t="s">
        <v>260</v>
      </c>
    </row>
    <row r="24" spans="1:22" ht="15.75" customHeight="1">
      <c r="A24">
        <v>9</v>
      </c>
      <c r="B24" s="19">
        <v>55</v>
      </c>
      <c r="C24" s="7" t="s">
        <v>240</v>
      </c>
      <c r="D24" s="24" t="s">
        <v>271</v>
      </c>
      <c r="E24" s="7">
        <v>2010</v>
      </c>
      <c r="F24" t="s">
        <v>50</v>
      </c>
      <c r="G24" s="7" t="s">
        <v>283</v>
      </c>
      <c r="H24" t="s">
        <v>272</v>
      </c>
      <c r="I24">
        <f>PI()*((0.0483/2)^2)</f>
        <v>1.8322475214082733E-3</v>
      </c>
      <c r="J24">
        <v>1</v>
      </c>
      <c r="K24">
        <f t="shared" si="1"/>
        <v>1.8322475214082733E-7</v>
      </c>
      <c r="L24" s="5">
        <f>1/60/60/24</f>
        <v>1.1574074074074073E-5</v>
      </c>
      <c r="M24">
        <v>32</v>
      </c>
      <c r="N24">
        <f>((365*2)/32)*L24</f>
        <v>2.6403356481481482E-4</v>
      </c>
      <c r="O24">
        <f>365*2</f>
        <v>730</v>
      </c>
      <c r="P24">
        <v>0</v>
      </c>
      <c r="Q24">
        <v>0</v>
      </c>
      <c r="R24">
        <v>1</v>
      </c>
      <c r="S24">
        <v>0</v>
      </c>
      <c r="U24" t="s">
        <v>275</v>
      </c>
      <c r="V24" s="24" t="s">
        <v>273</v>
      </c>
    </row>
    <row r="25" spans="1:22" ht="15.75" customHeight="1">
      <c r="A25">
        <v>9</v>
      </c>
      <c r="B25" s="19">
        <v>55</v>
      </c>
      <c r="C25" s="7" t="s">
        <v>240</v>
      </c>
      <c r="D25" s="24" t="s">
        <v>271</v>
      </c>
      <c r="E25" s="7">
        <v>2010</v>
      </c>
      <c r="F25" t="s">
        <v>50</v>
      </c>
      <c r="G25" s="7" t="s">
        <v>283</v>
      </c>
      <c r="H25" t="s">
        <v>272</v>
      </c>
      <c r="I25">
        <f>PI()*((0.33/2)^2)</f>
        <v>8.5529859993982132E-2</v>
      </c>
      <c r="J25">
        <v>1</v>
      </c>
      <c r="K25">
        <f t="shared" si="1"/>
        <v>8.5529859993982129E-6</v>
      </c>
      <c r="L25" s="5">
        <f>1/60/60/24</f>
        <v>1.1574074074074073E-5</v>
      </c>
      <c r="M25">
        <v>32</v>
      </c>
      <c r="N25">
        <f>((365*2)/32)*L25</f>
        <v>2.6403356481481482E-4</v>
      </c>
      <c r="O25">
        <f>365*2</f>
        <v>730</v>
      </c>
      <c r="P25">
        <v>0</v>
      </c>
      <c r="Q25">
        <v>0</v>
      </c>
      <c r="R25">
        <v>2</v>
      </c>
      <c r="S25">
        <v>0</v>
      </c>
      <c r="U25" t="s">
        <v>275</v>
      </c>
      <c r="V25" s="24" t="s">
        <v>276</v>
      </c>
    </row>
    <row r="26" spans="1:22" ht="15.75" customHeight="1">
      <c r="A26">
        <v>9</v>
      </c>
      <c r="B26" s="19">
        <v>55</v>
      </c>
      <c r="C26" s="7" t="s">
        <v>240</v>
      </c>
      <c r="D26" s="24" t="s">
        <v>271</v>
      </c>
      <c r="E26" s="7">
        <v>2010</v>
      </c>
      <c r="F26" t="s">
        <v>238</v>
      </c>
      <c r="G26" s="7" t="s">
        <v>283</v>
      </c>
      <c r="H26" t="s">
        <v>272</v>
      </c>
      <c r="I26">
        <f>PI()*((0.2/2)^2)</f>
        <v>3.1415926535897934E-2</v>
      </c>
      <c r="J26">
        <v>1</v>
      </c>
      <c r="K26">
        <f t="shared" si="1"/>
        <v>3.1415926535897933E-6</v>
      </c>
      <c r="L26" s="5">
        <f>1/60/60/24</f>
        <v>1.1574074074074073E-5</v>
      </c>
      <c r="M26">
        <f>1/24</f>
        <v>4.1666666666666664E-2</v>
      </c>
      <c r="N26">
        <f>((120*24)*L26)</f>
        <v>3.3333333333333333E-2</v>
      </c>
      <c r="O26">
        <v>317</v>
      </c>
      <c r="P26">
        <v>0</v>
      </c>
      <c r="Q26">
        <v>0</v>
      </c>
      <c r="R26">
        <v>2</v>
      </c>
      <c r="S26">
        <v>0</v>
      </c>
      <c r="U26" t="s">
        <v>233</v>
      </c>
      <c r="V26" s="24" t="s">
        <v>278</v>
      </c>
    </row>
    <row r="27" spans="1:22" ht="15.75" customHeight="1">
      <c r="A27">
        <v>9</v>
      </c>
      <c r="B27" s="19">
        <v>55</v>
      </c>
      <c r="C27" s="7" t="s">
        <v>240</v>
      </c>
      <c r="D27" s="24" t="s">
        <v>271</v>
      </c>
      <c r="E27" s="7">
        <v>2010</v>
      </c>
      <c r="F27" t="s">
        <v>238</v>
      </c>
      <c r="G27" s="7" t="s">
        <v>283</v>
      </c>
      <c r="H27" t="s">
        <v>272</v>
      </c>
      <c r="I27">
        <f>PI()*(0.5^2)</f>
        <v>0.78539816339744828</v>
      </c>
      <c r="J27">
        <v>1</v>
      </c>
      <c r="K27">
        <f t="shared" si="1"/>
        <v>7.8539816339744827E-5</v>
      </c>
      <c r="L27" s="5">
        <f>1/60/60/24</f>
        <v>1.1574074074074073E-5</v>
      </c>
      <c r="M27">
        <f>1/24</f>
        <v>4.1666666666666664E-2</v>
      </c>
      <c r="N27">
        <f>((730*24)*L27)</f>
        <v>0.20277777777777778</v>
      </c>
      <c r="O27">
        <v>730</v>
      </c>
      <c r="P27">
        <v>0</v>
      </c>
      <c r="Q27">
        <v>0</v>
      </c>
      <c r="R27">
        <v>2</v>
      </c>
      <c r="S27">
        <v>0</v>
      </c>
      <c r="U27" t="s">
        <v>279</v>
      </c>
      <c r="V27" s="24" t="s">
        <v>277</v>
      </c>
    </row>
    <row r="28" spans="1:22" ht="15.75" customHeight="1">
      <c r="A28">
        <v>9</v>
      </c>
      <c r="B28" s="19">
        <v>55</v>
      </c>
      <c r="C28" s="7" t="s">
        <v>240</v>
      </c>
      <c r="D28" s="24" t="s">
        <v>271</v>
      </c>
      <c r="E28" s="7">
        <v>2010</v>
      </c>
      <c r="F28" t="s">
        <v>50</v>
      </c>
      <c r="G28" s="7" t="s">
        <v>283</v>
      </c>
      <c r="H28" t="s">
        <v>272</v>
      </c>
      <c r="I28">
        <f>PI()*(0.75^2)*8</f>
        <v>14.137166941154069</v>
      </c>
      <c r="J28">
        <v>3</v>
      </c>
      <c r="K28">
        <f t="shared" si="1"/>
        <v>4.2411500823462209E-3</v>
      </c>
      <c r="L28">
        <v>1</v>
      </c>
      <c r="M28">
        <v>90</v>
      </c>
      <c r="N28">
        <f>730/90*J28</f>
        <v>24.333333333333332</v>
      </c>
      <c r="O28">
        <v>730</v>
      </c>
      <c r="P28">
        <v>0</v>
      </c>
      <c r="Q28">
        <v>1</v>
      </c>
      <c r="R28">
        <v>0</v>
      </c>
      <c r="S28">
        <v>0</v>
      </c>
      <c r="U28" t="s">
        <v>280</v>
      </c>
      <c r="V28" s="24" t="s">
        <v>274</v>
      </c>
    </row>
    <row r="29" spans="1:22" ht="15.75" customHeight="1">
      <c r="A29">
        <v>10</v>
      </c>
      <c r="B29" s="19">
        <v>56</v>
      </c>
      <c r="C29" s="7" t="s">
        <v>240</v>
      </c>
      <c r="D29" s="27" t="s">
        <v>281</v>
      </c>
      <c r="E29" s="7">
        <v>2013</v>
      </c>
      <c r="F29" t="s">
        <v>50</v>
      </c>
      <c r="G29" s="7" t="s">
        <v>282</v>
      </c>
      <c r="H29" s="7" t="s">
        <v>284</v>
      </c>
      <c r="I29">
        <f>PI()*((0.6/2)^2)</f>
        <v>0.28274333882308139</v>
      </c>
      <c r="J29">
        <v>10</v>
      </c>
      <c r="K29">
        <f t="shared" si="1"/>
        <v>2.8274333882308137E-4</v>
      </c>
      <c r="L29" s="8">
        <f>1/60/24</f>
        <v>6.9444444444444447E-4</v>
      </c>
      <c r="M29">
        <v>0</v>
      </c>
      <c r="N29">
        <f>L29*J29</f>
        <v>6.9444444444444449E-3</v>
      </c>
      <c r="O29">
        <v>31</v>
      </c>
      <c r="P29">
        <v>0</v>
      </c>
      <c r="Q29">
        <v>0</v>
      </c>
      <c r="R29">
        <v>1</v>
      </c>
      <c r="S29">
        <v>0</v>
      </c>
      <c r="U29" t="s">
        <v>113</v>
      </c>
      <c r="V29" s="27" t="s">
        <v>286</v>
      </c>
    </row>
    <row r="30" spans="1:22" ht="15.75" customHeight="1">
      <c r="A30">
        <v>10</v>
      </c>
      <c r="B30" s="19">
        <v>56</v>
      </c>
      <c r="C30" s="7" t="s">
        <v>240</v>
      </c>
      <c r="D30" s="27" t="s">
        <v>281</v>
      </c>
      <c r="E30" s="7">
        <v>2013</v>
      </c>
      <c r="F30" t="s">
        <v>50</v>
      </c>
      <c r="G30" s="7" t="s">
        <v>282</v>
      </c>
      <c r="H30" s="7" t="s">
        <v>284</v>
      </c>
      <c r="I30">
        <f>PI()*((0.013/2)^2)</f>
        <v>1.3273228961416876E-4</v>
      </c>
      <c r="J30">
        <v>10</v>
      </c>
      <c r="K30">
        <f t="shared" si="1"/>
        <v>1.3273228961416876E-7</v>
      </c>
      <c r="L30" s="5">
        <f>1/60/60/24</f>
        <v>1.1574074074074073E-5</v>
      </c>
      <c r="M30">
        <v>0</v>
      </c>
      <c r="N30">
        <f>L30*J30</f>
        <v>1.1574074074074073E-4</v>
      </c>
      <c r="O30">
        <v>31</v>
      </c>
      <c r="P30">
        <v>0</v>
      </c>
      <c r="Q30">
        <v>0</v>
      </c>
      <c r="R30">
        <v>2</v>
      </c>
      <c r="S30">
        <v>0</v>
      </c>
      <c r="U30" t="s">
        <v>113</v>
      </c>
      <c r="V30" s="27" t="s">
        <v>285</v>
      </c>
    </row>
    <row r="31" spans="1:22" ht="15.75" customHeight="1">
      <c r="A31">
        <v>11</v>
      </c>
      <c r="B31" s="24">
        <v>61</v>
      </c>
      <c r="C31" s="7" t="s">
        <v>145</v>
      </c>
      <c r="D31" s="24" t="s">
        <v>290</v>
      </c>
      <c r="E31" s="7">
        <v>2010</v>
      </c>
      <c r="F31" t="s">
        <v>238</v>
      </c>
      <c r="G31" s="7" t="s">
        <v>291</v>
      </c>
      <c r="H31" t="s">
        <v>292</v>
      </c>
      <c r="I31">
        <f>PI()*(0.1)^2</f>
        <v>3.1415926535897934E-2</v>
      </c>
      <c r="J31">
        <v>1141</v>
      </c>
      <c r="K31">
        <f>14*J31*I31/10000</f>
        <v>5.0183801048443361E-2</v>
      </c>
      <c r="L31" s="5">
        <f>1/60/60/24</f>
        <v>1.1574074074074073E-5</v>
      </c>
      <c r="M31">
        <v>0.5</v>
      </c>
      <c r="N31">
        <f>L31*J31*14</f>
        <v>0.18488425925925925</v>
      </c>
      <c r="O31">
        <v>7</v>
      </c>
      <c r="P31">
        <v>1</v>
      </c>
      <c r="Q31">
        <v>0</v>
      </c>
      <c r="R31">
        <v>1</v>
      </c>
      <c r="S31">
        <v>0</v>
      </c>
      <c r="U31" t="s">
        <v>176</v>
      </c>
      <c r="V31" s="25" t="s">
        <v>293</v>
      </c>
    </row>
    <row r="32" spans="1:22" ht="15.75" customHeight="1">
      <c r="A32">
        <v>11</v>
      </c>
      <c r="B32" s="24">
        <v>61</v>
      </c>
      <c r="C32" s="7" t="s">
        <v>145</v>
      </c>
      <c r="D32" s="24" t="s">
        <v>290</v>
      </c>
      <c r="E32" s="7">
        <v>2010</v>
      </c>
      <c r="F32" t="s">
        <v>207</v>
      </c>
      <c r="G32" s="7" t="s">
        <v>291</v>
      </c>
      <c r="H32" t="s">
        <v>292</v>
      </c>
      <c r="I32">
        <f>500*500</f>
        <v>250000</v>
      </c>
      <c r="J32">
        <v>30</v>
      </c>
      <c r="K32">
        <f>14*J32*I32/10000</f>
        <v>10500</v>
      </c>
      <c r="L32" s="5">
        <f>1/60/60/24</f>
        <v>1.1574074074074073E-5</v>
      </c>
      <c r="M32">
        <v>1</v>
      </c>
      <c r="N32">
        <f>L32*J32*365</f>
        <v>0.1267361111111111</v>
      </c>
      <c r="O32">
        <v>365</v>
      </c>
      <c r="P32">
        <v>0</v>
      </c>
      <c r="Q32">
        <v>0</v>
      </c>
      <c r="R32">
        <v>2</v>
      </c>
      <c r="S32">
        <v>0</v>
      </c>
      <c r="U32" t="s">
        <v>113</v>
      </c>
      <c r="V32" s="25" t="s">
        <v>295</v>
      </c>
    </row>
    <row r="33" spans="1:22" ht="15.75" customHeight="1">
      <c r="A33">
        <v>11</v>
      </c>
      <c r="B33" s="24">
        <v>61</v>
      </c>
      <c r="C33" s="7" t="s">
        <v>145</v>
      </c>
      <c r="D33" s="24" t="s">
        <v>290</v>
      </c>
      <c r="E33" s="7">
        <v>2010</v>
      </c>
      <c r="F33" t="s">
        <v>238</v>
      </c>
      <c r="G33" s="7" t="s">
        <v>291</v>
      </c>
      <c r="H33" t="s">
        <v>292</v>
      </c>
      <c r="I33">
        <f>500*500</f>
        <v>250000</v>
      </c>
      <c r="J33">
        <v>30</v>
      </c>
      <c r="K33">
        <f>14*J33*I33/10000</f>
        <v>10500</v>
      </c>
      <c r="L33" s="5">
        <f>1/60/60/24</f>
        <v>1.1574074074074073E-5</v>
      </c>
      <c r="M33">
        <v>0</v>
      </c>
      <c r="N33">
        <f>L33*J33</f>
        <v>3.4722222222222218E-4</v>
      </c>
      <c r="O33">
        <v>1</v>
      </c>
      <c r="P33">
        <v>1</v>
      </c>
      <c r="Q33">
        <v>0</v>
      </c>
      <c r="R33">
        <v>0</v>
      </c>
      <c r="S33">
        <v>0</v>
      </c>
      <c r="U33" t="s">
        <v>113</v>
      </c>
      <c r="V33" s="25" t="s">
        <v>294</v>
      </c>
    </row>
    <row r="34" spans="1:22" ht="15.75" customHeight="1">
      <c r="A34">
        <v>12</v>
      </c>
      <c r="B34" s="24">
        <v>64</v>
      </c>
      <c r="C34" s="7" t="s">
        <v>31</v>
      </c>
      <c r="D34" s="27" t="s">
        <v>298</v>
      </c>
      <c r="E34" s="7">
        <v>2011</v>
      </c>
      <c r="F34" t="s">
        <v>50</v>
      </c>
      <c r="G34" s="7" t="s">
        <v>299</v>
      </c>
      <c r="H34" s="7" t="s">
        <v>300</v>
      </c>
      <c r="I34">
        <f>(1800*3)</f>
        <v>5400</v>
      </c>
      <c r="J34">
        <v>7</v>
      </c>
      <c r="K34">
        <f t="shared" ref="K34:K41" si="2">J34*I34/10000</f>
        <v>3.78</v>
      </c>
      <c r="L34">
        <f>5/24</f>
        <v>0.20833333333333334</v>
      </c>
      <c r="M34">
        <v>1</v>
      </c>
      <c r="N34">
        <f>L34*J34*2190</f>
        <v>3193.7500000000005</v>
      </c>
      <c r="O34">
        <f>365*6</f>
        <v>2190</v>
      </c>
      <c r="P34">
        <v>3</v>
      </c>
      <c r="Q34">
        <v>0</v>
      </c>
      <c r="R34">
        <v>0</v>
      </c>
      <c r="S34">
        <v>1</v>
      </c>
      <c r="U34" t="s">
        <v>301</v>
      </c>
      <c r="V34" s="28" t="s">
        <v>302</v>
      </c>
    </row>
    <row r="35" spans="1:22" ht="15.75" customHeight="1">
      <c r="A35">
        <v>12</v>
      </c>
      <c r="B35" s="24">
        <v>64</v>
      </c>
      <c r="C35" s="7" t="s">
        <v>31</v>
      </c>
      <c r="D35" s="27" t="s">
        <v>298</v>
      </c>
      <c r="E35" s="7">
        <v>2011</v>
      </c>
      <c r="F35" t="s">
        <v>50</v>
      </c>
      <c r="G35" s="7" t="s">
        <v>299</v>
      </c>
      <c r="H35" s="7" t="s">
        <v>300</v>
      </c>
      <c r="I35">
        <f>PI()*(0.0025^2)</f>
        <v>1.9634954084936207E-5</v>
      </c>
      <c r="J35">
        <v>296</v>
      </c>
      <c r="K35">
        <f t="shared" si="2"/>
        <v>5.8119464091411169E-7</v>
      </c>
      <c r="L35">
        <f>30/60/60/24</f>
        <v>3.4722222222222224E-4</v>
      </c>
      <c r="M35">
        <v>0</v>
      </c>
      <c r="N35">
        <f>L35*J35</f>
        <v>0.10277777777777779</v>
      </c>
      <c r="O35">
        <f>365*6</f>
        <v>2190</v>
      </c>
      <c r="P35">
        <v>0</v>
      </c>
      <c r="Q35">
        <v>1</v>
      </c>
      <c r="R35">
        <v>0</v>
      </c>
      <c r="S35">
        <v>0</v>
      </c>
      <c r="U35" t="s">
        <v>176</v>
      </c>
      <c r="V35" t="s">
        <v>303</v>
      </c>
    </row>
    <row r="36" spans="1:22" ht="15.75" customHeight="1">
      <c r="A36">
        <v>12</v>
      </c>
      <c r="B36" s="24">
        <v>64</v>
      </c>
      <c r="C36" s="7" t="s">
        <v>31</v>
      </c>
      <c r="D36" s="27" t="s">
        <v>298</v>
      </c>
      <c r="E36" s="7">
        <v>2011</v>
      </c>
      <c r="F36" t="s">
        <v>50</v>
      </c>
      <c r="G36" s="7" t="s">
        <v>299</v>
      </c>
      <c r="H36" s="7" t="s">
        <v>300</v>
      </c>
      <c r="I36">
        <f>0.14*0.05</f>
        <v>7.000000000000001E-3</v>
      </c>
      <c r="J36">
        <v>352</v>
      </c>
      <c r="K36">
        <f t="shared" si="2"/>
        <v>2.4640000000000003E-4</v>
      </c>
      <c r="L36">
        <f>10/60/24</f>
        <v>6.9444444444444441E-3</v>
      </c>
      <c r="M36">
        <v>0</v>
      </c>
      <c r="N36">
        <f>L36*J36</f>
        <v>2.4444444444444442</v>
      </c>
      <c r="O36">
        <f>365*6</f>
        <v>2190</v>
      </c>
      <c r="P36">
        <v>0</v>
      </c>
      <c r="Q36">
        <v>3</v>
      </c>
      <c r="R36">
        <v>0</v>
      </c>
      <c r="S36">
        <v>0</v>
      </c>
      <c r="U36" t="s">
        <v>176</v>
      </c>
      <c r="V36" t="s">
        <v>304</v>
      </c>
    </row>
    <row r="37" spans="1:22" ht="15.75" customHeight="1">
      <c r="A37">
        <v>13</v>
      </c>
      <c r="B37" s="24">
        <v>65</v>
      </c>
      <c r="C37" s="7" t="s">
        <v>32</v>
      </c>
      <c r="D37" s="27" t="s">
        <v>305</v>
      </c>
      <c r="E37" s="7">
        <v>2006</v>
      </c>
      <c r="F37" t="s">
        <v>50</v>
      </c>
      <c r="G37" s="7" t="s">
        <v>112</v>
      </c>
      <c r="H37" s="7" t="s">
        <v>306</v>
      </c>
      <c r="I37">
        <f>(0.00175/8*0.0005)</f>
        <v>1.09375E-7</v>
      </c>
      <c r="J37">
        <v>110</v>
      </c>
      <c r="K37">
        <f t="shared" si="2"/>
        <v>1.203125E-9</v>
      </c>
      <c r="L37">
        <f>30/60/60/24</f>
        <v>3.4722222222222224E-4</v>
      </c>
      <c r="M37">
        <v>0</v>
      </c>
      <c r="N37">
        <f>L37*J37</f>
        <v>3.8194444444444448E-2</v>
      </c>
      <c r="O37">
        <v>31</v>
      </c>
      <c r="P37">
        <v>0</v>
      </c>
      <c r="Q37">
        <v>0</v>
      </c>
      <c r="R37">
        <v>2</v>
      </c>
      <c r="S37">
        <v>0</v>
      </c>
      <c r="T37" t="s">
        <v>307</v>
      </c>
      <c r="U37" t="s">
        <v>176</v>
      </c>
      <c r="V37" t="s">
        <v>308</v>
      </c>
    </row>
    <row r="38" spans="1:22" ht="15.75" customHeight="1">
      <c r="A38">
        <v>14</v>
      </c>
      <c r="B38" s="24">
        <v>66</v>
      </c>
      <c r="C38" s="7" t="s">
        <v>35</v>
      </c>
      <c r="D38" s="27" t="s">
        <v>309</v>
      </c>
      <c r="E38" s="7">
        <v>2007</v>
      </c>
      <c r="F38" t="s">
        <v>50</v>
      </c>
      <c r="G38" s="7" t="s">
        <v>310</v>
      </c>
      <c r="H38" s="7" t="s">
        <v>311</v>
      </c>
      <c r="I38">
        <f>PI()*((1.3/2)^2)</f>
        <v>1.3273228961416876</v>
      </c>
      <c r="J38">
        <v>171</v>
      </c>
      <c r="K38">
        <f t="shared" si="2"/>
        <v>2.269722152402286E-2</v>
      </c>
      <c r="L38">
        <f>0.5/171</f>
        <v>2.9239766081871343E-3</v>
      </c>
      <c r="M38">
        <v>30</v>
      </c>
      <c r="N38">
        <f>L38*K38*(12*10)</f>
        <v>7.9639373768501266E-3</v>
      </c>
      <c r="O38">
        <f>(365*10)+90</f>
        <v>3740</v>
      </c>
      <c r="P38">
        <v>3</v>
      </c>
      <c r="Q38">
        <v>0</v>
      </c>
      <c r="R38">
        <v>2</v>
      </c>
      <c r="S38">
        <v>2</v>
      </c>
      <c r="U38" t="s">
        <v>176</v>
      </c>
      <c r="V38" t="s">
        <v>312</v>
      </c>
    </row>
    <row r="39" spans="1:22" ht="15.75" customHeight="1">
      <c r="A39">
        <v>14</v>
      </c>
      <c r="B39" s="24">
        <v>66</v>
      </c>
      <c r="C39" s="7" t="s">
        <v>35</v>
      </c>
      <c r="D39" s="27" t="s">
        <v>309</v>
      </c>
      <c r="E39" s="7">
        <v>2007</v>
      </c>
      <c r="F39" t="s">
        <v>238</v>
      </c>
      <c r="G39" s="7" t="s">
        <v>310</v>
      </c>
      <c r="H39" s="7" t="s">
        <v>311</v>
      </c>
      <c r="I39">
        <f>PI()*((0.2032/2)^2)</f>
        <v>3.2429278662239852E-2</v>
      </c>
      <c r="J39">
        <v>1</v>
      </c>
      <c r="K39">
        <f t="shared" si="2"/>
        <v>3.2429278662239851E-6</v>
      </c>
      <c r="L39">
        <v>1</v>
      </c>
      <c r="M39">
        <v>1</v>
      </c>
      <c r="N39">
        <f>(365*10)+90</f>
        <v>3740</v>
      </c>
      <c r="O39">
        <f>(365*10)+90</f>
        <v>3740</v>
      </c>
      <c r="P39">
        <v>0</v>
      </c>
      <c r="Q39">
        <v>0</v>
      </c>
      <c r="R39">
        <v>1</v>
      </c>
      <c r="S39">
        <v>0</v>
      </c>
      <c r="U39" t="s">
        <v>233</v>
      </c>
      <c r="V39" t="s">
        <v>313</v>
      </c>
    </row>
    <row r="40" spans="1:22" ht="15.75" customHeight="1">
      <c r="A40">
        <v>14</v>
      </c>
      <c r="B40" s="24">
        <v>66</v>
      </c>
      <c r="C40" s="7" t="s">
        <v>35</v>
      </c>
      <c r="D40" s="27" t="s">
        <v>309</v>
      </c>
      <c r="E40" s="7">
        <v>2007</v>
      </c>
      <c r="F40" t="s">
        <v>238</v>
      </c>
      <c r="G40" s="7" t="s">
        <v>310</v>
      </c>
      <c r="H40" s="7" t="s">
        <v>311</v>
      </c>
      <c r="I40">
        <f>PI()*((0.008/2)^2)</f>
        <v>5.0265482457436686E-5</v>
      </c>
      <c r="J40">
        <v>1</v>
      </c>
      <c r="K40">
        <f t="shared" si="2"/>
        <v>5.0265482457436686E-9</v>
      </c>
      <c r="L40">
        <v>1</v>
      </c>
      <c r="M40">
        <v>1</v>
      </c>
      <c r="N40">
        <f>DATE(2000,6,1)-DATE(1993,10,1)</f>
        <v>2435</v>
      </c>
      <c r="O40">
        <f>DATE(2000,6,1)-DATE(1993,10,1)</f>
        <v>2435</v>
      </c>
      <c r="P40">
        <v>0</v>
      </c>
      <c r="Q40">
        <v>0</v>
      </c>
      <c r="R40">
        <v>2</v>
      </c>
      <c r="S40">
        <v>0</v>
      </c>
      <c r="U40" t="s">
        <v>233</v>
      </c>
      <c r="V40" t="s">
        <v>314</v>
      </c>
    </row>
    <row r="41" spans="1:22" ht="15.75" customHeight="1">
      <c r="A41">
        <v>15</v>
      </c>
      <c r="B41" s="24">
        <v>70</v>
      </c>
      <c r="C41" s="7" t="s">
        <v>145</v>
      </c>
      <c r="D41" s="24" t="s">
        <v>318</v>
      </c>
      <c r="E41" s="7">
        <v>2004</v>
      </c>
      <c r="F41" t="s">
        <v>238</v>
      </c>
      <c r="G41" s="7" t="s">
        <v>96</v>
      </c>
      <c r="H41" t="s">
        <v>319</v>
      </c>
      <c r="I41">
        <f>PI()*((0.1524/2)^2)</f>
        <v>1.8241469247509919E-2</v>
      </c>
      <c r="J41">
        <v>1</v>
      </c>
      <c r="K41">
        <f t="shared" si="2"/>
        <v>1.8241469247509919E-6</v>
      </c>
      <c r="L41" s="5">
        <f>1/60/60/24</f>
        <v>1.1574074074074073E-5</v>
      </c>
      <c r="M41">
        <f>5/60/60/24</f>
        <v>5.7870370370370366E-5</v>
      </c>
      <c r="N41">
        <f>12*60*12*L41</f>
        <v>9.9999999999999992E-2</v>
      </c>
      <c r="O41">
        <f>365+10</f>
        <v>375</v>
      </c>
      <c r="P41">
        <v>0</v>
      </c>
      <c r="Q41">
        <v>0</v>
      </c>
      <c r="R41">
        <v>2</v>
      </c>
      <c r="S41">
        <v>0</v>
      </c>
      <c r="U41" t="s">
        <v>176</v>
      </c>
      <c r="V41" s="25" t="s">
        <v>320</v>
      </c>
    </row>
    <row r="42" spans="1:22" ht="15.75" customHeight="1">
      <c r="A42">
        <v>15</v>
      </c>
      <c r="B42" s="24">
        <v>70</v>
      </c>
      <c r="C42" s="7" t="s">
        <v>145</v>
      </c>
      <c r="D42" s="24" t="s">
        <v>318</v>
      </c>
      <c r="E42" s="7">
        <v>2004</v>
      </c>
      <c r="F42" t="s">
        <v>50</v>
      </c>
      <c r="G42" s="7" t="s">
        <v>96</v>
      </c>
      <c r="H42" t="s">
        <v>319</v>
      </c>
      <c r="I42">
        <f>0.0006*3</f>
        <v>1.8E-3</v>
      </c>
      <c r="J42">
        <v>24</v>
      </c>
      <c r="K42">
        <f t="shared" ref="K42:K54" si="3">J42*I42/10000</f>
        <v>4.3200000000000001E-6</v>
      </c>
      <c r="L42" s="5">
        <f>2/60/24</f>
        <v>1.3888888888888889E-3</v>
      </c>
      <c r="M42">
        <f>2.2/60/24</f>
        <v>1.5277777777777779E-3</v>
      </c>
      <c r="N42">
        <f>L42*12*10*J42</f>
        <v>4</v>
      </c>
      <c r="O42">
        <f>365+10</f>
        <v>375</v>
      </c>
      <c r="P42">
        <v>0</v>
      </c>
      <c r="Q42">
        <v>0</v>
      </c>
      <c r="R42">
        <v>2</v>
      </c>
      <c r="S42">
        <v>0</v>
      </c>
      <c r="U42" t="s">
        <v>323</v>
      </c>
      <c r="V42" s="25" t="s">
        <v>321</v>
      </c>
    </row>
    <row r="43" spans="1:22" ht="15.75" customHeight="1">
      <c r="A43">
        <v>15</v>
      </c>
      <c r="B43" s="24">
        <v>70</v>
      </c>
      <c r="C43" s="7" t="s">
        <v>145</v>
      </c>
      <c r="D43" s="24" t="s">
        <v>318</v>
      </c>
      <c r="E43" s="7">
        <v>2004</v>
      </c>
      <c r="F43" t="s">
        <v>50</v>
      </c>
      <c r="G43" s="7" t="s">
        <v>96</v>
      </c>
      <c r="H43" t="s">
        <v>319</v>
      </c>
      <c r="I43">
        <f>0.0006*6</f>
        <v>3.5999999999999999E-3</v>
      </c>
      <c r="J43">
        <v>24</v>
      </c>
      <c r="K43">
        <f t="shared" si="3"/>
        <v>8.6400000000000003E-6</v>
      </c>
      <c r="L43" s="5">
        <f>5/60/24</f>
        <v>3.472222222222222E-3</v>
      </c>
      <c r="M43">
        <f>4.4/60/24</f>
        <v>3.0555555555555557E-3</v>
      </c>
      <c r="N43">
        <f>L43*6*10*J43</f>
        <v>5</v>
      </c>
      <c r="O43">
        <f>365+10</f>
        <v>375</v>
      </c>
      <c r="P43">
        <v>0</v>
      </c>
      <c r="Q43">
        <v>0</v>
      </c>
      <c r="R43">
        <v>2</v>
      </c>
      <c r="S43">
        <v>0</v>
      </c>
      <c r="U43" t="s">
        <v>323</v>
      </c>
      <c r="V43" s="25" t="s">
        <v>322</v>
      </c>
    </row>
    <row r="44" spans="1:22" s="19" customFormat="1" ht="15.75" customHeight="1">
      <c r="A44" s="19">
        <v>16</v>
      </c>
      <c r="B44" s="27">
        <v>73</v>
      </c>
      <c r="C44" s="26" t="s">
        <v>28</v>
      </c>
      <c r="D44" s="27" t="s">
        <v>330</v>
      </c>
      <c r="E44" s="7">
        <v>2006</v>
      </c>
      <c r="F44" s="19" t="s">
        <v>50</v>
      </c>
      <c r="G44" s="7" t="s">
        <v>331</v>
      </c>
      <c r="H44" s="7" t="s">
        <v>332</v>
      </c>
      <c r="I44" s="19">
        <f>PI()*(0.05^2)</f>
        <v>7.8539816339744835E-3</v>
      </c>
      <c r="J44" s="19">
        <v>150</v>
      </c>
      <c r="K44" s="19">
        <f t="shared" si="3"/>
        <v>1.1780972450961724E-4</v>
      </c>
      <c r="L44" s="19">
        <v>3</v>
      </c>
      <c r="M44" s="19">
        <v>30</v>
      </c>
      <c r="N44" s="19">
        <f>L44*6</f>
        <v>18</v>
      </c>
      <c r="O44" s="19">
        <f>6*30</f>
        <v>180</v>
      </c>
      <c r="P44" s="19">
        <v>3</v>
      </c>
      <c r="Q44" s="19">
        <v>2</v>
      </c>
      <c r="R44" s="19">
        <v>0</v>
      </c>
      <c r="S44" s="19">
        <v>1</v>
      </c>
      <c r="U44" s="19" t="s">
        <v>233</v>
      </c>
      <c r="V44" s="27" t="s">
        <v>333</v>
      </c>
    </row>
    <row r="45" spans="1:22" s="19" customFormat="1" ht="15.75" customHeight="1">
      <c r="A45" s="19">
        <v>16</v>
      </c>
      <c r="B45" s="27">
        <v>73</v>
      </c>
      <c r="C45" s="26" t="s">
        <v>28</v>
      </c>
      <c r="D45" s="27" t="s">
        <v>330</v>
      </c>
      <c r="E45" s="7">
        <v>2006</v>
      </c>
      <c r="F45" s="19" t="s">
        <v>50</v>
      </c>
      <c r="G45" s="7" t="s">
        <v>331</v>
      </c>
      <c r="H45" s="7" t="s">
        <v>332</v>
      </c>
      <c r="I45" s="19">
        <f>PI()*(0.05^2)</f>
        <v>7.8539816339744835E-3</v>
      </c>
      <c r="J45" s="19">
        <v>250</v>
      </c>
      <c r="K45" s="19">
        <f t="shared" si="3"/>
        <v>1.9634954084936208E-4</v>
      </c>
      <c r="L45" s="19">
        <v>5</v>
      </c>
      <c r="M45" s="19">
        <v>30</v>
      </c>
      <c r="N45" s="19">
        <f>L45*6</f>
        <v>30</v>
      </c>
      <c r="O45" s="19">
        <f>6*30</f>
        <v>180</v>
      </c>
      <c r="P45" s="19">
        <v>3</v>
      </c>
      <c r="Q45" s="19">
        <v>2</v>
      </c>
      <c r="R45" s="19">
        <v>0</v>
      </c>
      <c r="S45" s="19">
        <v>1</v>
      </c>
      <c r="U45" s="19" t="s">
        <v>233</v>
      </c>
      <c r="V45" s="19" t="s">
        <v>334</v>
      </c>
    </row>
    <row r="46" spans="1:22" s="19" customFormat="1" ht="15.75" customHeight="1">
      <c r="A46" s="19">
        <v>16</v>
      </c>
      <c r="B46" s="27">
        <v>73</v>
      </c>
      <c r="C46" s="26" t="s">
        <v>28</v>
      </c>
      <c r="D46" s="27" t="s">
        <v>330</v>
      </c>
      <c r="E46" s="7">
        <v>2006</v>
      </c>
      <c r="F46" s="19" t="s">
        <v>50</v>
      </c>
      <c r="G46" s="7" t="s">
        <v>331</v>
      </c>
      <c r="H46" s="7" t="s">
        <v>332</v>
      </c>
      <c r="I46" s="19">
        <f>PI()*(0.05^2)</f>
        <v>7.8539816339744835E-3</v>
      </c>
      <c r="J46" s="19">
        <v>72</v>
      </c>
      <c r="K46" s="19">
        <f t="shared" si="3"/>
        <v>5.6548667764616282E-5</v>
      </c>
      <c r="L46" s="19">
        <v>5</v>
      </c>
      <c r="M46" s="19">
        <v>30</v>
      </c>
      <c r="N46" s="19">
        <f>L46*6</f>
        <v>30</v>
      </c>
      <c r="O46" s="19">
        <f>6*30</f>
        <v>180</v>
      </c>
      <c r="P46" s="19">
        <v>3</v>
      </c>
      <c r="Q46" s="19">
        <v>2</v>
      </c>
      <c r="R46" s="19">
        <v>0</v>
      </c>
      <c r="S46" s="19">
        <v>1</v>
      </c>
      <c r="U46" s="19" t="s">
        <v>176</v>
      </c>
      <c r="V46" s="19" t="s">
        <v>334</v>
      </c>
    </row>
    <row r="47" spans="1:22" s="19" customFormat="1" ht="15.75" customHeight="1">
      <c r="A47" s="19">
        <v>16</v>
      </c>
      <c r="B47" s="27">
        <v>73</v>
      </c>
      <c r="C47" s="26" t="s">
        <v>28</v>
      </c>
      <c r="D47" s="27" t="s">
        <v>330</v>
      </c>
      <c r="E47" s="7">
        <v>2006</v>
      </c>
      <c r="F47" s="19" t="s">
        <v>50</v>
      </c>
      <c r="G47" s="7" t="s">
        <v>331</v>
      </c>
      <c r="H47" s="7" t="s">
        <v>332</v>
      </c>
      <c r="I47" s="19">
        <f>5*5</f>
        <v>25</v>
      </c>
      <c r="J47" s="19">
        <v>10</v>
      </c>
      <c r="K47" s="19">
        <f t="shared" si="3"/>
        <v>2.5000000000000001E-2</v>
      </c>
      <c r="L47" s="19">
        <v>3</v>
      </c>
      <c r="M47" s="19">
        <v>0</v>
      </c>
      <c r="N47" s="19">
        <f>L47*J47</f>
        <v>30</v>
      </c>
      <c r="O47" s="19">
        <v>30</v>
      </c>
      <c r="P47" s="19">
        <v>3</v>
      </c>
      <c r="Q47" s="19">
        <v>1</v>
      </c>
      <c r="R47" s="19">
        <v>2</v>
      </c>
      <c r="S47" s="19">
        <v>1</v>
      </c>
      <c r="U47" s="19" t="s">
        <v>176</v>
      </c>
      <c r="V47" s="19" t="s">
        <v>335</v>
      </c>
    </row>
    <row r="48" spans="1:22" s="19" customFormat="1" ht="15.75" customHeight="1">
      <c r="A48" s="19">
        <v>17</v>
      </c>
      <c r="B48" s="27">
        <v>79</v>
      </c>
      <c r="C48" s="7" t="s">
        <v>34</v>
      </c>
      <c r="D48" s="24" t="s">
        <v>339</v>
      </c>
      <c r="E48" s="7">
        <v>2010</v>
      </c>
      <c r="F48" s="19" t="s">
        <v>50</v>
      </c>
      <c r="G48" s="19" t="s">
        <v>340</v>
      </c>
      <c r="H48" s="19" t="s">
        <v>341</v>
      </c>
      <c r="I48" s="19">
        <f>0.07*(0.07/3)</f>
        <v>1.6333333333333336E-3</v>
      </c>
      <c r="J48" s="19">
        <v>799</v>
      </c>
      <c r="K48" s="19">
        <f t="shared" si="3"/>
        <v>1.3050333333333334E-4</v>
      </c>
      <c r="L48" s="19">
        <f>5/60/24</f>
        <v>3.472222222222222E-3</v>
      </c>
      <c r="M48" s="19">
        <v>0</v>
      </c>
      <c r="N48" s="19">
        <f>L48*799</f>
        <v>2.7743055555555554</v>
      </c>
      <c r="O48" s="19">
        <f>N48</f>
        <v>2.7743055555555554</v>
      </c>
      <c r="P48" s="19">
        <v>0</v>
      </c>
      <c r="Q48" s="19">
        <v>3</v>
      </c>
      <c r="R48" s="19">
        <v>0</v>
      </c>
      <c r="S48" s="19">
        <v>1</v>
      </c>
      <c r="U48" s="19" t="s">
        <v>275</v>
      </c>
      <c r="V48" s="24" t="s">
        <v>342</v>
      </c>
    </row>
    <row r="49" spans="1:22" s="24" customFormat="1" ht="15.75" customHeight="1">
      <c r="A49" s="24">
        <v>18</v>
      </c>
      <c r="B49" s="24">
        <v>83</v>
      </c>
      <c r="C49" s="26" t="s">
        <v>345</v>
      </c>
      <c r="D49" s="24" t="s">
        <v>349</v>
      </c>
      <c r="E49" s="26">
        <v>2014</v>
      </c>
      <c r="F49" s="24" t="s">
        <v>50</v>
      </c>
      <c r="G49" s="22" t="s">
        <v>350</v>
      </c>
      <c r="H49" s="24" t="s">
        <v>351</v>
      </c>
      <c r="I49" s="24">
        <f>PI()*(0.4^2)*10</f>
        <v>5.026548245743669</v>
      </c>
      <c r="J49" s="24">
        <v>12</v>
      </c>
      <c r="K49" s="24">
        <f t="shared" si="3"/>
        <v>6.0318578948924031E-3</v>
      </c>
      <c r="L49" s="24">
        <v>1</v>
      </c>
      <c r="M49" s="24">
        <f>(18*30)/8</f>
        <v>67.5</v>
      </c>
      <c r="N49" s="24">
        <f>L49*J49*2</f>
        <v>24</v>
      </c>
      <c r="O49" s="24">
        <f>365+30*4</f>
        <v>485</v>
      </c>
      <c r="P49" s="24">
        <v>3</v>
      </c>
      <c r="Q49" s="24">
        <v>2</v>
      </c>
      <c r="R49" s="24">
        <v>0</v>
      </c>
      <c r="S49" s="27">
        <v>1</v>
      </c>
      <c r="U49" s="24" t="s">
        <v>113</v>
      </c>
      <c r="V49" s="24" t="s">
        <v>352</v>
      </c>
    </row>
    <row r="50" spans="1:22" s="24" customFormat="1" ht="15.75" customHeight="1">
      <c r="A50" s="24">
        <v>18</v>
      </c>
      <c r="B50" s="24">
        <v>83</v>
      </c>
      <c r="C50" s="26" t="s">
        <v>345</v>
      </c>
      <c r="D50" s="24" t="s">
        <v>349</v>
      </c>
      <c r="E50" s="26">
        <v>2014</v>
      </c>
      <c r="F50" s="24" t="s">
        <v>50</v>
      </c>
      <c r="G50" s="22" t="s">
        <v>350</v>
      </c>
      <c r="H50" s="24" t="s">
        <v>351</v>
      </c>
      <c r="I50" s="24">
        <f>0.076*0.127*12</f>
        <v>0.11582399999999998</v>
      </c>
      <c r="J50" s="24">
        <v>12</v>
      </c>
      <c r="K50" s="24">
        <f t="shared" si="3"/>
        <v>1.3898879999999997E-4</v>
      </c>
      <c r="L50" s="24">
        <v>7</v>
      </c>
      <c r="M50" s="24">
        <f>(18*30)/8</f>
        <v>67.5</v>
      </c>
      <c r="N50" s="24">
        <f>L50*J50*2</f>
        <v>168</v>
      </c>
      <c r="O50" s="24">
        <f>365+30*4</f>
        <v>485</v>
      </c>
      <c r="P50" s="24">
        <v>3</v>
      </c>
      <c r="Q50" s="24">
        <v>2</v>
      </c>
      <c r="R50" s="24">
        <v>0</v>
      </c>
      <c r="S50" s="27">
        <v>1</v>
      </c>
      <c r="U50" s="24" t="s">
        <v>323</v>
      </c>
      <c r="V50" s="24" t="s">
        <v>353</v>
      </c>
    </row>
    <row r="51" spans="1:22" s="24" customFormat="1" ht="15.75" customHeight="1">
      <c r="A51" s="24">
        <v>18</v>
      </c>
      <c r="B51" s="24">
        <v>83</v>
      </c>
      <c r="C51" s="26" t="s">
        <v>345</v>
      </c>
      <c r="D51" s="24" t="s">
        <v>349</v>
      </c>
      <c r="E51" s="26">
        <v>2014</v>
      </c>
      <c r="F51" s="24" t="s">
        <v>50</v>
      </c>
      <c r="G51" s="22" t="s">
        <v>350</v>
      </c>
      <c r="H51" s="24" t="s">
        <v>351</v>
      </c>
      <c r="I51" s="24">
        <f>(0.04*0.01*30*3)</f>
        <v>3.6000000000000004E-2</v>
      </c>
      <c r="J51" s="24">
        <v>12</v>
      </c>
      <c r="K51" s="24">
        <f t="shared" si="3"/>
        <v>4.3200000000000007E-5</v>
      </c>
      <c r="L51" s="24">
        <v>1</v>
      </c>
      <c r="M51" s="24">
        <v>0</v>
      </c>
      <c r="N51" s="24">
        <f>L51*J51*2</f>
        <v>24</v>
      </c>
      <c r="O51" s="24">
        <f>365+30*4</f>
        <v>485</v>
      </c>
      <c r="P51" s="24">
        <v>3</v>
      </c>
      <c r="Q51" s="27">
        <v>1</v>
      </c>
      <c r="R51" s="27">
        <v>0</v>
      </c>
      <c r="S51" s="27">
        <v>1</v>
      </c>
      <c r="U51" s="24" t="s">
        <v>90</v>
      </c>
      <c r="V51" s="24" t="s">
        <v>354</v>
      </c>
    </row>
    <row r="52" spans="1:22" s="24" customFormat="1" ht="15.75" customHeight="1">
      <c r="A52" s="24">
        <v>18</v>
      </c>
      <c r="B52" s="24">
        <v>83</v>
      </c>
      <c r="C52" s="26" t="s">
        <v>345</v>
      </c>
      <c r="D52" s="24" t="s">
        <v>349</v>
      </c>
      <c r="E52" s="26">
        <v>2014</v>
      </c>
      <c r="F52" s="24" t="s">
        <v>50</v>
      </c>
      <c r="G52" s="22" t="s">
        <v>350</v>
      </c>
      <c r="H52" s="24" t="s">
        <v>351</v>
      </c>
      <c r="I52" s="24">
        <f>0.08*0.04*2</f>
        <v>6.4000000000000003E-3</v>
      </c>
      <c r="J52" s="24">
        <v>12</v>
      </c>
      <c r="K52" s="24">
        <f t="shared" si="3"/>
        <v>7.680000000000001E-6</v>
      </c>
      <c r="L52" s="24">
        <v>1</v>
      </c>
      <c r="M52" s="24">
        <v>0</v>
      </c>
      <c r="N52" s="24">
        <f>L52*J52*2</f>
        <v>24</v>
      </c>
      <c r="O52" s="24">
        <f>365+30*4</f>
        <v>485</v>
      </c>
      <c r="P52" s="24">
        <v>3</v>
      </c>
      <c r="Q52" s="27">
        <v>1</v>
      </c>
      <c r="R52" s="27">
        <v>0</v>
      </c>
      <c r="S52" s="27">
        <v>1</v>
      </c>
      <c r="U52" s="24" t="s">
        <v>90</v>
      </c>
      <c r="V52" s="24" t="s">
        <v>355</v>
      </c>
    </row>
    <row r="53" spans="1:22" s="24" customFormat="1" ht="15.75" customHeight="1">
      <c r="A53" s="24">
        <v>18</v>
      </c>
      <c r="B53" s="24">
        <v>83</v>
      </c>
      <c r="C53" s="26" t="s">
        <v>345</v>
      </c>
      <c r="D53" s="24" t="s">
        <v>349</v>
      </c>
      <c r="E53" s="26">
        <v>2014</v>
      </c>
      <c r="F53" s="24" t="s">
        <v>207</v>
      </c>
      <c r="G53" s="22" t="s">
        <v>350</v>
      </c>
      <c r="H53" s="24" t="s">
        <v>351</v>
      </c>
      <c r="I53" s="24">
        <v>1</v>
      </c>
      <c r="J53" s="27">
        <f>7068584*12</f>
        <v>84823008</v>
      </c>
      <c r="K53" s="27">
        <f t="shared" si="3"/>
        <v>8482.3008000000009</v>
      </c>
      <c r="L53" s="5">
        <f>1/60/60/24</f>
        <v>1.1574074074074073E-5</v>
      </c>
      <c r="M53" s="24">
        <v>0</v>
      </c>
      <c r="N53" s="5">
        <f>1/60/60/24</f>
        <v>1.1574074074074073E-5</v>
      </c>
      <c r="O53" s="24">
        <v>1</v>
      </c>
      <c r="P53" s="27">
        <v>1</v>
      </c>
      <c r="Q53" s="27">
        <v>0</v>
      </c>
      <c r="R53" s="27">
        <v>0</v>
      </c>
      <c r="S53" s="27">
        <v>0</v>
      </c>
      <c r="U53" s="27" t="s">
        <v>356</v>
      </c>
      <c r="V53" s="27" t="s">
        <v>357</v>
      </c>
    </row>
    <row r="54" spans="1:22" ht="15.75" customHeight="1">
      <c r="A54" s="27">
        <v>19</v>
      </c>
      <c r="B54" s="27">
        <v>86</v>
      </c>
      <c r="C54" s="26" t="s">
        <v>28</v>
      </c>
      <c r="D54" s="27" t="s">
        <v>361</v>
      </c>
      <c r="E54" s="22">
        <v>2006</v>
      </c>
      <c r="F54" s="27" t="s">
        <v>50</v>
      </c>
      <c r="G54" s="22" t="s">
        <v>368</v>
      </c>
      <c r="H54" s="27" t="s">
        <v>369</v>
      </c>
      <c r="I54">
        <f>0.5*0.5</f>
        <v>0.25</v>
      </c>
      <c r="J54">
        <v>12</v>
      </c>
      <c r="K54">
        <f t="shared" si="3"/>
        <v>2.9999999999999997E-4</v>
      </c>
      <c r="L54">
        <v>1</v>
      </c>
      <c r="M54" s="27">
        <v>14</v>
      </c>
      <c r="N54">
        <f>L54*J54*2</f>
        <v>24</v>
      </c>
      <c r="O54">
        <f>365*2</f>
        <v>730</v>
      </c>
      <c r="P54">
        <v>3</v>
      </c>
      <c r="Q54" s="27">
        <v>2</v>
      </c>
      <c r="R54" s="27">
        <v>1</v>
      </c>
      <c r="S54" s="27">
        <v>1</v>
      </c>
      <c r="U54" t="s">
        <v>370</v>
      </c>
      <c r="V54" t="s">
        <v>371</v>
      </c>
    </row>
    <row r="55" spans="1:22" ht="15.75" customHeight="1">
      <c r="A55">
        <v>20</v>
      </c>
      <c r="B55">
        <v>87</v>
      </c>
      <c r="C55" t="s">
        <v>30</v>
      </c>
      <c r="D55" t="s">
        <v>362</v>
      </c>
      <c r="E55">
        <v>2003</v>
      </c>
      <c r="F55" t="s">
        <v>50</v>
      </c>
      <c r="G55" t="s">
        <v>364</v>
      </c>
      <c r="H55" t="s">
        <v>363</v>
      </c>
      <c r="I55">
        <v>8000</v>
      </c>
      <c r="J55">
        <v>1</v>
      </c>
      <c r="K55">
        <f>I55/10000</f>
        <v>0.8</v>
      </c>
      <c r="L55">
        <f>8/24</f>
        <v>0.33333333333333331</v>
      </c>
      <c r="M55">
        <v>4</v>
      </c>
      <c r="N55">
        <f>L55*8</f>
        <v>2.6666666666666665</v>
      </c>
      <c r="O55">
        <f>28</f>
        <v>28</v>
      </c>
      <c r="P55">
        <v>3</v>
      </c>
      <c r="Q55">
        <v>2</v>
      </c>
      <c r="R55">
        <v>0</v>
      </c>
      <c r="S55">
        <v>0</v>
      </c>
      <c r="U55" t="s">
        <v>365</v>
      </c>
      <c r="V55" t="s">
        <v>366</v>
      </c>
    </row>
    <row r="56" spans="1:22" ht="15.75" customHeight="1">
      <c r="A56">
        <v>20</v>
      </c>
      <c r="B56">
        <v>87</v>
      </c>
      <c r="C56" t="s">
        <v>30</v>
      </c>
      <c r="D56" t="s">
        <v>362</v>
      </c>
      <c r="E56">
        <v>2003</v>
      </c>
      <c r="F56" t="s">
        <v>50</v>
      </c>
      <c r="G56" t="s">
        <v>364</v>
      </c>
      <c r="H56" t="s">
        <v>363</v>
      </c>
      <c r="I56">
        <f>PI()*((0.008/2)^2)</f>
        <v>5.0265482457436686E-5</v>
      </c>
      <c r="J56">
        <v>1</v>
      </c>
      <c r="K56">
        <f>I56/10000</f>
        <v>5.0265482457436686E-9</v>
      </c>
      <c r="L56" s="5">
        <f>1/60/60/24</f>
        <v>1.1574074074074073E-5</v>
      </c>
      <c r="M56">
        <f>28/26</f>
        <v>1.0769230769230769</v>
      </c>
      <c r="N56">
        <f>L56*26</f>
        <v>3.0092592592592589E-4</v>
      </c>
      <c r="O56">
        <f>28</f>
        <v>28</v>
      </c>
      <c r="P56">
        <v>0</v>
      </c>
      <c r="Q56">
        <v>0</v>
      </c>
      <c r="R56">
        <v>1</v>
      </c>
      <c r="S56">
        <v>0</v>
      </c>
      <c r="U56" t="s">
        <v>90</v>
      </c>
      <c r="V56" t="s">
        <v>367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Elsen_calibration</vt:lpstr>
      <vt:lpstr>calibration_key</vt:lpstr>
      <vt:lpstr>Elsen_data</vt:lpstr>
      <vt:lpstr>Elsen_final_data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Elsen</cp:lastModifiedBy>
  <dcterms:created xsi:type="dcterms:W3CDTF">2015-11-10T23:24:51Z</dcterms:created>
  <dcterms:modified xsi:type="dcterms:W3CDTF">2015-11-23T23:03:21Z</dcterms:modified>
</cp:coreProperties>
</file>